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rith\Dropbox\S&amp;S RH\INGRITH S&amp;S\JUL\PAPER 2020\"/>
    </mc:Choice>
  </mc:AlternateContent>
  <xr:revisionPtr revIDLastSave="0" documentId="13_ncr:1_{740CAE5D-4BDD-48DB-AD14-668F450F87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ICIO" sheetId="21" r:id="rId1"/>
    <sheet name="DATOS " sheetId="3" r:id="rId2"/>
    <sheet name="DAMODARAN" sheetId="23" r:id="rId3"/>
    <sheet name="COSTOS Y GASTOS" sheetId="13" r:id="rId4"/>
    <sheet name="NOMINA" sheetId="12" r:id="rId5"/>
    <sheet name="INVERSIONES" sheetId="11" r:id="rId6"/>
    <sheet name="BALANCE  INICIAL" sheetId="14" r:id="rId7"/>
    <sheet name="PROYECCIONES" sheetId="25" r:id="rId8"/>
    <sheet name="FLUJO DE CAJA " sheetId="17" r:id="rId9"/>
    <sheet name="GRÁFICOS" sheetId="35" r:id="rId10"/>
    <sheet name="ESCENARIOS" sheetId="30" r:id="rId11"/>
    <sheet name="ESTADOS R. -  BALANCE" sheetId="20" r:id="rId12"/>
    <sheet name="KE - CAMP" sheetId="19" r:id="rId13"/>
    <sheet name="PROYECCIÓN EEFF" sheetId="4" r:id="rId14"/>
  </sheets>
  <externalReferences>
    <externalReference r:id="rId15"/>
    <externalReference r:id="rId16"/>
    <externalReference r:id="rId17"/>
    <externalReference r:id="rId18"/>
    <externalReference r:id="rId19"/>
  </externalReferences>
  <definedNames>
    <definedName name="_DAT2">#REF!</definedName>
    <definedName name="_Ley99">#REF!</definedName>
    <definedName name="_OPC1">#REF!</definedName>
    <definedName name="_RUT2">#REF!</definedName>
    <definedName name="a">#REF!</definedName>
    <definedName name="A_BALANCE">#REF!</definedName>
    <definedName name="A_BALANCE_DOLAR">#REF!</definedName>
    <definedName name="A_FdeF">#REF!</definedName>
    <definedName name="A_FdEF_DOLAR">#REF!</definedName>
    <definedName name="A_PYG">#REF!</definedName>
    <definedName name="A_PYG_DOLAR">#REF!</definedName>
    <definedName name="Anexo1">#REF!</definedName>
    <definedName name="AOM_Variable">#REF!</definedName>
    <definedName name="AportesOtros">'[1]Cargos MEM - Aportes'!#REF!</definedName>
    <definedName name="_xlnm.Print_Area" localSheetId="8">'FLUJO DE CAJA '!$A$2:$J$26</definedName>
    <definedName name="Base_datos_IM">#REF!</definedName>
    <definedName name="_xlnm.Database">#REF!</definedName>
    <definedName name="CAJA">#REF!</definedName>
    <definedName name="CantidadDeficienteGas">#REF!</definedName>
    <definedName name="Capacidad_Instalada_Isagen">#REF!</definedName>
    <definedName name="Capacidad_Instalada_Sistema">#REF!</definedName>
    <definedName name="CapInstaladaISAGEN">'[2]Supuestos Generación - Precios'!$B$180:$M$180</definedName>
    <definedName name="CapInstaladaSIN">'[2]Supuestos Generación - Precios'!$B$40:$M$40</definedName>
    <definedName name="Cargos_uso_red">#REF!</definedName>
    <definedName name="CBWorkbookPriority" hidden="1">-1005641829</definedName>
    <definedName name="CERE">#REF!</definedName>
    <definedName name="CERE_corr">'[2]Supuestos Generación - Precios'!$B$346:$M$346</definedName>
    <definedName name="CERE_kte">'[2]Supuestos Generación - Precios'!$B$347:$M$347</definedName>
    <definedName name="CND_CRD_SIC">#REF!</definedName>
    <definedName name="COEF">#REF!</definedName>
    <definedName name="ComisiónComercializaciónAmoyá">#REF!</definedName>
    <definedName name="ComprasBolsa">'[2]Modelo Proyecciones'!$B$70:$M$70</definedName>
    <definedName name="ComprasContratos">#REF!</definedName>
    <definedName name="ComprasGas">#REF!</definedName>
    <definedName name="ContratCFI">#REF!</definedName>
    <definedName name="ContratCFI_Niv1">#REF!</definedName>
    <definedName name="ContratCFI_Niv2">#REF!</definedName>
    <definedName name="ContratCFI_Niv3">#REF!</definedName>
    <definedName name="ContratCFI_Niv4">#REF!</definedName>
    <definedName name="ContratCFINivSTN">#REF!</definedName>
    <definedName name="ContratMEM">#REF!</definedName>
    <definedName name="ContratoTransporte">'[2]Supuestos Combustibles'!#REF!</definedName>
    <definedName name="ContratTotalISAGEN">#REF!</definedName>
    <definedName name="CostoCombustible">#REF!</definedName>
    <definedName name="CostoMargina20pss_Const">#REF!</definedName>
    <definedName name="CostoMarginalPromedio_Const">#REF!</definedName>
    <definedName name="CostosST">#REF!</definedName>
    <definedName name="CostoSuministroGas">#REF!</definedName>
    <definedName name="CostoTransporteGas">#REF!</definedName>
    <definedName name="CrecimAltoPotencia">#REF!</definedName>
    <definedName name="CrecimientoDemEnergia">'[3]Supuestos Generales'!$B$92:$M$92</definedName>
    <definedName name="credito">[4]Créditos!#REF!</definedName>
    <definedName name="_xlnm.Criteria">#REF!</definedName>
    <definedName name="Criterios_IM">#REF!</definedName>
    <definedName name="CRT_Amoyá">'[3]Supuestos Generación - Precios'!#REF!</definedName>
    <definedName name="CRT_ISAGEN">'[2]Supuestos Generación - Precios'!$B$371:$M$371</definedName>
    <definedName name="CRT_SIN">'[2]Supuestos Generación - Precios'!$B$340:$M$340</definedName>
    <definedName name="CRTeqEne_Amoyá">'[3]Supuestos Generación - Precios'!#REF!</definedName>
    <definedName name="CRTeqEne_ISAGEN">'[2]Supuestos Generación - Precios'!$B$395:$M$395</definedName>
    <definedName name="CVCo">#REF!</definedName>
    <definedName name="CVPo">#REF!</definedName>
    <definedName name="DAT">#REF!</definedName>
    <definedName name="DATC">#REF!</definedName>
    <definedName name="DemEnergia">#REF!</definedName>
    <definedName name="DemPotencia">#REF!</definedName>
    <definedName name="DEUDA">#REF!</definedName>
    <definedName name="Devaluacion">#REF!</definedName>
    <definedName name="EndYear">#REF!</definedName>
    <definedName name="ENER">#REF!</definedName>
    <definedName name="Energia_a_comercializar">#REF!</definedName>
    <definedName name="ENFICCAnualISAGEN">'[3]Supuestos Generación - Precios'!$B$468:$M$468</definedName>
    <definedName name="erpc">#REF!</definedName>
    <definedName name="EscDemanda">#REF!</definedName>
    <definedName name="EscenarioSumGas">#REF!</definedName>
    <definedName name="ESCM">#REF!</definedName>
    <definedName name="EscMacroEco">#REF!</definedName>
    <definedName name="ESP">#REF!</definedName>
    <definedName name="ESPC">#REF!</definedName>
    <definedName name="ESTADOR1">#REF!</definedName>
    <definedName name="ESTADOR2">#REF!</definedName>
    <definedName name="Extracción_IM">#REF!</definedName>
    <definedName name="factor">#REF!</definedName>
    <definedName name="factor2">#REF!</definedName>
    <definedName name="factorInflacionExt">#REF!</definedName>
    <definedName name="FactorInflaExt">#REF!</definedName>
    <definedName name="FactorInflaInt">#REF!</definedName>
    <definedName name="FactorIPC">#REF!</definedName>
    <definedName name="FactorIPP">#REF!</definedName>
    <definedName name="FactorTasaCambio">#REF!</definedName>
    <definedName name="FEC">#REF!</definedName>
    <definedName name="FECC">#REF!</definedName>
    <definedName name="FICHA">#REF!</definedName>
    <definedName name="FINAN">#REF!</definedName>
    <definedName name="Gen">#REF!</definedName>
    <definedName name="Generacion_propia_esperada">#REF!</definedName>
    <definedName name="Generaciones">#REF!</definedName>
    <definedName name="GenTotAmoyá">'[3]Supuestos Generales'!#REF!</definedName>
    <definedName name="GenTotISAGEN">'[2]Supuestos Generación - Precios'!$B$218:$M$218</definedName>
    <definedName name="_xlnm.Recorder">#REF!</definedName>
    <definedName name="HHV">#REF!</definedName>
    <definedName name="IASICo">#REF!</definedName>
    <definedName name="IND">#REF!</definedName>
    <definedName name="INDEX">#REF!</definedName>
    <definedName name="Inflacion_Externa">#REF!</definedName>
    <definedName name="Inflacion_Interna">#REF!</definedName>
    <definedName name="INIDEUDA">#REF!</definedName>
    <definedName name="InitYear">#REF!</definedName>
    <definedName name="INVER">#REF!</definedName>
    <definedName name="IPC">#REF!</definedName>
    <definedName name="IPPobjetivo">'[2]EscGen-Precios'!$C$13</definedName>
    <definedName name="ITER">#REF!</definedName>
    <definedName name="LETRA">#REF!</definedName>
    <definedName name="LETRAS">#REF!</definedName>
    <definedName name="ListOffset" hidden="1">1</definedName>
    <definedName name="MAIN">#REF!</definedName>
    <definedName name="MERP">#REF!</definedName>
    <definedName name="MESP">#REF!</definedName>
    <definedName name="MESP2">#REF!</definedName>
    <definedName name="MFEC">#REF!</definedName>
    <definedName name="MFEC2">#REF!</definedName>
    <definedName name="MOAP">#REF!</definedName>
    <definedName name="MOAP2">#REF!</definedName>
    <definedName name="MONEDA">#REF!</definedName>
    <definedName name="MREPO">#REF!</definedName>
    <definedName name="MRFP">#REF!</definedName>
    <definedName name="MWH">#REF!</definedName>
    <definedName name="NEMP">#REF!</definedName>
    <definedName name="NOPRO">#REF!</definedName>
    <definedName name="NSE">#REF!</definedName>
    <definedName name="OAP">#REF!</definedName>
    <definedName name="OAPC">#REF!</definedName>
    <definedName name="OATITLE">#REF!</definedName>
    <definedName name="OMONE">#REF!</definedName>
    <definedName name="OPSELC">#REF!</definedName>
    <definedName name="OUTPUT">#REF!</definedName>
    <definedName name="OUTPUTE">#REF!</definedName>
    <definedName name="OUTPUTPR">#REF!</definedName>
    <definedName name="Pago_CND_Isagen_Gen">#REF!</definedName>
    <definedName name="Pago_CRDs_Isagen_Gen">#REF!</definedName>
    <definedName name="Pago_SIC_Isagen_Gen">#REF!</definedName>
    <definedName name="PbolsaKte">'[2]Supuestos Generación - Precios'!$B$250:$M$250</definedName>
    <definedName name="PcompraBolsaKte">'[2]Supuestos Generación - Precios'!$B$324:$M$324</definedName>
    <definedName name="PcontratosCFIKte">'[2]Supuestos Generación - Precios'!$B$292:$M$292</definedName>
    <definedName name="PcontratosMEMKte">'[2]Supuestos Generación - Precios'!$B$272:$M$272</definedName>
    <definedName name="PLANFIN">#REF!</definedName>
    <definedName name="PORTA">#REF!</definedName>
    <definedName name="POTE">#REF!</definedName>
    <definedName name="PrecioComprasContratos">#REF!</definedName>
    <definedName name="PREST">#REF!</definedName>
    <definedName name="PRESTTOT">#REF!</definedName>
    <definedName name="Print_Area_MI">#REF!</definedName>
    <definedName name="PSCREEN">#REF!</definedName>
    <definedName name="PUNTO">#REF!</definedName>
    <definedName name="PventaBolsaKte">'[2]Supuestos Generación - Precios'!$B$323:$M$323</definedName>
    <definedName name="PYG">#REF!</definedName>
    <definedName name="RCRT_ISAGEN_Amoyá">#REF!</definedName>
    <definedName name="RDn_1">#REF!</definedName>
    <definedName name="RDn_2">#REF!</definedName>
    <definedName name="RE_BALANCE">#REF!</definedName>
    <definedName name="RE_BALANE_DOL">#REF!</definedName>
    <definedName name="RE_FdeF">#REF!</definedName>
    <definedName name="RE_FdeF_DOLAR">#REF!</definedName>
    <definedName name="RE_PYG">#REF!</definedName>
    <definedName name="RE_PyG_DOLAR">#REF!</definedName>
    <definedName name="RELAC">#REF!</definedName>
    <definedName name="REPO2">#REF!</definedName>
    <definedName name="REPOCALC">#REF!</definedName>
    <definedName name="REPOPRO">#REF!</definedName>
    <definedName name="REPSUB">#REF!</definedName>
    <definedName name="RESSAL">#REF!</definedName>
    <definedName name="Restricciones">#REF!</definedName>
    <definedName name="RFCRo">#REF!</definedName>
    <definedName name="RFP">#REF!</definedName>
    <definedName name="RFPC">#REF!</definedName>
    <definedName name="RFTITLE">#REF!</definedName>
    <definedName name="RICNDo">#REF!</definedName>
    <definedName name="RPCNDo">#REF!</definedName>
    <definedName name="RUTIAN4">#REF!</definedName>
    <definedName name="RUTINA3">#REF!</definedName>
    <definedName name="RUTINA4">#REF!</definedName>
    <definedName name="S309MONE">#REF!</definedName>
    <definedName name="SCREEN">#REF!</definedName>
    <definedName name="Set">" "</definedName>
    <definedName name="SIT">#REF!</definedName>
    <definedName name="SPWS_WBID">"46DDBCC0-4508-42B6-9CBB-69E5C84623A4"</definedName>
    <definedName name="SSP">#REF!</definedName>
    <definedName name="T1RES">#REF!</definedName>
    <definedName name="TABLA1">#REF!</definedName>
    <definedName name="Tabla2">#REF!</definedName>
    <definedName name="TarifaLey99_HE">'[2]Supuestos cargos MEM - Aportes'!$B$154:$M$154</definedName>
    <definedName name="TARSPMOD">#REF!</definedName>
    <definedName name="TASA">#REF!</definedName>
    <definedName name="TasaCambioPromedia">#REF!</definedName>
    <definedName name="TasaDeCambio">'[2]Supuestos Combustibles'!#REF!</definedName>
    <definedName name="TASATOT">#REF!</definedName>
    <definedName name="TEMPO">#REF!</definedName>
    <definedName name="ticker">#REF!</definedName>
    <definedName name="TIPOIN">#REF!</definedName>
    <definedName name="TituloEstudio">#REF!</definedName>
    <definedName name="TRANSIT">#REF!</definedName>
    <definedName name="Ventas_contratos_GenPropia">#REF!</definedName>
    <definedName name="VentasBolsa">'[2]Modelo Proyecciones'!$B$32:$M$32</definedName>
    <definedName name="VPN">#REF!</definedName>
    <definedName name="VtasComprasForzadas">#REF!</definedName>
    <definedName name="VtasGas">#REF!</definedName>
    <definedName name="VtasST">#REF!</definedName>
    <definedName name="WH">#REF!</definedName>
    <definedName name="WHC">#REF!</definedName>
    <definedName name="WP">#REF!</definedName>
    <definedName name="x">'[5]Cto de Patrimonio y Capital'!$C$1</definedName>
    <definedName name="Xn">#REF!</definedName>
  </definedNames>
  <calcPr calcId="191029"/>
</workbook>
</file>

<file path=xl/calcChain.xml><?xml version="1.0" encoding="utf-8"?>
<calcChain xmlns="http://schemas.openxmlformats.org/spreadsheetml/2006/main">
  <c r="E32" i="4" l="1"/>
  <c r="F77" i="17"/>
  <c r="F27" i="20"/>
  <c r="G27" i="20"/>
  <c r="H27" i="20"/>
  <c r="I27" i="20"/>
  <c r="E27" i="20"/>
  <c r="F76" i="17" l="1"/>
  <c r="E21" i="20" l="1"/>
  <c r="H31" i="17"/>
  <c r="I31" i="17"/>
  <c r="J31" i="17"/>
  <c r="K31" i="17"/>
  <c r="H32" i="17"/>
  <c r="I32" i="17"/>
  <c r="J32" i="17"/>
  <c r="J58" i="17" s="1"/>
  <c r="K32" i="17"/>
  <c r="K58" i="17" s="1"/>
  <c r="F69" i="17"/>
  <c r="H58" i="17"/>
  <c r="I58" i="17"/>
  <c r="G9" i="14"/>
  <c r="F25" i="17"/>
  <c r="D6" i="14" s="1"/>
  <c r="G6" i="14" s="1"/>
  <c r="D23" i="4" l="1"/>
  <c r="D35" i="20"/>
  <c r="D39" i="4"/>
  <c r="I6" i="17" l="1"/>
  <c r="I17" i="17" s="1"/>
  <c r="J6" i="17" l="1"/>
  <c r="D28" i="14"/>
  <c r="D24" i="14"/>
  <c r="D16" i="14"/>
  <c r="H12" i="19"/>
  <c r="D29" i="14" l="1"/>
  <c r="K6" i="17"/>
  <c r="K17" i="17" s="1"/>
  <c r="J17" i="17"/>
  <c r="D10" i="14"/>
  <c r="D17" i="14" s="1"/>
  <c r="D31" i="14" l="1"/>
  <c r="D34" i="14" s="1"/>
  <c r="D44" i="20" s="1"/>
  <c r="D28" i="20"/>
  <c r="D11" i="4"/>
  <c r="D10" i="20"/>
  <c r="D7" i="20"/>
  <c r="D8" i="20"/>
  <c r="D9" i="20"/>
  <c r="D11" i="20"/>
  <c r="D12" i="20"/>
  <c r="D6" i="20"/>
  <c r="D19" i="4" s="1"/>
  <c r="N22" i="17"/>
  <c r="F21" i="13"/>
  <c r="G21" i="13"/>
  <c r="H21" i="13"/>
  <c r="I21" i="13"/>
  <c r="J21" i="13"/>
  <c r="K21" i="13"/>
  <c r="L21" i="13"/>
  <c r="M21" i="13"/>
  <c r="N21" i="13"/>
  <c r="O21" i="13"/>
  <c r="E21" i="13"/>
  <c r="D21" i="13"/>
  <c r="D20" i="12"/>
  <c r="K6" i="13"/>
  <c r="L6" i="13"/>
  <c r="M6" i="13" s="1"/>
  <c r="N6" i="13" s="1"/>
  <c r="O6" i="13" s="1"/>
  <c r="J6" i="13"/>
  <c r="I6" i="13"/>
  <c r="H6" i="13"/>
  <c r="G6" i="13"/>
  <c r="G7" i="13"/>
  <c r="F6" i="13"/>
  <c r="E6" i="13"/>
  <c r="D16" i="4" l="1"/>
  <c r="E12" i="19"/>
  <c r="F12" i="19"/>
  <c r="G12" i="19"/>
  <c r="D12" i="19"/>
  <c r="F26" i="3" l="1"/>
  <c r="D8" i="19"/>
  <c r="D27" i="20"/>
  <c r="D10" i="4" s="1"/>
  <c r="D39" i="20" l="1"/>
  <c r="D17" i="19"/>
  <c r="E15" i="19"/>
  <c r="F15" i="19" s="1"/>
  <c r="G15" i="19" s="1"/>
  <c r="H15" i="19" s="1"/>
  <c r="E14" i="19"/>
  <c r="F14" i="19" s="1"/>
  <c r="E13" i="19"/>
  <c r="F13" i="19" s="1"/>
  <c r="D25" i="19"/>
  <c r="E11" i="19"/>
  <c r="F11" i="19" s="1"/>
  <c r="G11" i="19" s="1"/>
  <c r="H11" i="19" s="1"/>
  <c r="E10" i="19"/>
  <c r="T9" i="19" s="1"/>
  <c r="N9" i="19"/>
  <c r="L9" i="19"/>
  <c r="J12" i="19" s="1"/>
  <c r="J9" i="19"/>
  <c r="E9" i="19"/>
  <c r="E8" i="19"/>
  <c r="F8" i="19" s="1"/>
  <c r="G8" i="19" s="1"/>
  <c r="H8" i="19" s="1"/>
  <c r="X15" i="19" l="1"/>
  <c r="F10" i="19"/>
  <c r="G10" i="19" s="1"/>
  <c r="H10" i="19" s="1"/>
  <c r="AR9" i="19" s="1"/>
  <c r="AF15" i="19"/>
  <c r="D40" i="20"/>
  <c r="AD9" i="19"/>
  <c r="G13" i="19"/>
  <c r="F9" i="19"/>
  <c r="G25" i="19"/>
  <c r="Z9" i="19"/>
  <c r="G14" i="19"/>
  <c r="H25" i="19"/>
  <c r="AB9" i="19"/>
  <c r="E25" i="19"/>
  <c r="V9" i="19"/>
  <c r="AN15" i="19"/>
  <c r="E17" i="19"/>
  <c r="F25" i="19"/>
  <c r="R9" i="19"/>
  <c r="R12" i="19" s="1"/>
  <c r="P15" i="19"/>
  <c r="AV15" i="19"/>
  <c r="AJ9" i="19" l="1"/>
  <c r="F17" i="19"/>
  <c r="Z12" i="19"/>
  <c r="G17" i="19"/>
  <c r="AH9" i="19"/>
  <c r="AH12" i="19" s="1"/>
  <c r="H14" i="19"/>
  <c r="H13" i="19"/>
  <c r="AL9" i="19"/>
  <c r="G9" i="19"/>
  <c r="H9" i="19" l="1"/>
  <c r="AT9" i="19"/>
  <c r="AP9" i="19"/>
  <c r="AP12" i="19" s="1"/>
  <c r="H17" i="19"/>
  <c r="E8" i="3" l="1"/>
  <c r="G18" i="17" l="1"/>
  <c r="H18" i="17" s="1"/>
  <c r="I18" i="17" s="1"/>
  <c r="J18" i="17" l="1"/>
  <c r="K18" i="17" s="1"/>
  <c r="R8" i="13"/>
  <c r="S8" i="13"/>
  <c r="AF8" i="13" s="1"/>
  <c r="AS8" i="13" s="1"/>
  <c r="BF8" i="13" s="1"/>
  <c r="T8" i="13"/>
  <c r="AG8" i="13" s="1"/>
  <c r="AT8" i="13" s="1"/>
  <c r="BG8" i="13" s="1"/>
  <c r="U8" i="13"/>
  <c r="AH8" i="13" s="1"/>
  <c r="AU8" i="13" s="1"/>
  <c r="BH8" i="13" s="1"/>
  <c r="V8" i="13"/>
  <c r="W8" i="13"/>
  <c r="AJ8" i="13" s="1"/>
  <c r="AW8" i="13" s="1"/>
  <c r="BJ8" i="13" s="1"/>
  <c r="X8" i="13"/>
  <c r="AK8" i="13" s="1"/>
  <c r="AX8" i="13" s="1"/>
  <c r="BK8" i="13" s="1"/>
  <c r="Y8" i="13"/>
  <c r="AL8" i="13" s="1"/>
  <c r="AY8" i="13" s="1"/>
  <c r="BL8" i="13" s="1"/>
  <c r="Z8" i="13"/>
  <c r="AA8" i="13"/>
  <c r="AN8" i="13" s="1"/>
  <c r="BA8" i="13" s="1"/>
  <c r="BN8" i="13" s="1"/>
  <c r="AB8" i="13"/>
  <c r="AO8" i="13" s="1"/>
  <c r="BB8" i="13" s="1"/>
  <c r="BO8" i="13" s="1"/>
  <c r="P8" i="13"/>
  <c r="E18" i="13"/>
  <c r="R18" i="13" s="1"/>
  <c r="AE18" i="13" s="1"/>
  <c r="AR18" i="13" s="1"/>
  <c r="BE18" i="13" s="1"/>
  <c r="F18" i="13"/>
  <c r="G18" i="13"/>
  <c r="T18" i="13" s="1"/>
  <c r="AG18" i="13" s="1"/>
  <c r="AT18" i="13" s="1"/>
  <c r="BG18" i="13" s="1"/>
  <c r="H18" i="13"/>
  <c r="U18" i="13" s="1"/>
  <c r="AH18" i="13" s="1"/>
  <c r="AU18" i="13" s="1"/>
  <c r="BH18" i="13" s="1"/>
  <c r="I18" i="13"/>
  <c r="V18" i="13" s="1"/>
  <c r="AI18" i="13" s="1"/>
  <c r="AV18" i="13" s="1"/>
  <c r="BI18" i="13" s="1"/>
  <c r="J18" i="13"/>
  <c r="W18" i="13" s="1"/>
  <c r="AJ18" i="13" s="1"/>
  <c r="AW18" i="13" s="1"/>
  <c r="BJ18" i="13" s="1"/>
  <c r="K18" i="13"/>
  <c r="X18" i="13" s="1"/>
  <c r="AK18" i="13" s="1"/>
  <c r="AX18" i="13" s="1"/>
  <c r="BK18" i="13" s="1"/>
  <c r="L18" i="13"/>
  <c r="Y18" i="13" s="1"/>
  <c r="AL18" i="13" s="1"/>
  <c r="AY18" i="13" s="1"/>
  <c r="BL18" i="13" s="1"/>
  <c r="M18" i="13"/>
  <c r="Z18" i="13" s="1"/>
  <c r="AM18" i="13" s="1"/>
  <c r="AZ18" i="13" s="1"/>
  <c r="BM18" i="13" s="1"/>
  <c r="N18" i="13"/>
  <c r="AA18" i="13" s="1"/>
  <c r="AN18" i="13" s="1"/>
  <c r="BA18" i="13" s="1"/>
  <c r="BN18" i="13" s="1"/>
  <c r="O18" i="13"/>
  <c r="AB18" i="13" s="1"/>
  <c r="AO18" i="13" s="1"/>
  <c r="BB18" i="13" s="1"/>
  <c r="BO18" i="13" s="1"/>
  <c r="D18" i="13"/>
  <c r="Q18" i="13" s="1"/>
  <c r="O11" i="13"/>
  <c r="AB11" i="13" s="1"/>
  <c r="AO11" i="13" s="1"/>
  <c r="BB11" i="13" s="1"/>
  <c r="BO11" i="13" s="1"/>
  <c r="E11" i="13"/>
  <c r="R11" i="13" s="1"/>
  <c r="AE11" i="13" s="1"/>
  <c r="AR11" i="13" s="1"/>
  <c r="BE11" i="13" s="1"/>
  <c r="F11" i="13"/>
  <c r="S11" i="13" s="1"/>
  <c r="AF11" i="13" s="1"/>
  <c r="AS11" i="13" s="1"/>
  <c r="BF11" i="13" s="1"/>
  <c r="G11" i="13"/>
  <c r="T11" i="13" s="1"/>
  <c r="AG11" i="13" s="1"/>
  <c r="AT11" i="13" s="1"/>
  <c r="BG11" i="13" s="1"/>
  <c r="H11" i="13"/>
  <c r="U11" i="13" s="1"/>
  <c r="AH11" i="13" s="1"/>
  <c r="AU11" i="13" s="1"/>
  <c r="BH11" i="13" s="1"/>
  <c r="I11" i="13"/>
  <c r="V11" i="13" s="1"/>
  <c r="AI11" i="13" s="1"/>
  <c r="AV11" i="13" s="1"/>
  <c r="BI11" i="13" s="1"/>
  <c r="J11" i="13"/>
  <c r="W11" i="13" s="1"/>
  <c r="AJ11" i="13" s="1"/>
  <c r="AW11" i="13" s="1"/>
  <c r="BJ11" i="13" s="1"/>
  <c r="K11" i="13"/>
  <c r="X11" i="13" s="1"/>
  <c r="AK11" i="13" s="1"/>
  <c r="AX11" i="13" s="1"/>
  <c r="BK11" i="13" s="1"/>
  <c r="L11" i="13"/>
  <c r="Y11" i="13" s="1"/>
  <c r="AL11" i="13" s="1"/>
  <c r="AY11" i="13" s="1"/>
  <c r="BL11" i="13" s="1"/>
  <c r="M11" i="13"/>
  <c r="Z11" i="13" s="1"/>
  <c r="AM11" i="13" s="1"/>
  <c r="AZ11" i="13" s="1"/>
  <c r="BM11" i="13" s="1"/>
  <c r="N11" i="13"/>
  <c r="AA11" i="13" s="1"/>
  <c r="AN11" i="13" s="1"/>
  <c r="BA11" i="13" s="1"/>
  <c r="BN11" i="13" s="1"/>
  <c r="D11" i="13"/>
  <c r="Q11" i="13" s="1"/>
  <c r="AD11" i="13" s="1"/>
  <c r="E10" i="13"/>
  <c r="R10" i="13" s="1"/>
  <c r="AE10" i="13" s="1"/>
  <c r="AR10" i="13" s="1"/>
  <c r="BE10" i="13" s="1"/>
  <c r="F10" i="13"/>
  <c r="S10" i="13" s="1"/>
  <c r="AF10" i="13" s="1"/>
  <c r="AS10" i="13" s="1"/>
  <c r="BF10" i="13" s="1"/>
  <c r="G10" i="13"/>
  <c r="T10" i="13" s="1"/>
  <c r="AG10" i="13" s="1"/>
  <c r="AT10" i="13" s="1"/>
  <c r="BG10" i="13" s="1"/>
  <c r="H10" i="13"/>
  <c r="U10" i="13" s="1"/>
  <c r="AH10" i="13" s="1"/>
  <c r="AU10" i="13" s="1"/>
  <c r="BH10" i="13" s="1"/>
  <c r="I10" i="13"/>
  <c r="V10" i="13" s="1"/>
  <c r="AI10" i="13" s="1"/>
  <c r="AV10" i="13" s="1"/>
  <c r="BI10" i="13" s="1"/>
  <c r="J10" i="13"/>
  <c r="W10" i="13" s="1"/>
  <c r="AJ10" i="13" s="1"/>
  <c r="AW10" i="13" s="1"/>
  <c r="BJ10" i="13" s="1"/>
  <c r="K10" i="13"/>
  <c r="X10" i="13" s="1"/>
  <c r="AK10" i="13" s="1"/>
  <c r="AX10" i="13" s="1"/>
  <c r="BK10" i="13" s="1"/>
  <c r="L10" i="13"/>
  <c r="Y10" i="13" s="1"/>
  <c r="AL10" i="13" s="1"/>
  <c r="AY10" i="13" s="1"/>
  <c r="BL10" i="13" s="1"/>
  <c r="M10" i="13"/>
  <c r="Z10" i="13" s="1"/>
  <c r="AM10" i="13" s="1"/>
  <c r="AZ10" i="13" s="1"/>
  <c r="BM10" i="13" s="1"/>
  <c r="N10" i="13"/>
  <c r="AA10" i="13" s="1"/>
  <c r="AN10" i="13" s="1"/>
  <c r="BA10" i="13" s="1"/>
  <c r="BN10" i="13" s="1"/>
  <c r="O10" i="13"/>
  <c r="AB10" i="13" s="1"/>
  <c r="AO10" i="13" s="1"/>
  <c r="BB10" i="13" s="1"/>
  <c r="BO10" i="13" s="1"/>
  <c r="D10" i="13"/>
  <c r="Q10" i="13" s="1"/>
  <c r="E9" i="13"/>
  <c r="R9" i="13" s="1"/>
  <c r="AE9" i="13" s="1"/>
  <c r="AR9" i="13" s="1"/>
  <c r="BE9" i="13" s="1"/>
  <c r="F9" i="13"/>
  <c r="S9" i="13" s="1"/>
  <c r="AF9" i="13" s="1"/>
  <c r="AS9" i="13" s="1"/>
  <c r="BF9" i="13" s="1"/>
  <c r="G9" i="13"/>
  <c r="T9" i="13" s="1"/>
  <c r="AG9" i="13" s="1"/>
  <c r="AT9" i="13" s="1"/>
  <c r="BG9" i="13" s="1"/>
  <c r="H9" i="13"/>
  <c r="U9" i="13" s="1"/>
  <c r="AH9" i="13" s="1"/>
  <c r="AU9" i="13" s="1"/>
  <c r="BH9" i="13" s="1"/>
  <c r="I9" i="13"/>
  <c r="V9" i="13" s="1"/>
  <c r="AI9" i="13" s="1"/>
  <c r="AV9" i="13" s="1"/>
  <c r="BI9" i="13" s="1"/>
  <c r="J9" i="13"/>
  <c r="W9" i="13" s="1"/>
  <c r="AJ9" i="13" s="1"/>
  <c r="AW9" i="13" s="1"/>
  <c r="BJ9" i="13" s="1"/>
  <c r="K9" i="13"/>
  <c r="X9" i="13" s="1"/>
  <c r="AK9" i="13" s="1"/>
  <c r="AX9" i="13" s="1"/>
  <c r="BK9" i="13" s="1"/>
  <c r="L9" i="13"/>
  <c r="Y9" i="13" s="1"/>
  <c r="AL9" i="13" s="1"/>
  <c r="AY9" i="13" s="1"/>
  <c r="BL9" i="13" s="1"/>
  <c r="M9" i="13"/>
  <c r="Z9" i="13" s="1"/>
  <c r="AM9" i="13" s="1"/>
  <c r="AZ9" i="13" s="1"/>
  <c r="BM9" i="13" s="1"/>
  <c r="N9" i="13"/>
  <c r="AA9" i="13" s="1"/>
  <c r="AN9" i="13" s="1"/>
  <c r="BA9" i="13" s="1"/>
  <c r="BN9" i="13" s="1"/>
  <c r="O9" i="13"/>
  <c r="AB9" i="13" s="1"/>
  <c r="AO9" i="13" s="1"/>
  <c r="BB9" i="13" s="1"/>
  <c r="BO9" i="13" s="1"/>
  <c r="D9" i="13"/>
  <c r="Q9" i="13" s="1"/>
  <c r="E12" i="13"/>
  <c r="R12" i="13" s="1"/>
  <c r="AE12" i="13" s="1"/>
  <c r="AR12" i="13" s="1"/>
  <c r="BE12" i="13" s="1"/>
  <c r="F12" i="13"/>
  <c r="S12" i="13" s="1"/>
  <c r="AF12" i="13" s="1"/>
  <c r="AS12" i="13" s="1"/>
  <c r="BF12" i="13" s="1"/>
  <c r="G12" i="13"/>
  <c r="T12" i="13" s="1"/>
  <c r="AG12" i="13" s="1"/>
  <c r="AT12" i="13" s="1"/>
  <c r="BG12" i="13" s="1"/>
  <c r="H12" i="13"/>
  <c r="U12" i="13" s="1"/>
  <c r="AH12" i="13" s="1"/>
  <c r="AU12" i="13" s="1"/>
  <c r="BH12" i="13" s="1"/>
  <c r="I12" i="13"/>
  <c r="V12" i="13" s="1"/>
  <c r="AI12" i="13" s="1"/>
  <c r="AV12" i="13" s="1"/>
  <c r="BI12" i="13" s="1"/>
  <c r="J12" i="13"/>
  <c r="W12" i="13" s="1"/>
  <c r="AJ12" i="13" s="1"/>
  <c r="AW12" i="13" s="1"/>
  <c r="BJ12" i="13" s="1"/>
  <c r="K12" i="13"/>
  <c r="X12" i="13" s="1"/>
  <c r="AK12" i="13" s="1"/>
  <c r="AX12" i="13" s="1"/>
  <c r="BK12" i="13" s="1"/>
  <c r="L12" i="13"/>
  <c r="Y12" i="13" s="1"/>
  <c r="AL12" i="13" s="1"/>
  <c r="AY12" i="13" s="1"/>
  <c r="BL12" i="13" s="1"/>
  <c r="M12" i="13"/>
  <c r="Z12" i="13" s="1"/>
  <c r="AM12" i="13" s="1"/>
  <c r="AZ12" i="13" s="1"/>
  <c r="BM12" i="13" s="1"/>
  <c r="N12" i="13"/>
  <c r="AA12" i="13" s="1"/>
  <c r="AN12" i="13" s="1"/>
  <c r="BA12" i="13" s="1"/>
  <c r="BN12" i="13" s="1"/>
  <c r="O12" i="13"/>
  <c r="AB12" i="13" s="1"/>
  <c r="AO12" i="13" s="1"/>
  <c r="BB12" i="13" s="1"/>
  <c r="BO12" i="13" s="1"/>
  <c r="D12" i="13"/>
  <c r="Q12" i="13" s="1"/>
  <c r="AD12" i="13" s="1"/>
  <c r="BP23" i="13"/>
  <c r="BC23" i="13"/>
  <c r="AP23" i="13"/>
  <c r="AC23" i="13"/>
  <c r="R19" i="13"/>
  <c r="AE19" i="13" s="1"/>
  <c r="AR19" i="13" s="1"/>
  <c r="BE19" i="13" s="1"/>
  <c r="S19" i="13"/>
  <c r="AF19" i="13" s="1"/>
  <c r="AS19" i="13" s="1"/>
  <c r="BF19" i="13" s="1"/>
  <c r="T19" i="13"/>
  <c r="AG19" i="13" s="1"/>
  <c r="AT19" i="13" s="1"/>
  <c r="BG19" i="13" s="1"/>
  <c r="U19" i="13"/>
  <c r="AH19" i="13" s="1"/>
  <c r="AU19" i="13" s="1"/>
  <c r="BH19" i="13" s="1"/>
  <c r="V19" i="13"/>
  <c r="AI19" i="13" s="1"/>
  <c r="AV19" i="13" s="1"/>
  <c r="BI19" i="13" s="1"/>
  <c r="W19" i="13"/>
  <c r="AJ19" i="13" s="1"/>
  <c r="AW19" i="13" s="1"/>
  <c r="BJ19" i="13" s="1"/>
  <c r="X19" i="13"/>
  <c r="AK19" i="13" s="1"/>
  <c r="AX19" i="13" s="1"/>
  <c r="BK19" i="13" s="1"/>
  <c r="Y19" i="13"/>
  <c r="AL19" i="13" s="1"/>
  <c r="AY19" i="13" s="1"/>
  <c r="BL19" i="13" s="1"/>
  <c r="Z19" i="13"/>
  <c r="AM19" i="13" s="1"/>
  <c r="AZ19" i="13" s="1"/>
  <c r="BM19" i="13" s="1"/>
  <c r="AA19" i="13"/>
  <c r="AN19" i="13" s="1"/>
  <c r="BA19" i="13" s="1"/>
  <c r="BN19" i="13" s="1"/>
  <c r="AB19" i="13"/>
  <c r="AO19" i="13" s="1"/>
  <c r="BB19" i="13" s="1"/>
  <c r="BO19" i="13" s="1"/>
  <c r="Q19" i="13"/>
  <c r="R6" i="13"/>
  <c r="AE6" i="13" s="1"/>
  <c r="AR6" i="13" s="1"/>
  <c r="BE6" i="13" s="1"/>
  <c r="S6" i="13"/>
  <c r="T6" i="13"/>
  <c r="AG6" i="13" s="1"/>
  <c r="AT6" i="13" s="1"/>
  <c r="BG6" i="13" s="1"/>
  <c r="U6" i="13"/>
  <c r="AH6" i="13" s="1"/>
  <c r="AU6" i="13" s="1"/>
  <c r="BH6" i="13" s="1"/>
  <c r="V6" i="13"/>
  <c r="AI6" i="13" s="1"/>
  <c r="AV6" i="13" s="1"/>
  <c r="BI6" i="13" s="1"/>
  <c r="W6" i="13"/>
  <c r="AJ6" i="13" s="1"/>
  <c r="AW6" i="13" s="1"/>
  <c r="BJ6" i="13" s="1"/>
  <c r="X6" i="13"/>
  <c r="AK6" i="13" s="1"/>
  <c r="AX6" i="13" s="1"/>
  <c r="BK6" i="13" s="1"/>
  <c r="Y6" i="13"/>
  <c r="AL6" i="13" s="1"/>
  <c r="AY6" i="13" s="1"/>
  <c r="BL6" i="13" s="1"/>
  <c r="Z6" i="13"/>
  <c r="AM6" i="13" s="1"/>
  <c r="AZ6" i="13" s="1"/>
  <c r="BM6" i="13" s="1"/>
  <c r="AA6" i="13"/>
  <c r="AB6" i="13"/>
  <c r="AO6" i="13" s="1"/>
  <c r="BB6" i="13" s="1"/>
  <c r="BO6" i="13" s="1"/>
  <c r="Q8" i="13"/>
  <c r="Q6" i="13"/>
  <c r="AD6" i="13" s="1"/>
  <c r="AQ6" i="13" s="1"/>
  <c r="BD6" i="13" s="1"/>
  <c r="F17" i="3"/>
  <c r="G17" i="3" s="1"/>
  <c r="H17" i="3" s="1"/>
  <c r="I17" i="3" s="1"/>
  <c r="E28" i="13"/>
  <c r="R28" i="13" s="1"/>
  <c r="AE28" i="13" s="1"/>
  <c r="AR28" i="13" s="1"/>
  <c r="BE28" i="13" s="1"/>
  <c r="F28" i="13"/>
  <c r="S28" i="13" s="1"/>
  <c r="AF28" i="13" s="1"/>
  <c r="AS28" i="13" s="1"/>
  <c r="BF28" i="13" s="1"/>
  <c r="G28" i="13"/>
  <c r="T28" i="13" s="1"/>
  <c r="AG28" i="13" s="1"/>
  <c r="AT28" i="13" s="1"/>
  <c r="BG28" i="13" s="1"/>
  <c r="H28" i="13"/>
  <c r="U28" i="13" s="1"/>
  <c r="AH28" i="13" s="1"/>
  <c r="AU28" i="13" s="1"/>
  <c r="BH28" i="13" s="1"/>
  <c r="I28" i="13"/>
  <c r="V28" i="13" s="1"/>
  <c r="AI28" i="13" s="1"/>
  <c r="AV28" i="13" s="1"/>
  <c r="BI28" i="13" s="1"/>
  <c r="J28" i="13"/>
  <c r="W28" i="13" s="1"/>
  <c r="AJ28" i="13" s="1"/>
  <c r="AW28" i="13" s="1"/>
  <c r="BJ28" i="13" s="1"/>
  <c r="K28" i="13"/>
  <c r="X28" i="13" s="1"/>
  <c r="AK28" i="13" s="1"/>
  <c r="AX28" i="13" s="1"/>
  <c r="BK28" i="13" s="1"/>
  <c r="L28" i="13"/>
  <c r="Y28" i="13" s="1"/>
  <c r="AL28" i="13" s="1"/>
  <c r="AY28" i="13" s="1"/>
  <c r="BL28" i="13" s="1"/>
  <c r="M28" i="13"/>
  <c r="Z28" i="13" s="1"/>
  <c r="AM28" i="13" s="1"/>
  <c r="AZ28" i="13" s="1"/>
  <c r="BM28" i="13" s="1"/>
  <c r="N28" i="13"/>
  <c r="AA28" i="13" s="1"/>
  <c r="AN28" i="13" s="1"/>
  <c r="BA28" i="13" s="1"/>
  <c r="BN28" i="13" s="1"/>
  <c r="O28" i="13"/>
  <c r="AB28" i="13" s="1"/>
  <c r="AO28" i="13" s="1"/>
  <c r="BB28" i="13" s="1"/>
  <c r="BO28" i="13" s="1"/>
  <c r="D28" i="13"/>
  <c r="Q28" i="13" s="1"/>
  <c r="AD28" i="13" s="1"/>
  <c r="E22" i="13"/>
  <c r="R22" i="13" s="1"/>
  <c r="AE22" i="13" s="1"/>
  <c r="F22" i="13"/>
  <c r="S22" i="13" s="1"/>
  <c r="AF22" i="13" s="1"/>
  <c r="AS22" i="13" s="1"/>
  <c r="BF22" i="13" s="1"/>
  <c r="G22" i="13"/>
  <c r="H22" i="13"/>
  <c r="U22" i="13" s="1"/>
  <c r="AH22" i="13" s="1"/>
  <c r="AU22" i="13" s="1"/>
  <c r="BH22" i="13" s="1"/>
  <c r="I22" i="13"/>
  <c r="V22" i="13" s="1"/>
  <c r="AI22" i="13" s="1"/>
  <c r="AV22" i="13" s="1"/>
  <c r="BI22" i="13" s="1"/>
  <c r="J22" i="13"/>
  <c r="W22" i="13" s="1"/>
  <c r="AJ22" i="13" s="1"/>
  <c r="AW22" i="13" s="1"/>
  <c r="BJ22" i="13" s="1"/>
  <c r="K22" i="13"/>
  <c r="X22" i="13" s="1"/>
  <c r="AK22" i="13" s="1"/>
  <c r="AX22" i="13" s="1"/>
  <c r="BK22" i="13" s="1"/>
  <c r="L22" i="13"/>
  <c r="Y22" i="13" s="1"/>
  <c r="AL22" i="13" s="1"/>
  <c r="AY22" i="13" s="1"/>
  <c r="BL22" i="13" s="1"/>
  <c r="M22" i="13"/>
  <c r="Z22" i="13" s="1"/>
  <c r="AM22" i="13" s="1"/>
  <c r="AZ22" i="13" s="1"/>
  <c r="BM22" i="13" s="1"/>
  <c r="N22" i="13"/>
  <c r="AA22" i="13" s="1"/>
  <c r="AN22" i="13" s="1"/>
  <c r="BA22" i="13" s="1"/>
  <c r="BN22" i="13" s="1"/>
  <c r="O22" i="13"/>
  <c r="AB22" i="13" s="1"/>
  <c r="AO22" i="13" s="1"/>
  <c r="BB22" i="13" s="1"/>
  <c r="BO22" i="13" s="1"/>
  <c r="D22" i="13"/>
  <c r="Q22" i="13" s="1"/>
  <c r="AD22" i="13" s="1"/>
  <c r="AQ22" i="13" s="1"/>
  <c r="BD22" i="13" s="1"/>
  <c r="R21" i="13"/>
  <c r="AE21" i="13" s="1"/>
  <c r="AR21" i="13" s="1"/>
  <c r="BE21" i="13" s="1"/>
  <c r="S21" i="13"/>
  <c r="AF21" i="13" s="1"/>
  <c r="AS21" i="13" s="1"/>
  <c r="BF21" i="13" s="1"/>
  <c r="T21" i="13"/>
  <c r="AG21" i="13" s="1"/>
  <c r="AT21" i="13" s="1"/>
  <c r="BG21" i="13" s="1"/>
  <c r="U21" i="13"/>
  <c r="AH21" i="13" s="1"/>
  <c r="AU21" i="13" s="1"/>
  <c r="BH21" i="13" s="1"/>
  <c r="V21" i="13"/>
  <c r="AI21" i="13" s="1"/>
  <c r="AV21" i="13" s="1"/>
  <c r="BI21" i="13" s="1"/>
  <c r="W21" i="13"/>
  <c r="AJ21" i="13" s="1"/>
  <c r="AW21" i="13" s="1"/>
  <c r="BJ21" i="13" s="1"/>
  <c r="X21" i="13"/>
  <c r="AK21" i="13" s="1"/>
  <c r="AX21" i="13" s="1"/>
  <c r="BK21" i="13" s="1"/>
  <c r="Y21" i="13"/>
  <c r="AL21" i="13" s="1"/>
  <c r="AY21" i="13" s="1"/>
  <c r="BL21" i="13" s="1"/>
  <c r="Z21" i="13"/>
  <c r="AM21" i="13" s="1"/>
  <c r="AZ21" i="13" s="1"/>
  <c r="BM21" i="13" s="1"/>
  <c r="AA21" i="13"/>
  <c r="AN21" i="13" s="1"/>
  <c r="BA21" i="13" s="1"/>
  <c r="BN21" i="13" s="1"/>
  <c r="AB21" i="13"/>
  <c r="AO21" i="13" s="1"/>
  <c r="BB21" i="13" s="1"/>
  <c r="BO21" i="13" s="1"/>
  <c r="Q21" i="13"/>
  <c r="E20" i="13"/>
  <c r="R20" i="13" s="1"/>
  <c r="AE20" i="13" s="1"/>
  <c r="AR20" i="13" s="1"/>
  <c r="F20" i="13"/>
  <c r="S20" i="13" s="1"/>
  <c r="AF20" i="13" s="1"/>
  <c r="AS20" i="13" s="1"/>
  <c r="BF20" i="13" s="1"/>
  <c r="G20" i="13"/>
  <c r="T20" i="13" s="1"/>
  <c r="AG20" i="13" s="1"/>
  <c r="AT20" i="13" s="1"/>
  <c r="BG20" i="13" s="1"/>
  <c r="H20" i="13"/>
  <c r="U20" i="13" s="1"/>
  <c r="AH20" i="13" s="1"/>
  <c r="AU20" i="13" s="1"/>
  <c r="BH20" i="13" s="1"/>
  <c r="I20" i="13"/>
  <c r="V20" i="13" s="1"/>
  <c r="AI20" i="13" s="1"/>
  <c r="AV20" i="13" s="1"/>
  <c r="BI20" i="13" s="1"/>
  <c r="J20" i="13"/>
  <c r="W20" i="13" s="1"/>
  <c r="AJ20" i="13" s="1"/>
  <c r="AW20" i="13" s="1"/>
  <c r="BJ20" i="13" s="1"/>
  <c r="K20" i="13"/>
  <c r="X20" i="13" s="1"/>
  <c r="AK20" i="13" s="1"/>
  <c r="AX20" i="13" s="1"/>
  <c r="BK20" i="13" s="1"/>
  <c r="L20" i="13"/>
  <c r="Y20" i="13" s="1"/>
  <c r="AL20" i="13" s="1"/>
  <c r="AY20" i="13" s="1"/>
  <c r="BL20" i="13" s="1"/>
  <c r="M20" i="13"/>
  <c r="Z20" i="13" s="1"/>
  <c r="AM20" i="13" s="1"/>
  <c r="AZ20" i="13" s="1"/>
  <c r="BM20" i="13" s="1"/>
  <c r="N20" i="13"/>
  <c r="AA20" i="13" s="1"/>
  <c r="AN20" i="13" s="1"/>
  <c r="BA20" i="13" s="1"/>
  <c r="BN20" i="13" s="1"/>
  <c r="O20" i="13"/>
  <c r="AB20" i="13" s="1"/>
  <c r="AO20" i="13" s="1"/>
  <c r="BB20" i="13" s="1"/>
  <c r="BO20" i="13" s="1"/>
  <c r="D20" i="13"/>
  <c r="Q20" i="13" s="1"/>
  <c r="AD20" i="13" s="1"/>
  <c r="AQ20" i="13" s="1"/>
  <c r="BD20" i="13" s="1"/>
  <c r="P19" i="13"/>
  <c r="P23" i="13"/>
  <c r="P6" i="13"/>
  <c r="E13" i="13"/>
  <c r="R13" i="13" s="1"/>
  <c r="AE13" i="13" s="1"/>
  <c r="AR13" i="13" s="1"/>
  <c r="BE13" i="13" s="1"/>
  <c r="F13" i="13"/>
  <c r="S13" i="13" s="1"/>
  <c r="G13" i="13"/>
  <c r="T13" i="13" s="1"/>
  <c r="AG13" i="13" s="1"/>
  <c r="AT13" i="13" s="1"/>
  <c r="BG13" i="13" s="1"/>
  <c r="H13" i="13"/>
  <c r="U13" i="13" s="1"/>
  <c r="AH13" i="13" s="1"/>
  <c r="AU13" i="13" s="1"/>
  <c r="BH13" i="13" s="1"/>
  <c r="I13" i="13"/>
  <c r="V13" i="13" s="1"/>
  <c r="AI13" i="13" s="1"/>
  <c r="AV13" i="13" s="1"/>
  <c r="BI13" i="13" s="1"/>
  <c r="J13" i="13"/>
  <c r="W13" i="13" s="1"/>
  <c r="AJ13" i="13" s="1"/>
  <c r="AW13" i="13" s="1"/>
  <c r="BJ13" i="13" s="1"/>
  <c r="K13" i="13"/>
  <c r="X13" i="13" s="1"/>
  <c r="AK13" i="13" s="1"/>
  <c r="AX13" i="13" s="1"/>
  <c r="BK13" i="13" s="1"/>
  <c r="L13" i="13"/>
  <c r="Y13" i="13" s="1"/>
  <c r="AL13" i="13" s="1"/>
  <c r="AY13" i="13" s="1"/>
  <c r="BL13" i="13" s="1"/>
  <c r="M13" i="13"/>
  <c r="Z13" i="13" s="1"/>
  <c r="AM13" i="13" s="1"/>
  <c r="AZ13" i="13" s="1"/>
  <c r="BM13" i="13" s="1"/>
  <c r="N13" i="13"/>
  <c r="AA13" i="13" s="1"/>
  <c r="AN13" i="13" s="1"/>
  <c r="BA13" i="13" s="1"/>
  <c r="BN13" i="13" s="1"/>
  <c r="O13" i="13"/>
  <c r="AB13" i="13" s="1"/>
  <c r="AO13" i="13" s="1"/>
  <c r="BB13" i="13" s="1"/>
  <c r="BO13" i="13" s="1"/>
  <c r="D13" i="13"/>
  <c r="E7" i="13"/>
  <c r="E14" i="13" s="1"/>
  <c r="F7" i="13"/>
  <c r="S7" i="13" s="1"/>
  <c r="AF7" i="13" s="1"/>
  <c r="AS7" i="13" s="1"/>
  <c r="BF7" i="13" s="1"/>
  <c r="T7" i="13"/>
  <c r="AG7" i="13" s="1"/>
  <c r="AT7" i="13" s="1"/>
  <c r="BG7" i="13" s="1"/>
  <c r="H7" i="13"/>
  <c r="U7" i="13" s="1"/>
  <c r="I7" i="13"/>
  <c r="I14" i="13" s="1"/>
  <c r="J7" i="13"/>
  <c r="W7" i="13" s="1"/>
  <c r="AJ7" i="13" s="1"/>
  <c r="AW7" i="13" s="1"/>
  <c r="BJ7" i="13" s="1"/>
  <c r="K7" i="13"/>
  <c r="X7" i="13" s="1"/>
  <c r="AK7" i="13" s="1"/>
  <c r="AX7" i="13" s="1"/>
  <c r="BK7" i="13" s="1"/>
  <c r="L7" i="13"/>
  <c r="Y7" i="13" s="1"/>
  <c r="M7" i="13"/>
  <c r="M14" i="13" s="1"/>
  <c r="N7" i="13"/>
  <c r="AA7" i="13" s="1"/>
  <c r="AN7" i="13" s="1"/>
  <c r="BA7" i="13" s="1"/>
  <c r="BN7" i="13" s="1"/>
  <c r="O7" i="13"/>
  <c r="AB7" i="13" s="1"/>
  <c r="AO7" i="13" s="1"/>
  <c r="BB7" i="13" s="1"/>
  <c r="BO7" i="13" s="1"/>
  <c r="D7" i="13"/>
  <c r="E7" i="3"/>
  <c r="E9" i="3" s="1"/>
  <c r="E11" i="3" s="1"/>
  <c r="E12" i="3" s="1"/>
  <c r="P7" i="13" l="1"/>
  <c r="P13" i="13"/>
  <c r="P10" i="13"/>
  <c r="AP12" i="13"/>
  <c r="AQ12" i="13"/>
  <c r="AP11" i="13"/>
  <c r="AQ11" i="13"/>
  <c r="AC12" i="13"/>
  <c r="AD10" i="13"/>
  <c r="AC10" i="13"/>
  <c r="AD18" i="13"/>
  <c r="AC11" i="13"/>
  <c r="P9" i="13"/>
  <c r="AD9" i="13"/>
  <c r="AC9" i="13"/>
  <c r="D14" i="13"/>
  <c r="P18" i="13"/>
  <c r="S18" i="13"/>
  <c r="AF18" i="13" s="1"/>
  <c r="AS18" i="13" s="1"/>
  <c r="BF18" i="13" s="1"/>
  <c r="P12" i="13"/>
  <c r="P11" i="13"/>
  <c r="Q7" i="13"/>
  <c r="Q13" i="13"/>
  <c r="AD13" i="13" s="1"/>
  <c r="AQ13" i="13" s="1"/>
  <c r="BD13" i="13" s="1"/>
  <c r="O14" i="13"/>
  <c r="K14" i="13"/>
  <c r="G14" i="13"/>
  <c r="P20" i="13"/>
  <c r="P22" i="13"/>
  <c r="Z7" i="13"/>
  <c r="AM7" i="13" s="1"/>
  <c r="AZ7" i="13" s="1"/>
  <c r="BM7" i="13" s="1"/>
  <c r="V7" i="13"/>
  <c r="AI7" i="13" s="1"/>
  <c r="AV7" i="13" s="1"/>
  <c r="BI7" i="13" s="1"/>
  <c r="R7" i="13"/>
  <c r="AE7" i="13" s="1"/>
  <c r="AR7" i="13" s="1"/>
  <c r="BE7" i="13" s="1"/>
  <c r="T22" i="13"/>
  <c r="AG22" i="13" s="1"/>
  <c r="AT22" i="13" s="1"/>
  <c r="BG22" i="13" s="1"/>
  <c r="N14" i="13"/>
  <c r="J14" i="13"/>
  <c r="F14" i="13"/>
  <c r="L14" i="13"/>
  <c r="H14" i="13"/>
  <c r="AC8" i="13"/>
  <c r="AP28" i="13"/>
  <c r="AD19" i="13"/>
  <c r="AC19" i="13"/>
  <c r="BE20" i="13"/>
  <c r="BP20" i="13" s="1"/>
  <c r="BC20" i="13"/>
  <c r="AC20" i="13"/>
  <c r="AP20" i="13"/>
  <c r="AQ28" i="13"/>
  <c r="AF6" i="13"/>
  <c r="AS6" i="13" s="1"/>
  <c r="BF6" i="13" s="1"/>
  <c r="S14" i="13"/>
  <c r="AD21" i="13"/>
  <c r="AC21" i="13"/>
  <c r="AR22" i="13"/>
  <c r="W14" i="13"/>
  <c r="AC28" i="13"/>
  <c r="BJ14" i="13"/>
  <c r="BO14" i="13"/>
  <c r="BK14" i="13"/>
  <c r="BG14" i="13"/>
  <c r="AD7" i="13"/>
  <c r="AQ7" i="13" s="1"/>
  <c r="BD7" i="13" s="1"/>
  <c r="AA14" i="13"/>
  <c r="AN6" i="13"/>
  <c r="BA6" i="13" s="1"/>
  <c r="BN6" i="13" s="1"/>
  <c r="BN14" i="13" s="1"/>
  <c r="AD8" i="13"/>
  <c r="AQ8" i="13" s="1"/>
  <c r="BD8" i="13" s="1"/>
  <c r="Y14" i="13"/>
  <c r="U14" i="13"/>
  <c r="AF13" i="13"/>
  <c r="AS13" i="13" s="1"/>
  <c r="BF13" i="13" s="1"/>
  <c r="AM8" i="13"/>
  <c r="AZ8" i="13" s="1"/>
  <c r="BM8" i="13" s="1"/>
  <c r="AI8" i="13"/>
  <c r="AV8" i="13" s="1"/>
  <c r="BI8" i="13" s="1"/>
  <c r="AE8" i="13"/>
  <c r="AR8" i="13" s="1"/>
  <c r="BE8" i="13" s="1"/>
  <c r="AL7" i="13"/>
  <c r="AY7" i="13" s="1"/>
  <c r="BL7" i="13" s="1"/>
  <c r="BL14" i="13" s="1"/>
  <c r="AH7" i="13"/>
  <c r="AU7" i="13" s="1"/>
  <c r="BH7" i="13" s="1"/>
  <c r="BH14" i="13" s="1"/>
  <c r="AT14" i="13"/>
  <c r="AG14" i="13"/>
  <c r="BB14" i="13"/>
  <c r="AO14" i="13"/>
  <c r="AJ14" i="13"/>
  <c r="AW14" i="13"/>
  <c r="AX14" i="13"/>
  <c r="AK14" i="13"/>
  <c r="AB14" i="13"/>
  <c r="X14" i="13"/>
  <c r="T14" i="13"/>
  <c r="AC6" i="13"/>
  <c r="P28" i="13"/>
  <c r="P21" i="13"/>
  <c r="P14" i="13" l="1"/>
  <c r="Z14" i="13"/>
  <c r="AC7" i="13"/>
  <c r="BI14" i="13"/>
  <c r="BM14" i="13"/>
  <c r="V14" i="13"/>
  <c r="BE14" i="13"/>
  <c r="AC13" i="13"/>
  <c r="Q14" i="13"/>
  <c r="BA14" i="13"/>
  <c r="BP13" i="13"/>
  <c r="AC22" i="13"/>
  <c r="AQ10" i="13"/>
  <c r="AP10" i="13"/>
  <c r="AP18" i="13"/>
  <c r="AQ18" i="13"/>
  <c r="BD12" i="13"/>
  <c r="BP12" i="13" s="1"/>
  <c r="BC12" i="13"/>
  <c r="R14" i="13"/>
  <c r="AQ9" i="13"/>
  <c r="AP9" i="13"/>
  <c r="AC18" i="13"/>
  <c r="BD11" i="13"/>
  <c r="BP11" i="13" s="1"/>
  <c r="BC11" i="13"/>
  <c r="AE14" i="13"/>
  <c r="AP22" i="13"/>
  <c r="AL14" i="13"/>
  <c r="AN14" i="13"/>
  <c r="AR14" i="13"/>
  <c r="AY14" i="13"/>
  <c r="AP6" i="13"/>
  <c r="AI14" i="13"/>
  <c r="AV14" i="13"/>
  <c r="AP7" i="13"/>
  <c r="AP8" i="13"/>
  <c r="BF14" i="13"/>
  <c r="BD28" i="13"/>
  <c r="BP28" i="13" s="1"/>
  <c r="BC28" i="13"/>
  <c r="AQ21" i="13"/>
  <c r="AP21" i="13"/>
  <c r="AQ19" i="13"/>
  <c r="AP19" i="13"/>
  <c r="BE22" i="13"/>
  <c r="BP22" i="13" s="1"/>
  <c r="BC22" i="13"/>
  <c r="BC8" i="13"/>
  <c r="AZ14" i="13"/>
  <c r="BP8" i="13"/>
  <c r="AM14" i="13"/>
  <c r="BP6" i="13"/>
  <c r="BP7" i="13"/>
  <c r="AD14" i="13"/>
  <c r="AU14" i="13"/>
  <c r="BC6" i="13"/>
  <c r="AH14" i="13"/>
  <c r="BC7" i="13"/>
  <c r="AF14" i="13"/>
  <c r="AS14" i="13"/>
  <c r="AP13" i="13"/>
  <c r="AC14" i="13" l="1"/>
  <c r="BD10" i="13"/>
  <c r="BP10" i="13" s="1"/>
  <c r="BC10" i="13"/>
  <c r="BD9" i="13"/>
  <c r="BC9" i="13"/>
  <c r="BD18" i="13"/>
  <c r="BP18" i="13" s="1"/>
  <c r="BC18" i="13"/>
  <c r="AQ14" i="13"/>
  <c r="AP14" i="13"/>
  <c r="BD21" i="13"/>
  <c r="BP21" i="13" s="1"/>
  <c r="BC21" i="13"/>
  <c r="BD19" i="13"/>
  <c r="BP19" i="13" s="1"/>
  <c r="BC19" i="13"/>
  <c r="BC13" i="13"/>
  <c r="BC14" i="13" l="1"/>
  <c r="BP9" i="13"/>
  <c r="BP14" i="13" s="1"/>
  <c r="BD14" i="13"/>
  <c r="G21" i="17" l="1"/>
  <c r="G17" i="17"/>
  <c r="G30" i="17" s="1"/>
  <c r="G70" i="17" s="1"/>
  <c r="E6" i="20" l="1"/>
  <c r="E19" i="4"/>
  <c r="G22" i="17"/>
  <c r="H22" i="17"/>
  <c r="K22" i="17"/>
  <c r="I22" i="17"/>
  <c r="G23" i="17"/>
  <c r="J22" i="17"/>
  <c r="G56" i="17" l="1"/>
  <c r="E42" i="4"/>
  <c r="E24" i="4"/>
  <c r="E23" i="4" s="1"/>
  <c r="E13" i="4"/>
  <c r="G33" i="17"/>
  <c r="E9" i="20" s="1"/>
  <c r="G24" i="17"/>
  <c r="G59" i="17" s="1"/>
  <c r="G44" i="17" l="1"/>
  <c r="G25" i="17"/>
  <c r="E39" i="20" l="1"/>
  <c r="E14" i="4"/>
  <c r="H21" i="17"/>
  <c r="H23" i="17" s="1"/>
  <c r="F42" i="4" l="1"/>
  <c r="F24" i="4"/>
  <c r="F23" i="4" s="1"/>
  <c r="F13" i="4"/>
  <c r="H33" i="17"/>
  <c r="F9" i="20" s="1"/>
  <c r="H56" i="17"/>
  <c r="H24" i="17"/>
  <c r="H59" i="17" s="1"/>
  <c r="H44" i="17" l="1"/>
  <c r="H25" i="17"/>
  <c r="I21" i="17" l="1"/>
  <c r="I23" i="17" s="1"/>
  <c r="I24" i="17" l="1"/>
  <c r="G42" i="4"/>
  <c r="G24" i="4"/>
  <c r="G23" i="4" s="1"/>
  <c r="G13" i="4"/>
  <c r="I44" i="17"/>
  <c r="I56" i="17"/>
  <c r="I33" i="17"/>
  <c r="G9" i="20" s="1"/>
  <c r="F14" i="4"/>
  <c r="F39" i="20"/>
  <c r="I25" i="17"/>
  <c r="D23" i="12"/>
  <c r="I59" i="17" l="1"/>
  <c r="J21" i="17"/>
  <c r="J23" i="17" s="1"/>
  <c r="J24" i="17" l="1"/>
  <c r="H42" i="4"/>
  <c r="H24" i="4"/>
  <c r="H23" i="4" s="1"/>
  <c r="H13" i="4"/>
  <c r="J44" i="17"/>
  <c r="J59" i="17"/>
  <c r="J33" i="17"/>
  <c r="H9" i="20" s="1"/>
  <c r="J56" i="17"/>
  <c r="G14" i="4"/>
  <c r="G39" i="20"/>
  <c r="J25" i="17"/>
  <c r="K21" i="17" l="1"/>
  <c r="K23" i="17" s="1"/>
  <c r="I42" i="4" l="1"/>
  <c r="I24" i="4"/>
  <c r="I23" i="4" s="1"/>
  <c r="I13" i="4"/>
  <c r="K56" i="17"/>
  <c r="K33" i="17"/>
  <c r="I9" i="20" s="1"/>
  <c r="H14" i="4"/>
  <c r="H39" i="20"/>
  <c r="K24" i="17"/>
  <c r="K59" i="17" s="1"/>
  <c r="K44" i="17" l="1"/>
  <c r="K25" i="17"/>
  <c r="F23" i="12"/>
  <c r="D25" i="12"/>
  <c r="D24" i="12"/>
  <c r="F24" i="12" s="1"/>
  <c r="D21" i="12"/>
  <c r="D22" i="12"/>
  <c r="G23" i="12"/>
  <c r="I14" i="4" l="1"/>
  <c r="I39" i="20"/>
  <c r="G24" i="12"/>
  <c r="N23" i="12"/>
  <c r="M23" i="12"/>
  <c r="L23" i="12"/>
  <c r="R23" i="12"/>
  <c r="O23" i="12"/>
  <c r="T23" i="12"/>
  <c r="Q23" i="12"/>
  <c r="P23" i="12"/>
  <c r="U23" i="12"/>
  <c r="S23" i="12"/>
  <c r="G25" i="12"/>
  <c r="F25" i="12"/>
  <c r="G21" i="12"/>
  <c r="F21" i="12"/>
  <c r="G22" i="12"/>
  <c r="F22" i="12"/>
  <c r="P24" i="12"/>
  <c r="O24" i="12"/>
  <c r="U24" i="12"/>
  <c r="T24" i="12"/>
  <c r="R24" i="12"/>
  <c r="M24" i="12"/>
  <c r="Q24" i="12"/>
  <c r="S24" i="12"/>
  <c r="N24" i="12"/>
  <c r="L24" i="12"/>
  <c r="E26" i="12"/>
  <c r="O22" i="12" l="1"/>
  <c r="M22" i="12"/>
  <c r="L22" i="12"/>
  <c r="U22" i="12"/>
  <c r="T22" i="12"/>
  <c r="S22" i="12"/>
  <c r="R22" i="12"/>
  <c r="Q22" i="12"/>
  <c r="P22" i="12"/>
  <c r="N22" i="12"/>
  <c r="S25" i="12"/>
  <c r="Q25" i="12"/>
  <c r="P25" i="12"/>
  <c r="M25" i="12"/>
  <c r="O25" i="12"/>
  <c r="R25" i="12"/>
  <c r="N25" i="12"/>
  <c r="L25" i="12"/>
  <c r="T25" i="12"/>
  <c r="U25" i="12"/>
  <c r="U21" i="12"/>
  <c r="T21" i="12"/>
  <c r="S21" i="12"/>
  <c r="R21" i="12"/>
  <c r="N21" i="12"/>
  <c r="Q21" i="12"/>
  <c r="M21" i="12"/>
  <c r="O21" i="12"/>
  <c r="L21" i="12"/>
  <c r="P21" i="12"/>
  <c r="M36" i="11"/>
  <c r="E26" i="20" s="1"/>
  <c r="F26" i="20" s="1"/>
  <c r="G26" i="20" s="1"/>
  <c r="H26" i="20" s="1"/>
  <c r="I26" i="20" s="1"/>
  <c r="F34" i="11"/>
  <c r="G34" i="11"/>
  <c r="H34" i="11"/>
  <c r="I34" i="11"/>
  <c r="E34" i="11"/>
  <c r="O34" i="11"/>
  <c r="M34" i="11"/>
  <c r="F28" i="11"/>
  <c r="F27" i="11"/>
  <c r="F20" i="11"/>
  <c r="E41" i="11" l="1"/>
  <c r="F29" i="11"/>
  <c r="M35" i="11" s="1"/>
  <c r="O36" i="11"/>
  <c r="F9" i="11"/>
  <c r="F10" i="11"/>
  <c r="F11" i="11"/>
  <c r="F12" i="11"/>
  <c r="F13" i="11"/>
  <c r="F14" i="11"/>
  <c r="F8" i="11"/>
  <c r="O35" i="11" l="1"/>
  <c r="E35" i="11" s="1"/>
  <c r="E25" i="20"/>
  <c r="F25" i="20" s="1"/>
  <c r="G25" i="20" s="1"/>
  <c r="H25" i="20" s="1"/>
  <c r="I25" i="20" s="1"/>
  <c r="H35" i="11"/>
  <c r="G35" i="11"/>
  <c r="F35" i="11"/>
  <c r="I35" i="11"/>
  <c r="G36" i="11"/>
  <c r="H36" i="11"/>
  <c r="I36" i="11"/>
  <c r="F36" i="11"/>
  <c r="E36" i="11"/>
  <c r="F15" i="11"/>
  <c r="M33" i="11" s="1"/>
  <c r="E24" i="20" s="1"/>
  <c r="F24" i="20" l="1"/>
  <c r="M37" i="11"/>
  <c r="E40" i="11"/>
  <c r="E42" i="11" s="1"/>
  <c r="O33" i="11"/>
  <c r="F33" i="11" s="1"/>
  <c r="F37" i="11" s="1"/>
  <c r="F22" i="4" s="1"/>
  <c r="H43" i="17" l="1"/>
  <c r="G24" i="20"/>
  <c r="H33" i="11"/>
  <c r="H37" i="11" s="1"/>
  <c r="H22" i="4" s="1"/>
  <c r="G33" i="11"/>
  <c r="G37" i="11" s="1"/>
  <c r="G22" i="4" s="1"/>
  <c r="I33" i="11"/>
  <c r="I37" i="11" s="1"/>
  <c r="I22" i="4" s="1"/>
  <c r="E33" i="11"/>
  <c r="E37" i="11" s="1"/>
  <c r="E22" i="4" s="1"/>
  <c r="E35" i="4" s="1"/>
  <c r="F35" i="4" s="1"/>
  <c r="G35" i="4" s="1"/>
  <c r="H35" i="4" s="1"/>
  <c r="I35" i="4" s="1"/>
  <c r="K43" i="17" l="1"/>
  <c r="J43" i="17"/>
  <c r="F8" i="20"/>
  <c r="G32" i="17"/>
  <c r="I43" i="17"/>
  <c r="H24" i="20"/>
  <c r="D35" i="4"/>
  <c r="D36" i="4" s="1"/>
  <c r="D25" i="4"/>
  <c r="D21" i="4"/>
  <c r="G43" i="17" l="1"/>
  <c r="G58" i="17"/>
  <c r="E10" i="4"/>
  <c r="E36" i="4" s="1"/>
  <c r="I24" i="20"/>
  <c r="G8" i="20"/>
  <c r="E8" i="20"/>
  <c r="H8" i="20"/>
  <c r="I8" i="20"/>
  <c r="F10" i="4" l="1"/>
  <c r="F36" i="4" s="1"/>
  <c r="G10" i="4" l="1"/>
  <c r="G36" i="4" s="1"/>
  <c r="I10" i="4" l="1"/>
  <c r="I36" i="4" s="1"/>
  <c r="H10" i="4"/>
  <c r="H36" i="4" s="1"/>
  <c r="H22" i="12" l="1"/>
  <c r="I22" i="12" s="1"/>
  <c r="J22" i="12" s="1"/>
  <c r="V22" i="12" s="1"/>
  <c r="F8" i="12" s="1"/>
  <c r="G8" i="12" s="1"/>
  <c r="H25" i="12" l="1"/>
  <c r="I25" i="12" s="1"/>
  <c r="J25" i="12" s="1"/>
  <c r="V25" i="12" s="1"/>
  <c r="F11" i="12" s="1"/>
  <c r="G11" i="12" s="1"/>
  <c r="H20" i="12"/>
  <c r="G20" i="12"/>
  <c r="H21" i="12"/>
  <c r="I21" i="12" s="1"/>
  <c r="J21" i="12" s="1"/>
  <c r="V21" i="12" s="1"/>
  <c r="F7" i="12" s="1"/>
  <c r="G7" i="12" s="1"/>
  <c r="H24" i="12"/>
  <c r="I24" i="12" s="1"/>
  <c r="J24" i="12" s="1"/>
  <c r="V24" i="12" s="1"/>
  <c r="F10" i="12" s="1"/>
  <c r="G10" i="12" s="1"/>
  <c r="H23" i="12"/>
  <c r="I23" i="12" s="1"/>
  <c r="J23" i="12" s="1"/>
  <c r="V23" i="12" s="1"/>
  <c r="F9" i="12" s="1"/>
  <c r="G9" i="12" s="1"/>
  <c r="D26" i="12"/>
  <c r="F20" i="12"/>
  <c r="I20" i="12" l="1"/>
  <c r="I26" i="12" s="1"/>
  <c r="G26" i="12"/>
  <c r="H26" i="12"/>
  <c r="U20" i="12"/>
  <c r="U26" i="12" s="1"/>
  <c r="R20" i="12"/>
  <c r="R26" i="12" s="1"/>
  <c r="M20" i="12"/>
  <c r="M26" i="12" s="1"/>
  <c r="L20" i="12"/>
  <c r="L26" i="12" s="1"/>
  <c r="F26" i="12"/>
  <c r="O20" i="12"/>
  <c r="O26" i="12" s="1"/>
  <c r="Q20" i="12"/>
  <c r="Q26" i="12" s="1"/>
  <c r="J20" i="12"/>
  <c r="N20" i="12"/>
  <c r="N26" i="12" s="1"/>
  <c r="S20" i="12"/>
  <c r="S26" i="12" s="1"/>
  <c r="T20" i="12"/>
  <c r="T26" i="12" s="1"/>
  <c r="P20" i="12"/>
  <c r="P26" i="12" s="1"/>
  <c r="J26" i="12" l="1"/>
  <c r="V20" i="12"/>
  <c r="V26" i="12" l="1"/>
  <c r="D17" i="13" s="1"/>
  <c r="F6" i="12"/>
  <c r="G6" i="12" s="1"/>
  <c r="G12" i="12" s="1"/>
  <c r="E17" i="13" l="1"/>
  <c r="D24" i="13"/>
  <c r="D30" i="13" s="1"/>
  <c r="Q17" i="13"/>
  <c r="AD17" i="13" l="1"/>
  <c r="Q24" i="13"/>
  <c r="Q30" i="13" s="1"/>
  <c r="F17" i="13"/>
  <c r="R17" i="13"/>
  <c r="E24" i="13"/>
  <c r="E30" i="13" s="1"/>
  <c r="G17" i="13" l="1"/>
  <c r="F24" i="13"/>
  <c r="F30" i="13" s="1"/>
  <c r="S17" i="13"/>
  <c r="R24" i="13"/>
  <c r="R30" i="13" s="1"/>
  <c r="AE17" i="13"/>
  <c r="AQ17" i="13"/>
  <c r="AD24" i="13"/>
  <c r="AD30" i="13" s="1"/>
  <c r="H17" i="13" l="1"/>
  <c r="T17" i="13"/>
  <c r="G24" i="13"/>
  <c r="G30" i="13" s="1"/>
  <c r="BD17" i="13"/>
  <c r="AQ24" i="13"/>
  <c r="AQ30" i="13" s="1"/>
  <c r="AF17" i="13"/>
  <c r="S24" i="13"/>
  <c r="S30" i="13" s="1"/>
  <c r="AE24" i="13"/>
  <c r="AE30" i="13" s="1"/>
  <c r="AR17" i="13"/>
  <c r="AG17" i="13" l="1"/>
  <c r="T24" i="13"/>
  <c r="T30" i="13" s="1"/>
  <c r="BD24" i="13"/>
  <c r="BD30" i="13" s="1"/>
  <c r="AS17" i="13"/>
  <c r="AF24" i="13"/>
  <c r="AF30" i="13" s="1"/>
  <c r="AR24" i="13"/>
  <c r="AR30" i="13" s="1"/>
  <c r="BE17" i="13"/>
  <c r="BE24" i="13" s="1"/>
  <c r="BE30" i="13" s="1"/>
  <c r="I17" i="13"/>
  <c r="H24" i="13"/>
  <c r="H30" i="13" s="1"/>
  <c r="U17" i="13"/>
  <c r="J17" i="13" l="1"/>
  <c r="I24" i="13"/>
  <c r="I30" i="13" s="1"/>
  <c r="V17" i="13"/>
  <c r="AH17" i="13"/>
  <c r="U24" i="13"/>
  <c r="U30" i="13" s="1"/>
  <c r="AS24" i="13"/>
  <c r="AS30" i="13" s="1"/>
  <c r="BF17" i="13"/>
  <c r="BF24" i="13" s="1"/>
  <c r="BF30" i="13" s="1"/>
  <c r="AT17" i="13"/>
  <c r="AG24" i="13"/>
  <c r="AG30" i="13" s="1"/>
  <c r="BG17" i="13" l="1"/>
  <c r="BG24" i="13" s="1"/>
  <c r="BG30" i="13" s="1"/>
  <c r="AT24" i="13"/>
  <c r="AT30" i="13" s="1"/>
  <c r="AI17" i="13"/>
  <c r="V24" i="13"/>
  <c r="V30" i="13" s="1"/>
  <c r="AH24" i="13"/>
  <c r="AH30" i="13" s="1"/>
  <c r="AU17" i="13"/>
  <c r="K17" i="13"/>
  <c r="W17" i="13"/>
  <c r="J24" i="13"/>
  <c r="J30" i="13" s="1"/>
  <c r="AI24" i="13" l="1"/>
  <c r="AI30" i="13" s="1"/>
  <c r="AV17" i="13"/>
  <c r="AU24" i="13"/>
  <c r="AU30" i="13" s="1"/>
  <c r="BH17" i="13"/>
  <c r="AJ17" i="13"/>
  <c r="W24" i="13"/>
  <c r="W30" i="13" s="1"/>
  <c r="L17" i="13"/>
  <c r="K24" i="13"/>
  <c r="K30" i="13" s="1"/>
  <c r="X17" i="13"/>
  <c r="AK17" i="13" l="1"/>
  <c r="X24" i="13"/>
  <c r="X30" i="13" s="1"/>
  <c r="AJ24" i="13"/>
  <c r="AJ30" i="13" s="1"/>
  <c r="AW17" i="13"/>
  <c r="AV24" i="13"/>
  <c r="AV30" i="13" s="1"/>
  <c r="BI17" i="13"/>
  <c r="BI24" i="13" s="1"/>
  <c r="BI30" i="13" s="1"/>
  <c r="M17" i="13"/>
  <c r="L24" i="13"/>
  <c r="L30" i="13" s="1"/>
  <c r="Y17" i="13"/>
  <c r="BH24" i="13"/>
  <c r="BH30" i="13" s="1"/>
  <c r="AW24" i="13" l="1"/>
  <c r="AW30" i="13" s="1"/>
  <c r="BJ17" i="13"/>
  <c r="BJ24" i="13" s="1"/>
  <c r="BJ30" i="13" s="1"/>
  <c r="N17" i="13"/>
  <c r="Z17" i="13"/>
  <c r="M24" i="13"/>
  <c r="M30" i="13" s="1"/>
  <c r="AL17" i="13"/>
  <c r="Y24" i="13"/>
  <c r="Y30" i="13" s="1"/>
  <c r="AK24" i="13"/>
  <c r="AK30" i="13" s="1"/>
  <c r="AX17" i="13"/>
  <c r="O17" i="13" l="1"/>
  <c r="AA17" i="13"/>
  <c r="N24" i="13"/>
  <c r="N30" i="13" s="1"/>
  <c r="AY17" i="13"/>
  <c r="AL24" i="13"/>
  <c r="AL30" i="13" s="1"/>
  <c r="BK17" i="13"/>
  <c r="BK24" i="13" s="1"/>
  <c r="BK30" i="13" s="1"/>
  <c r="AX24" i="13"/>
  <c r="AX30" i="13" s="1"/>
  <c r="AM17" i="13"/>
  <c r="Z24" i="13"/>
  <c r="Z30" i="13" s="1"/>
  <c r="AZ17" i="13" l="1"/>
  <c r="AM24" i="13"/>
  <c r="AM30" i="13" s="1"/>
  <c r="BL17" i="13"/>
  <c r="BL24" i="13" s="1"/>
  <c r="BL30" i="13" s="1"/>
  <c r="AY24" i="13"/>
  <c r="AY30" i="13" s="1"/>
  <c r="AN17" i="13"/>
  <c r="AA24" i="13"/>
  <c r="AA30" i="13" s="1"/>
  <c r="O24" i="13"/>
  <c r="O30" i="13" s="1"/>
  <c r="AB17" i="13"/>
  <c r="P17" i="13"/>
  <c r="P24" i="13" s="1"/>
  <c r="P30" i="13" l="1"/>
  <c r="G31" i="17"/>
  <c r="E20" i="4" s="1"/>
  <c r="E21" i="4" s="1"/>
  <c r="E25" i="4" s="1"/>
  <c r="E26" i="4" s="1"/>
  <c r="E27" i="4" s="1"/>
  <c r="AO17" i="13"/>
  <c r="AB24" i="13"/>
  <c r="AB30" i="13" s="1"/>
  <c r="AC17" i="13"/>
  <c r="AC24" i="13" s="1"/>
  <c r="AN24" i="13"/>
  <c r="AN30" i="13" s="1"/>
  <c r="BA17" i="13"/>
  <c r="BM17" i="13"/>
  <c r="BM24" i="13" s="1"/>
  <c r="BM30" i="13" s="1"/>
  <c r="AZ24" i="13"/>
  <c r="AZ30" i="13" s="1"/>
  <c r="E7" i="20" l="1"/>
  <c r="AC30" i="13"/>
  <c r="F20" i="4" s="1"/>
  <c r="G34" i="17"/>
  <c r="E10" i="20" s="1"/>
  <c r="E50" i="20" s="1"/>
  <c r="BN17" i="13"/>
  <c r="BN24" i="13" s="1"/>
  <c r="BN30" i="13" s="1"/>
  <c r="BA24" i="13"/>
  <c r="BA30" i="13" s="1"/>
  <c r="AO24" i="13"/>
  <c r="AO30" i="13" s="1"/>
  <c r="BB17" i="13"/>
  <c r="AP17" i="13"/>
  <c r="AP24" i="13" s="1"/>
  <c r="F7" i="20" l="1"/>
  <c r="G35" i="17"/>
  <c r="G62" i="17" s="1"/>
  <c r="AP30" i="13"/>
  <c r="BO17" i="13"/>
  <c r="BB24" i="13"/>
  <c r="BB30" i="13" s="1"/>
  <c r="BC17" i="13"/>
  <c r="BC24" i="13" s="1"/>
  <c r="G41" i="17" l="1"/>
  <c r="G7" i="20"/>
  <c r="G20" i="4"/>
  <c r="G36" i="17"/>
  <c r="E11" i="20"/>
  <c r="BC30" i="13"/>
  <c r="BO24" i="13"/>
  <c r="BO30" i="13" s="1"/>
  <c r="BP17" i="13"/>
  <c r="BP24" i="13" s="1"/>
  <c r="G54" i="17" l="1"/>
  <c r="E35" i="20"/>
  <c r="E40" i="20" s="1"/>
  <c r="G55" i="17"/>
  <c r="G40" i="17"/>
  <c r="G42" i="17" s="1"/>
  <c r="H7" i="20"/>
  <c r="H20" i="4"/>
  <c r="E12" i="20"/>
  <c r="BP30" i="13"/>
  <c r="E12" i="4" l="1"/>
  <c r="G57" i="17"/>
  <c r="G45" i="17"/>
  <c r="I7" i="20"/>
  <c r="I20" i="4"/>
  <c r="D46" i="20"/>
  <c r="G48" i="17" l="1"/>
  <c r="E43" i="20" s="1"/>
  <c r="E18" i="20"/>
  <c r="E31" i="4"/>
  <c r="G60" i="17"/>
  <c r="G71" i="17" s="1"/>
  <c r="G63" i="17"/>
  <c r="D22" i="20"/>
  <c r="D7" i="4"/>
  <c r="D34" i="4" s="1"/>
  <c r="D32" i="4" s="1"/>
  <c r="G74" i="17" l="1"/>
  <c r="E44" i="20"/>
  <c r="E46" i="20" s="1"/>
  <c r="E7" i="4"/>
  <c r="E34" i="4" s="1"/>
  <c r="D47" i="20"/>
  <c r="D48" i="20" s="1"/>
  <c r="E49" i="4" l="1"/>
  <c r="I78" i="17"/>
  <c r="E22" i="20"/>
  <c r="G65" i="17" l="1"/>
  <c r="G66" i="17" s="1"/>
  <c r="E28" i="20"/>
  <c r="G52" i="17" s="1"/>
  <c r="E15" i="4" l="1"/>
  <c r="E11" i="4"/>
  <c r="E47" i="20"/>
  <c r="D6" i="19"/>
  <c r="E52" i="20"/>
  <c r="E48" i="20" l="1"/>
  <c r="E16" i="4"/>
  <c r="E39" i="4" s="1"/>
  <c r="E40" i="4" s="1"/>
  <c r="D7" i="19" l="1"/>
  <c r="D19" i="19" s="1"/>
  <c r="D18" i="19" l="1"/>
  <c r="D20" i="19" s="1"/>
  <c r="P9" i="19" s="1"/>
  <c r="N12" i="19" s="1"/>
  <c r="L15" i="19" s="1"/>
  <c r="N18" i="19" s="1"/>
  <c r="D21" i="19" l="1"/>
  <c r="D23" i="19" s="1"/>
  <c r="D27" i="19" s="1"/>
  <c r="E43" i="4" s="1"/>
  <c r="H17" i="17" l="1"/>
  <c r="I30" i="17" l="1"/>
  <c r="H30" i="17"/>
  <c r="F19" i="4" l="1"/>
  <c r="F21" i="4" s="1"/>
  <c r="F25" i="4" s="1"/>
  <c r="F26" i="4" s="1"/>
  <c r="F27" i="4" s="1"/>
  <c r="H34" i="17"/>
  <c r="H70" i="17"/>
  <c r="G19" i="4"/>
  <c r="G21" i="4" s="1"/>
  <c r="G25" i="4" s="1"/>
  <c r="G26" i="4" s="1"/>
  <c r="G27" i="4" s="1"/>
  <c r="I34" i="17"/>
  <c r="I70" i="17"/>
  <c r="J30" i="17"/>
  <c r="K30" i="17"/>
  <c r="F6" i="20"/>
  <c r="G6" i="20"/>
  <c r="I35" i="17" l="1"/>
  <c r="I62" i="17" s="1"/>
  <c r="I19" i="4"/>
  <c r="I21" i="4" s="1"/>
  <c r="I25" i="4" s="1"/>
  <c r="I26" i="4" s="1"/>
  <c r="I27" i="4" s="1"/>
  <c r="K70" i="17"/>
  <c r="K34" i="17"/>
  <c r="H19" i="4"/>
  <c r="H21" i="4" s="1"/>
  <c r="H25" i="4" s="1"/>
  <c r="H26" i="4" s="1"/>
  <c r="H27" i="4" s="1"/>
  <c r="J70" i="17"/>
  <c r="J34" i="17"/>
  <c r="H35" i="17"/>
  <c r="F10" i="20"/>
  <c r="F50" i="20" s="1"/>
  <c r="I6" i="20"/>
  <c r="G10" i="20"/>
  <c r="G50" i="20" s="1"/>
  <c r="H6" i="20"/>
  <c r="H62" i="17" l="1"/>
  <c r="H41" i="17"/>
  <c r="I41" i="17"/>
  <c r="I55" i="17" s="1"/>
  <c r="H36" i="17"/>
  <c r="H54" i="17" s="1"/>
  <c r="J35" i="17"/>
  <c r="J62" i="17" s="1"/>
  <c r="K35" i="17"/>
  <c r="K62" i="17" s="1"/>
  <c r="I36" i="17"/>
  <c r="I54" i="17" s="1"/>
  <c r="H55" i="17"/>
  <c r="H57" i="17" s="1"/>
  <c r="G11" i="20"/>
  <c r="F11" i="20"/>
  <c r="I10" i="20"/>
  <c r="I50" i="20" s="1"/>
  <c r="H10" i="20"/>
  <c r="H50" i="20" s="1"/>
  <c r="H40" i="17" l="1"/>
  <c r="H42" i="17" s="1"/>
  <c r="H45" i="17" s="1"/>
  <c r="F18" i="20" s="1"/>
  <c r="I40" i="17"/>
  <c r="I42" i="17" s="1"/>
  <c r="I45" i="17" s="1"/>
  <c r="K41" i="17"/>
  <c r="K55" i="17" s="1"/>
  <c r="I57" i="17"/>
  <c r="I60" i="17" s="1"/>
  <c r="I71" i="17" s="1"/>
  <c r="J41" i="17"/>
  <c r="J55" i="17" s="1"/>
  <c r="K36" i="17"/>
  <c r="K54" i="17" s="1"/>
  <c r="J36" i="17"/>
  <c r="J54" i="17" s="1"/>
  <c r="H60" i="17"/>
  <c r="H71" i="17" s="1"/>
  <c r="H63" i="17"/>
  <c r="I63" i="17"/>
  <c r="F35" i="20"/>
  <c r="F40" i="20" s="1"/>
  <c r="F12" i="4"/>
  <c r="G35" i="20"/>
  <c r="G40" i="20" s="1"/>
  <c r="G12" i="4"/>
  <c r="H11" i="20"/>
  <c r="I11" i="20"/>
  <c r="F12" i="20"/>
  <c r="G12" i="20"/>
  <c r="K40" i="17"/>
  <c r="K42" i="17" l="1"/>
  <c r="K45" i="17" s="1"/>
  <c r="K48" i="17" s="1"/>
  <c r="K74" i="17" s="1"/>
  <c r="I48" i="17"/>
  <c r="G18" i="20"/>
  <c r="H48" i="17"/>
  <c r="J57" i="17"/>
  <c r="J60" i="17" s="1"/>
  <c r="J71" i="17" s="1"/>
  <c r="K57" i="17"/>
  <c r="K60" i="17" s="1"/>
  <c r="K71" i="17" s="1"/>
  <c r="H12" i="20"/>
  <c r="J40" i="17"/>
  <c r="J42" i="17" s="1"/>
  <c r="J45" i="17" s="1"/>
  <c r="H35" i="20"/>
  <c r="H40" i="20" s="1"/>
  <c r="H12" i="4"/>
  <c r="I35" i="20"/>
  <c r="I40" i="20" s="1"/>
  <c r="I12" i="4"/>
  <c r="I12" i="20"/>
  <c r="I31" i="4" l="1"/>
  <c r="I49" i="4" s="1"/>
  <c r="J48" i="17"/>
  <c r="H18" i="20"/>
  <c r="I18" i="20" s="1"/>
  <c r="H74" i="17"/>
  <c r="F43" i="20" s="1"/>
  <c r="F31" i="4"/>
  <c r="F49" i="4" s="1"/>
  <c r="I74" i="17"/>
  <c r="G31" i="4"/>
  <c r="G49" i="4" s="1"/>
  <c r="H31" i="4"/>
  <c r="H49" i="4" s="1"/>
  <c r="K63" i="17"/>
  <c r="J63" i="17"/>
  <c r="J74" i="17"/>
  <c r="F52" i="20"/>
  <c r="G43" i="20" l="1"/>
  <c r="F44" i="20"/>
  <c r="F22" i="20"/>
  <c r="F7" i="4"/>
  <c r="F34" i="4" s="1"/>
  <c r="I80" i="17"/>
  <c r="G32" i="4"/>
  <c r="I81" i="17"/>
  <c r="H32" i="4"/>
  <c r="I79" i="17"/>
  <c r="H52" i="20"/>
  <c r="I52" i="20"/>
  <c r="G52" i="20"/>
  <c r="H43" i="20" l="1"/>
  <c r="G44" i="20"/>
  <c r="F28" i="20"/>
  <c r="H52" i="17" s="1"/>
  <c r="H65" i="17"/>
  <c r="H66" i="17" s="1"/>
  <c r="G22" i="20"/>
  <c r="G7" i="4"/>
  <c r="G34" i="4" s="1"/>
  <c r="F32" i="4"/>
  <c r="I82" i="17"/>
  <c r="H44" i="20" l="1"/>
  <c r="I43" i="20"/>
  <c r="I44" i="20" s="1"/>
  <c r="E6" i="19"/>
  <c r="F15" i="4"/>
  <c r="F11" i="4"/>
  <c r="F47" i="20"/>
  <c r="G28" i="20"/>
  <c r="I52" i="17" s="1"/>
  <c r="I65" i="17"/>
  <c r="I66" i="17" s="1"/>
  <c r="H22" i="20"/>
  <c r="H7" i="4"/>
  <c r="H34" i="4" s="1"/>
  <c r="F16" i="4" l="1"/>
  <c r="F39" i="4" s="1"/>
  <c r="F41" i="4" s="1"/>
  <c r="F6" i="19"/>
  <c r="E7" i="19"/>
  <c r="E19" i="19" s="1"/>
  <c r="F7" i="19"/>
  <c r="G47" i="20"/>
  <c r="G11" i="4"/>
  <c r="H28" i="20"/>
  <c r="J52" i="17" s="1"/>
  <c r="J65" i="17"/>
  <c r="J66" i="17" s="1"/>
  <c r="I22" i="20"/>
  <c r="I28" i="20" s="1"/>
  <c r="I7" i="4"/>
  <c r="I34" i="4" s="1"/>
  <c r="F40" i="4" l="1"/>
  <c r="F18" i="19"/>
  <c r="F46" i="20"/>
  <c r="F48" i="20" s="1"/>
  <c r="G46" i="20"/>
  <c r="G48" i="20" s="1"/>
  <c r="G6" i="19"/>
  <c r="G15" i="4"/>
  <c r="H11" i="4"/>
  <c r="H47" i="20"/>
  <c r="K65" i="17"/>
  <c r="K66" i="17" s="1"/>
  <c r="E18" i="19"/>
  <c r="E20" i="19" s="1"/>
  <c r="X9" i="19" s="1"/>
  <c r="V12" i="19" s="1"/>
  <c r="T15" i="19" s="1"/>
  <c r="V18" i="19" s="1"/>
  <c r="F19" i="19"/>
  <c r="F20" i="19" l="1"/>
  <c r="F21" i="19" s="1"/>
  <c r="F23" i="19" s="1"/>
  <c r="F27" i="19" s="1"/>
  <c r="G43" i="4" s="1"/>
  <c r="G16" i="4"/>
  <c r="G39" i="4" s="1"/>
  <c r="G41" i="4" s="1"/>
  <c r="H15" i="4"/>
  <c r="H16" i="4" s="1"/>
  <c r="H39" i="4" s="1"/>
  <c r="H41" i="4" s="1"/>
  <c r="I47" i="20"/>
  <c r="K52" i="17"/>
  <c r="H6" i="19"/>
  <c r="I11" i="4"/>
  <c r="E21" i="19"/>
  <c r="E23" i="19" s="1"/>
  <c r="E27" i="19" s="1"/>
  <c r="F43" i="4" s="1"/>
  <c r="H46" i="20"/>
  <c r="H48" i="20" s="1"/>
  <c r="G7" i="19"/>
  <c r="I15" i="4"/>
  <c r="AF9" i="19" l="1"/>
  <c r="AD12" i="19" s="1"/>
  <c r="AB15" i="19" s="1"/>
  <c r="AD18" i="19" s="1"/>
  <c r="F44" i="4"/>
  <c r="F48" i="4" s="1"/>
  <c r="F50" i="4" s="1"/>
  <c r="G40" i="4"/>
  <c r="H40" i="4"/>
  <c r="G18" i="19"/>
  <c r="G19" i="19"/>
  <c r="I46" i="20"/>
  <c r="I48" i="20" s="1"/>
  <c r="H7" i="19"/>
  <c r="I16" i="4"/>
  <c r="I39" i="4" s="1"/>
  <c r="G44" i="4" l="1"/>
  <c r="G48" i="4" s="1"/>
  <c r="G50" i="4" s="1"/>
  <c r="G20" i="19"/>
  <c r="G21" i="19" s="1"/>
  <c r="G23" i="19" s="1"/>
  <c r="G27" i="19" s="1"/>
  <c r="H43" i="4" s="1"/>
  <c r="I41" i="4"/>
  <c r="I40" i="4"/>
  <c r="H19" i="19"/>
  <c r="H18" i="19"/>
  <c r="E41" i="4"/>
  <c r="E44" i="4" s="1"/>
  <c r="H44" i="4" l="1"/>
  <c r="H48" i="4" s="1"/>
  <c r="H50" i="4" s="1"/>
  <c r="H20" i="19"/>
  <c r="H21" i="19" s="1"/>
  <c r="H23" i="19" s="1"/>
  <c r="H27" i="19" s="1"/>
  <c r="I43" i="4" s="1"/>
  <c r="I44" i="4" s="1"/>
  <c r="AN9" i="19"/>
  <c r="AL12" i="19" s="1"/>
  <c r="AJ15" i="19" s="1"/>
  <c r="AL18" i="19" s="1"/>
  <c r="E48" i="4"/>
  <c r="E50" i="4" s="1"/>
  <c r="D51" i="4" l="1"/>
  <c r="I48" i="4"/>
  <c r="I50" i="4" s="1"/>
  <c r="AV9" i="19"/>
  <c r="AT12" i="19" s="1"/>
  <c r="AR15" i="19" s="1"/>
  <c r="AT18" i="19" s="1"/>
  <c r="J50" i="4" l="1"/>
  <c r="I32" i="4" s="1"/>
  <c r="F11" i="14" l="1"/>
  <c r="F74" i="17" s="1"/>
  <c r="I77" i="17" s="1"/>
  <c r="F80" i="17" l="1"/>
  <c r="F81" i="17"/>
  <c r="F79" i="17" l="1"/>
  <c r="F78" i="17"/>
  <c r="N23" i="17"/>
</calcChain>
</file>

<file path=xl/sharedStrings.xml><?xml version="1.0" encoding="utf-8"?>
<sst xmlns="http://schemas.openxmlformats.org/spreadsheetml/2006/main" count="1344" uniqueCount="912">
  <si>
    <t>Precio de venta</t>
  </si>
  <si>
    <t>Ventas</t>
  </si>
  <si>
    <t>INFLACIÓN ANUAL ESPERADA</t>
  </si>
  <si>
    <t>Año 1</t>
  </si>
  <si>
    <t>Año 2</t>
  </si>
  <si>
    <t>Año 3</t>
  </si>
  <si>
    <t>Año 4</t>
  </si>
  <si>
    <t>Año 5</t>
  </si>
  <si>
    <t>Año 0</t>
  </si>
  <si>
    <t>UTILIDAD NETA</t>
  </si>
  <si>
    <t>CAPITAL DE TRABAJO</t>
  </si>
  <si>
    <t>INCREMENTO REAL DEL PRECIO</t>
  </si>
  <si>
    <t>AMORTIZACIÓN CRÉDITO</t>
  </si>
  <si>
    <t>Saldo inicial</t>
  </si>
  <si>
    <t>Cuota</t>
  </si>
  <si>
    <t>Interés</t>
  </si>
  <si>
    <t>Saldo final</t>
  </si>
  <si>
    <t>INCREMENTO UNIDADES VENDIDAS</t>
  </si>
  <si>
    <t>EXPANSIÓN</t>
  </si>
  <si>
    <t>NORMAL</t>
  </si>
  <si>
    <t>RECESIÓN</t>
  </si>
  <si>
    <t>CANTIDAD INICIAL VENDIDA</t>
  </si>
  <si>
    <t>PRECIO INICIAL DE VENTA</t>
  </si>
  <si>
    <t>ESTADOS FINANCIEROS PROYECTADOS ASEGURATE</t>
  </si>
  <si>
    <t>BALANCE GENERAL</t>
  </si>
  <si>
    <t xml:space="preserve"> AÑO 0 </t>
  </si>
  <si>
    <t>AÑO 1</t>
  </si>
  <si>
    <t xml:space="preserve"> AÑO 2 </t>
  </si>
  <si>
    <t>AÑO 3</t>
  </si>
  <si>
    <t xml:space="preserve"> AÑO 4 </t>
  </si>
  <si>
    <t>AÑO 5</t>
  </si>
  <si>
    <t>Total Activo</t>
  </si>
  <si>
    <t>Obligaciones CP</t>
  </si>
  <si>
    <t>Obligaciones LP</t>
  </si>
  <si>
    <t>Patrimonio</t>
  </si>
  <si>
    <t>Total Pasivo + Patrimonio</t>
  </si>
  <si>
    <t>ESTADO DE RESULTADO</t>
  </si>
  <si>
    <t>Costo</t>
  </si>
  <si>
    <t>Margen de Ventas</t>
  </si>
  <si>
    <t>Depreciaciones</t>
  </si>
  <si>
    <t>Intereses</t>
  </si>
  <si>
    <t>Intereses CP</t>
  </si>
  <si>
    <t>UAI</t>
  </si>
  <si>
    <t>TX</t>
  </si>
  <si>
    <t>U Neta</t>
  </si>
  <si>
    <t xml:space="preserve">FLUJO DE CAJA LIBRE </t>
  </si>
  <si>
    <t>DEPRECIACIÓN ACUMULUDA</t>
  </si>
  <si>
    <t xml:space="preserve">ACTIVO FIJO BRUTO </t>
  </si>
  <si>
    <t>DEUDA FINANCIE+PATRIMONIO</t>
  </si>
  <si>
    <t>% K</t>
  </si>
  <si>
    <t>% D</t>
  </si>
  <si>
    <t>Kd</t>
  </si>
  <si>
    <t xml:space="preserve">ke </t>
  </si>
  <si>
    <t>WACC dtx</t>
  </si>
  <si>
    <t>FACTOR</t>
  </si>
  <si>
    <t>FLUJO DESCONTADO</t>
  </si>
  <si>
    <t>ROOLING WACC</t>
  </si>
  <si>
    <t>VALOR TERMINAL</t>
  </si>
  <si>
    <t>AÑO 2</t>
  </si>
  <si>
    <t xml:space="preserve">AÑO 4 </t>
  </si>
  <si>
    <t xml:space="preserve">VENTAS </t>
  </si>
  <si>
    <t>AÑO 0</t>
  </si>
  <si>
    <t>VIDA UTIL</t>
  </si>
  <si>
    <t>ACTIVOS</t>
  </si>
  <si>
    <t xml:space="preserve">VALOR </t>
  </si>
  <si>
    <t>SALVA.</t>
  </si>
  <si>
    <t xml:space="preserve">VALOR SALV. </t>
  </si>
  <si>
    <t>DEP. MUEBLES  Y ENSERES</t>
  </si>
  <si>
    <t>MUEBLES Y ENSERES</t>
  </si>
  <si>
    <t>DIFERIDOS</t>
  </si>
  <si>
    <t>AMORT. ACTIVOS  DIFERIDOS</t>
  </si>
  <si>
    <t>TOTAL ACTIVOS</t>
  </si>
  <si>
    <t>DEPRECIACIÓN TOTAL</t>
  </si>
  <si>
    <t>AÑO 4</t>
  </si>
  <si>
    <t>CRÉDITOS</t>
  </si>
  <si>
    <t>AÑOS</t>
  </si>
  <si>
    <t xml:space="preserve">% </t>
  </si>
  <si>
    <t>CUOTA FIJA</t>
  </si>
  <si>
    <t>EA</t>
  </si>
  <si>
    <t>COSTOS FIJOS</t>
  </si>
  <si>
    <t>COSTO TOTAL</t>
  </si>
  <si>
    <t xml:space="preserve">DEPRECIACIÓN </t>
  </si>
  <si>
    <t>IMPUESTO DE RENTA</t>
  </si>
  <si>
    <t>GASTO FINANCIERO</t>
  </si>
  <si>
    <t>UTILIDAD ANTES DE TX</t>
  </si>
  <si>
    <t>PROVISIÓN DE TX</t>
  </si>
  <si>
    <t>COSTO DEL APORTE</t>
  </si>
  <si>
    <t>PERIODO</t>
  </si>
  <si>
    <t xml:space="preserve">FLUJO DE CAJA </t>
  </si>
  <si>
    <t>VNP</t>
  </si>
  <si>
    <t>B/C</t>
  </si>
  <si>
    <t xml:space="preserve">TIR </t>
  </si>
  <si>
    <t>TIRM</t>
  </si>
  <si>
    <t xml:space="preserve">CAUE (VPN * TIO) </t>
  </si>
  <si>
    <t>Disponible</t>
  </si>
  <si>
    <t>Depreciación acumulada</t>
  </si>
  <si>
    <t>Proveedores</t>
  </si>
  <si>
    <t>Impuestos por pagar</t>
  </si>
  <si>
    <t>Otros pasivos corrientes</t>
  </si>
  <si>
    <t>Utilidades del ejercicio</t>
  </si>
  <si>
    <t xml:space="preserve">BALANCE INICIAL </t>
  </si>
  <si>
    <t xml:space="preserve">INVERSIONES </t>
  </si>
  <si>
    <t>MESAS</t>
  </si>
  <si>
    <t xml:space="preserve">SILLAS </t>
  </si>
  <si>
    <t>ARCHIVADOR</t>
  </si>
  <si>
    <t xml:space="preserve">LAMPARAS </t>
  </si>
  <si>
    <t>COMPUTADORES</t>
  </si>
  <si>
    <t xml:space="preserve">IMPRESORA </t>
  </si>
  <si>
    <t>PANTALLAS</t>
  </si>
  <si>
    <t>MESA DE JUNTAS</t>
  </si>
  <si>
    <t>SILLA DE JUNTAS</t>
  </si>
  <si>
    <t>CANTIDAD</t>
  </si>
  <si>
    <t>VALOR TOTAL</t>
  </si>
  <si>
    <t>VALOR TOTAL MUEBLES Y ENSERES</t>
  </si>
  <si>
    <t xml:space="preserve">EQUIPO DE COMPUTACIÓN </t>
  </si>
  <si>
    <t>SOFTWARE</t>
  </si>
  <si>
    <t>HOSTING</t>
  </si>
  <si>
    <t>VALOR ANUAL</t>
  </si>
  <si>
    <t>V. UNITARIO</t>
  </si>
  <si>
    <t>https://www.hostdime.com.co/servidores-dedicados#planes-col</t>
  </si>
  <si>
    <t>DEP. SOFTWARE</t>
  </si>
  <si>
    <t>DEP. EQUIPO DE COMPUTO</t>
  </si>
  <si>
    <t>EQUIPO DE COMPUTO</t>
  </si>
  <si>
    <t xml:space="preserve">CANTIDAD </t>
  </si>
  <si>
    <t>VALOR TOTAL EQUIPOS DE COMPUTO</t>
  </si>
  <si>
    <t>https://www.gerencie.com/vida-util-de-los-activos-fijos.html</t>
  </si>
  <si>
    <t>TOTAL DEUDA PARA INVERSIÓN EN ACTIVOS FIJOS</t>
  </si>
  <si>
    <t>TOTAL DEUDA PARA DIFERIDOS</t>
  </si>
  <si>
    <t xml:space="preserve">TOTAL DEUDA </t>
  </si>
  <si>
    <t>CARGO</t>
  </si>
  <si>
    <t>Salario Base</t>
  </si>
  <si>
    <t>Auxilio de transporte</t>
  </si>
  <si>
    <t>Total devengado</t>
  </si>
  <si>
    <t>Neto Pagado</t>
  </si>
  <si>
    <t>Salud</t>
  </si>
  <si>
    <t>Pensión</t>
  </si>
  <si>
    <t>Cesantias</t>
  </si>
  <si>
    <t>Prima legal</t>
  </si>
  <si>
    <t>Vacaciones</t>
  </si>
  <si>
    <t>Caja de compensación</t>
  </si>
  <si>
    <t>ICBF</t>
  </si>
  <si>
    <t>SENA</t>
  </si>
  <si>
    <t>Costo Mensual</t>
  </si>
  <si>
    <t>Valor</t>
  </si>
  <si>
    <t xml:space="preserve">Gerente </t>
  </si>
  <si>
    <t xml:space="preserve">Asistente Administrativa </t>
  </si>
  <si>
    <t>Personal I de PQRS</t>
  </si>
  <si>
    <t>Personal de Aseo</t>
  </si>
  <si>
    <t>Personal II de PQRS</t>
  </si>
  <si>
    <t>Comercial</t>
  </si>
  <si>
    <t xml:space="preserve">SALUD </t>
  </si>
  <si>
    <t>PENSIÓN</t>
  </si>
  <si>
    <t>R</t>
  </si>
  <si>
    <t>GFGS</t>
  </si>
  <si>
    <t>DEDUCCIONES EMPLEADO</t>
  </si>
  <si>
    <t xml:space="preserve">Deducciones Trabajador </t>
  </si>
  <si>
    <t>Riesgo I</t>
  </si>
  <si>
    <t>SALARIO BASE</t>
  </si>
  <si>
    <t>VALOR MENSUAL</t>
  </si>
  <si>
    <t>VALOR TOTAL NÓMINA ANUAL</t>
  </si>
  <si>
    <t xml:space="preserve">ESTRUCTURA DE COSTOS Y GASTOS </t>
  </si>
  <si>
    <t>TOTAL FAMILIAS ARRENDATARIAS EN BOGOTÁ</t>
  </si>
  <si>
    <t>PORCENTAJE DE COMPRA DE PÓLIZAS</t>
  </si>
  <si>
    <t>VALOR PÓLIZAS DE ARRENDAMIENTO</t>
  </si>
  <si>
    <t>COMISIÓN DE INGRESO POR VENTA VIRTUAL</t>
  </si>
  <si>
    <t xml:space="preserve">TOTAL VENTAS </t>
  </si>
  <si>
    <t>ARRENDAMIENTOS</t>
  </si>
  <si>
    <t>SEGUROS</t>
  </si>
  <si>
    <t xml:space="preserve">SERVICIOS </t>
  </si>
  <si>
    <t xml:space="preserve">ADECUACIÓN E INSTALACIÓN </t>
  </si>
  <si>
    <t>SUELDOS</t>
  </si>
  <si>
    <t>ASESORÍA CONTABLE</t>
  </si>
  <si>
    <t>ASESORIA JURIDICA</t>
  </si>
  <si>
    <t xml:space="preserve">GASTOS OPERACIONALES DE ADMINISTRACIÓN </t>
  </si>
  <si>
    <t>DIVERSOS</t>
  </si>
  <si>
    <t>MANTENIMIENTOS Y REPARACIONES</t>
  </si>
  <si>
    <t>GASTOS LEGALES</t>
  </si>
  <si>
    <t>GASTOS OPERACIONALES DE VENTA</t>
  </si>
  <si>
    <t>PUBLICIDAD Y PROPAGANDA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</si>
  <si>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</si>
  <si>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</si>
  <si>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</si>
  <si>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</si>
  <si>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</si>
  <si>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</si>
  <si>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</si>
  <si>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</si>
  <si>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</si>
  <si>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</si>
  <si>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</si>
  <si>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</si>
  <si>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</si>
  <si>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</si>
  <si>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Variables macroeconómicas</t>
  </si>
  <si>
    <t>IPC</t>
  </si>
  <si>
    <t>PIB</t>
  </si>
  <si>
    <t>TRM</t>
  </si>
  <si>
    <t>DTF</t>
  </si>
  <si>
    <t>RENTA PRESUNTIVA</t>
  </si>
  <si>
    <t xml:space="preserve">INCREMENTO SALARIAL </t>
  </si>
  <si>
    <t>TOTAL COSTOS Y GASTOS</t>
  </si>
  <si>
    <t>MANTENIMIENTO ANUAL PLATAFORMA</t>
  </si>
  <si>
    <t>HOSTING - ALQUILER ANUAL IP PÚBLICA</t>
  </si>
  <si>
    <t>BASE DE DATOS DATA CRÉDITO</t>
  </si>
  <si>
    <t>HONORARIOS</t>
  </si>
  <si>
    <t xml:space="preserve">TOTAL COSTOS FIJOS </t>
  </si>
  <si>
    <t xml:space="preserve">TOTAL  GASTOS OPERACIONALES ADM. </t>
  </si>
  <si>
    <t>NÓMINA</t>
  </si>
  <si>
    <t>BASE DE DATOS EN LA NUBE (100 GB)</t>
  </si>
  <si>
    <t>ARL</t>
  </si>
  <si>
    <t xml:space="preserve">Total </t>
  </si>
  <si>
    <t>Int. de Cesantias</t>
  </si>
  <si>
    <t>TOTAL PÓLIZAS VENDIDAS POR ASEGURADORAS</t>
  </si>
  <si>
    <t>CANTIDAD DE SEGUROS CON PROMEDIO (600.000 - 1500.000)</t>
  </si>
  <si>
    <t>PROMEDIO VALOR DE PÓLIZAS</t>
  </si>
  <si>
    <t>Activo Corriente</t>
  </si>
  <si>
    <t>Cargos diferidos</t>
  </si>
  <si>
    <t>Otros activos</t>
  </si>
  <si>
    <t>Total Activo Corriente</t>
  </si>
  <si>
    <t>Activo Fijo</t>
  </si>
  <si>
    <t>Total propiedad, planta y equipos</t>
  </si>
  <si>
    <t>Total Activos</t>
  </si>
  <si>
    <t>Pasivo Corriente</t>
  </si>
  <si>
    <t>Bancos corto plazo</t>
  </si>
  <si>
    <t>Cuentas por pagar</t>
  </si>
  <si>
    <t>Total Pasivo Corriente</t>
  </si>
  <si>
    <t>Pasivo de largo plazo</t>
  </si>
  <si>
    <t>Bancos largo plazo</t>
  </si>
  <si>
    <t>Otros pasivos de largo plazo</t>
  </si>
  <si>
    <t>Total Pasivo de largo plazo</t>
  </si>
  <si>
    <t>Total Pasivos</t>
  </si>
  <si>
    <t>Capital Social</t>
  </si>
  <si>
    <t>Utilidades de ejericios anteriores</t>
  </si>
  <si>
    <t>Total Patrimonio</t>
  </si>
  <si>
    <t>Diferencia</t>
  </si>
  <si>
    <t>Utilidades acumuladas</t>
  </si>
  <si>
    <t>Inversión recuperada</t>
  </si>
  <si>
    <t>Año de recuperación de la inversión</t>
  </si>
  <si>
    <t>CALCULO KE POR MODELO CAMP</t>
  </si>
  <si>
    <t>MODELO CAPM</t>
  </si>
  <si>
    <t>Activos</t>
  </si>
  <si>
    <t>Tasa Impositiva</t>
  </si>
  <si>
    <t>US 10y Yield</t>
  </si>
  <si>
    <t>EMBI Spread</t>
  </si>
  <si>
    <t>Equity Risk Premium</t>
  </si>
  <si>
    <t>Beta</t>
  </si>
  <si>
    <t>B Desapalancado</t>
  </si>
  <si>
    <t>Inflacion USA</t>
  </si>
  <si>
    <t>(RF) Tasa Libre Riesgo Colombia</t>
  </si>
  <si>
    <t>(RM) Prima Riesgo Mercado</t>
  </si>
  <si>
    <t>Inflacion Colombia</t>
  </si>
  <si>
    <t>Costos de Capital US</t>
  </si>
  <si>
    <t>Devaluacion</t>
  </si>
  <si>
    <t>Retorno 10y S&amp;P 500EA</t>
  </si>
  <si>
    <t>Tasa Libre Riesgo Colombia</t>
  </si>
  <si>
    <t>KE Costo de Capital</t>
  </si>
  <si>
    <t>% Deuda</t>
  </si>
  <si>
    <t>% Equity</t>
  </si>
  <si>
    <t>Prima Riesgo Mercado</t>
  </si>
  <si>
    <t>Costo de Capital US</t>
  </si>
  <si>
    <t>KE</t>
  </si>
  <si>
    <t>Amortización</t>
  </si>
  <si>
    <t>Muebles y Enseres</t>
  </si>
  <si>
    <t>Equipos de computo</t>
  </si>
  <si>
    <t>dustry  Name</t>
  </si>
  <si>
    <t>Number of firms</t>
  </si>
  <si>
    <t>Beta </t>
  </si>
  <si>
    <t>D/E Ratio</t>
  </si>
  <si>
    <t>Effective Tax rate</t>
  </si>
  <si>
    <t>Unlevered beta</t>
  </si>
  <si>
    <t>Cash/Firm value</t>
  </si>
  <si>
    <t>Unlevered beta corrected for cash</t>
  </si>
  <si>
    <t>HiLo Risk</t>
  </si>
  <si>
    <t>Advertising</t>
  </si>
  <si>
    <t>1.44</t>
  </si>
  <si>
    <t>85.08%</t>
  </si>
  <si>
    <t>4.13%</t>
  </si>
  <si>
    <t>0.88</t>
  </si>
  <si>
    <t>6.00%</t>
  </si>
  <si>
    <t>0.93</t>
  </si>
  <si>
    <t>0.6569</t>
  </si>
  <si>
    <t>0.83</t>
  </si>
  <si>
    <t>0.74</t>
  </si>
  <si>
    <t>0.91</t>
  </si>
  <si>
    <t>0.78</t>
  </si>
  <si>
    <t>0.87</t>
  </si>
  <si>
    <t>0.84</t>
  </si>
  <si>
    <t>Aerospace/Defense</t>
  </si>
  <si>
    <t>1.23</t>
  </si>
  <si>
    <t>24.28%</t>
  </si>
  <si>
    <t>8.54%</t>
  </si>
  <si>
    <t>1.04</t>
  </si>
  <si>
    <t>3.40%</t>
  </si>
  <si>
    <t>1.08</t>
  </si>
  <si>
    <t>0.4819</t>
  </si>
  <si>
    <t>1.06</t>
  </si>
  <si>
    <t>1.20</t>
  </si>
  <si>
    <t>0.94</t>
  </si>
  <si>
    <t>0.99</t>
  </si>
  <si>
    <t>1.09</t>
  </si>
  <si>
    <t>Air Transport</t>
  </si>
  <si>
    <t>103.43%</t>
  </si>
  <si>
    <t>18.47%</t>
  </si>
  <si>
    <t>0.81</t>
  </si>
  <si>
    <t>4.19%</t>
  </si>
  <si>
    <t>0.4110</t>
  </si>
  <si>
    <t>0.61</t>
  </si>
  <si>
    <t>0.76</t>
  </si>
  <si>
    <t>0.67</t>
  </si>
  <si>
    <t>0.63</t>
  </si>
  <si>
    <t>0.73</t>
  </si>
  <si>
    <t>Apparel</t>
  </si>
  <si>
    <t>41.77%</t>
  </si>
  <si>
    <t>11.11%</t>
  </si>
  <si>
    <t>0.80</t>
  </si>
  <si>
    <t>3.16%</t>
  </si>
  <si>
    <t>0.5031</t>
  </si>
  <si>
    <t>0.86</t>
  </si>
  <si>
    <t>0.71</t>
  </si>
  <si>
    <t>0.82</t>
  </si>
  <si>
    <t>Auto &amp; Truck</t>
  </si>
  <si>
    <t>1.10</t>
  </si>
  <si>
    <t>164.93%</t>
  </si>
  <si>
    <t>5.93%</t>
  </si>
  <si>
    <t>0.49</t>
  </si>
  <si>
    <t>6.89%</t>
  </si>
  <si>
    <t>0.53</t>
  </si>
  <si>
    <t>0.5015</t>
  </si>
  <si>
    <t>0.59</t>
  </si>
  <si>
    <t>0.38</t>
  </si>
  <si>
    <t>0.34</t>
  </si>
  <si>
    <t>0.48</t>
  </si>
  <si>
    <t>Auto Parts</t>
  </si>
  <si>
    <t>1.21</t>
  </si>
  <si>
    <t>50.86%</t>
  </si>
  <si>
    <t>7.25%</t>
  </si>
  <si>
    <t>7.44%</t>
  </si>
  <si>
    <t>0.95</t>
  </si>
  <si>
    <t>0.5746</t>
  </si>
  <si>
    <t>1.14</t>
  </si>
  <si>
    <t>0.92</t>
  </si>
  <si>
    <t>0.97</t>
  </si>
  <si>
    <t>1.00</t>
  </si>
  <si>
    <t>Bank (Money Center)</t>
  </si>
  <si>
    <t>177.75%</t>
  </si>
  <si>
    <t>19.36%</t>
  </si>
  <si>
    <t>0.43</t>
  </si>
  <si>
    <t>23.33%</t>
  </si>
  <si>
    <t>0.56</t>
  </si>
  <si>
    <t>0.1740</t>
  </si>
  <si>
    <t>0.42</t>
  </si>
  <si>
    <t>Banks (Regional)</t>
  </si>
  <si>
    <t>0.57</t>
  </si>
  <si>
    <t>62.92%</t>
  </si>
  <si>
    <t>17.46%</t>
  </si>
  <si>
    <t>0.39</t>
  </si>
  <si>
    <t>10.69%</t>
  </si>
  <si>
    <t>0.1582</t>
  </si>
  <si>
    <t>0.37</t>
  </si>
  <si>
    <t>Beverage (Alcoholic)</t>
  </si>
  <si>
    <t>1.13</t>
  </si>
  <si>
    <t>31.28%</t>
  </si>
  <si>
    <t>6.62%</t>
  </si>
  <si>
    <t>0.72%</t>
  </si>
  <si>
    <t>0.5528</t>
  </si>
  <si>
    <t>0.89</t>
  </si>
  <si>
    <t>1.12</t>
  </si>
  <si>
    <t>1.05</t>
  </si>
  <si>
    <t>Beverage (Soft)</t>
  </si>
  <si>
    <t>1.22</t>
  </si>
  <si>
    <t>19.24%</t>
  </si>
  <si>
    <t>4.00%</t>
  </si>
  <si>
    <t>1.07</t>
  </si>
  <si>
    <t>2.34%</t>
  </si>
  <si>
    <t>0.6676</t>
  </si>
  <si>
    <t>0.98</t>
  </si>
  <si>
    <t>Broadcasting</t>
  </si>
  <si>
    <t>98.45%</t>
  </si>
  <si>
    <t>13.31%</t>
  </si>
  <si>
    <t>0.70</t>
  </si>
  <si>
    <t>4.35%</t>
  </si>
  <si>
    <t>0.4313</t>
  </si>
  <si>
    <t>0.75</t>
  </si>
  <si>
    <t>0.65</t>
  </si>
  <si>
    <t>Brokerage &amp; Investment Banking</t>
  </si>
  <si>
    <t>1.46</t>
  </si>
  <si>
    <t>268.39%</t>
  </si>
  <si>
    <t>12.83%</t>
  </si>
  <si>
    <t>14.58%</t>
  </si>
  <si>
    <t>0.4401</t>
  </si>
  <si>
    <t>0.54</t>
  </si>
  <si>
    <t>Building Materials</t>
  </si>
  <si>
    <t>32.07%</t>
  </si>
  <si>
    <t>16.26%</t>
  </si>
  <si>
    <t>2.52%</t>
  </si>
  <si>
    <t>1.02</t>
  </si>
  <si>
    <t>0.3588</t>
  </si>
  <si>
    <t>Business &amp; Consumer Services</t>
  </si>
  <si>
    <t>30.31%</t>
  </si>
  <si>
    <t>8.32%</t>
  </si>
  <si>
    <t>2.95%</t>
  </si>
  <si>
    <t>0.5331</t>
  </si>
  <si>
    <t>1.01</t>
  </si>
  <si>
    <t>Cable TV</t>
  </si>
  <si>
    <t>1.11</t>
  </si>
  <si>
    <t>60.17%</t>
  </si>
  <si>
    <t>14.55%</t>
  </si>
  <si>
    <t>0.77</t>
  </si>
  <si>
    <t>1.11%</t>
  </si>
  <si>
    <t>0.3294</t>
  </si>
  <si>
    <t>Chemical (Basic)</t>
  </si>
  <si>
    <t>1.37</t>
  </si>
  <si>
    <t>61.09%</t>
  </si>
  <si>
    <t>6.66%</t>
  </si>
  <si>
    <t>5.60%</t>
  </si>
  <si>
    <t>0.5305</t>
  </si>
  <si>
    <t>0.68</t>
  </si>
  <si>
    <t>0.96</t>
  </si>
  <si>
    <t>Chemical (Diversified)</t>
  </si>
  <si>
    <t>1.85</t>
  </si>
  <si>
    <t>78.66%</t>
  </si>
  <si>
    <t>11.89%</t>
  </si>
  <si>
    <t>1.17</t>
  </si>
  <si>
    <t>4.06%</t>
  </si>
  <si>
    <t>0.5056</t>
  </si>
  <si>
    <t>1.27</t>
  </si>
  <si>
    <t>1.33</t>
  </si>
  <si>
    <t>Chemical (Specialty)</t>
  </si>
  <si>
    <t>28.53%</t>
  </si>
  <si>
    <t>11.01%</t>
  </si>
  <si>
    <t>3.08%</t>
  </si>
  <si>
    <t>0.4818</t>
  </si>
  <si>
    <t>Coal &amp; Related Energy</t>
  </si>
  <si>
    <t>1.40</t>
  </si>
  <si>
    <t>79.69%</t>
  </si>
  <si>
    <t>0.97%</t>
  </si>
  <si>
    <t>16.68%</t>
  </si>
  <si>
    <t>0.6570</t>
  </si>
  <si>
    <t>Computer Services</t>
  </si>
  <si>
    <t>44.65%</t>
  </si>
  <si>
    <t>8.92%</t>
  </si>
  <si>
    <t>0.90</t>
  </si>
  <si>
    <t>5.42%</t>
  </si>
  <si>
    <t>0.5730</t>
  </si>
  <si>
    <t>Computers/Peripherals</t>
  </si>
  <si>
    <t>1.75</t>
  </si>
  <si>
    <t>15.49%</t>
  </si>
  <si>
    <t>6.21%</t>
  </si>
  <si>
    <t>1.57</t>
  </si>
  <si>
    <t>4.51%</t>
  </si>
  <si>
    <t>1.64</t>
  </si>
  <si>
    <t>0.5348</t>
  </si>
  <si>
    <t>1.50</t>
  </si>
  <si>
    <t>Construction Supplies</t>
  </si>
  <si>
    <t>1.36</t>
  </si>
  <si>
    <t>40.14%</t>
  </si>
  <si>
    <t>15.82%</t>
  </si>
  <si>
    <t>5.03%</t>
  </si>
  <si>
    <t>0.3591</t>
  </si>
  <si>
    <t>1.18</t>
  </si>
  <si>
    <t>1.15</t>
  </si>
  <si>
    <t>Diversified</t>
  </si>
  <si>
    <t>31.16%</t>
  </si>
  <si>
    <t>6.68%</t>
  </si>
  <si>
    <t>8.99%</t>
  </si>
  <si>
    <t>1.25</t>
  </si>
  <si>
    <t>0.4954</t>
  </si>
  <si>
    <t>Drugs (Biotechnology)</t>
  </si>
  <si>
    <t>1.43</t>
  </si>
  <si>
    <t>0.61%</t>
  </si>
  <si>
    <t>1.29</t>
  </si>
  <si>
    <t>6.99%</t>
  </si>
  <si>
    <t>1.39</t>
  </si>
  <si>
    <t>0.5938</t>
  </si>
  <si>
    <t>1.19</t>
  </si>
  <si>
    <t>1.28</t>
  </si>
  <si>
    <t>Drugs (Pharmaceutical)</t>
  </si>
  <si>
    <t>14.93%</t>
  </si>
  <si>
    <t>1.36%</t>
  </si>
  <si>
    <t>4.76%</t>
  </si>
  <si>
    <t>0.6777</t>
  </si>
  <si>
    <t>1.38</t>
  </si>
  <si>
    <t>Education</t>
  </si>
  <si>
    <t>1.61</t>
  </si>
  <si>
    <t>33.68%</t>
  </si>
  <si>
    <t>6.56%</t>
  </si>
  <si>
    <t>5.47%</t>
  </si>
  <si>
    <t>0.6037</t>
  </si>
  <si>
    <t>Electrical Equipment</t>
  </si>
  <si>
    <t>21.00%</t>
  </si>
  <si>
    <t>3.94%</t>
  </si>
  <si>
    <t>1.31</t>
  </si>
  <si>
    <t>0.6364</t>
  </si>
  <si>
    <t>1.03</t>
  </si>
  <si>
    <t>Electronics (Consumer &amp; Office)</t>
  </si>
  <si>
    <t>20.67%</t>
  </si>
  <si>
    <t>5.45%</t>
  </si>
  <si>
    <t>11.72%</t>
  </si>
  <si>
    <t>0.5480</t>
  </si>
  <si>
    <t>1.16</t>
  </si>
  <si>
    <t>Electronics (General)</t>
  </si>
  <si>
    <t>18.24%</t>
  </si>
  <si>
    <t>6.65%</t>
  </si>
  <si>
    <t>5.46%</t>
  </si>
  <si>
    <t>0.5053</t>
  </si>
  <si>
    <t>Engineering/Construction</t>
  </si>
  <si>
    <t>1.60</t>
  </si>
  <si>
    <t>39.27%</t>
  </si>
  <si>
    <t>9.44%</t>
  </si>
  <si>
    <t>6.88%</t>
  </si>
  <si>
    <t>0.5105</t>
  </si>
  <si>
    <t>Entertainment</t>
  </si>
  <si>
    <t>20.07%</t>
  </si>
  <si>
    <t>1.93%</t>
  </si>
  <si>
    <t>3.57%</t>
  </si>
  <si>
    <t>0.6845</t>
  </si>
  <si>
    <t>Environmental &amp; Waste Services</t>
  </si>
  <si>
    <t>31.69%</t>
  </si>
  <si>
    <t>4.14%</t>
  </si>
  <si>
    <t>2.25%</t>
  </si>
  <si>
    <t>0.6241</t>
  </si>
  <si>
    <t>Farming/Agriculture</t>
  </si>
  <si>
    <t>62.39%</t>
  </si>
  <si>
    <t>5.91%</t>
  </si>
  <si>
    <t>2.98%</t>
  </si>
  <si>
    <t>0.4956</t>
  </si>
  <si>
    <t>0.58</t>
  </si>
  <si>
    <t>0.62</t>
  </si>
  <si>
    <t>Financial Svcs. (Non-bank &amp; Insuran</t>
  </si>
  <si>
    <t>882.21%</t>
  </si>
  <si>
    <t>14.42%</t>
  </si>
  <si>
    <t>0.10</t>
  </si>
  <si>
    <t>2.14%</t>
  </si>
  <si>
    <t>0.2750</t>
  </si>
  <si>
    <t>Food Processing</t>
  </si>
  <si>
    <t>37.38%</t>
  </si>
  <si>
    <t>6.44%</t>
  </si>
  <si>
    <t>1.89%</t>
  </si>
  <si>
    <t>0.5094</t>
  </si>
  <si>
    <t>Food Wholesalers</t>
  </si>
  <si>
    <t>43.95%</t>
  </si>
  <si>
    <t>7.79%</t>
  </si>
  <si>
    <t>0.75%</t>
  </si>
  <si>
    <t>0.66</t>
  </si>
  <si>
    <t>0.4787</t>
  </si>
  <si>
    <t>1.26</t>
  </si>
  <si>
    <t>Furn/Home Furnishings</t>
  </si>
  <si>
    <t>48.35%</t>
  </si>
  <si>
    <t>8.15%</t>
  </si>
  <si>
    <t>0.79</t>
  </si>
  <si>
    <t>3.45%</t>
  </si>
  <si>
    <t>0.4694</t>
  </si>
  <si>
    <t>0.69</t>
  </si>
  <si>
    <t>Green &amp; Renewable Energy</t>
  </si>
  <si>
    <t>112.64%</t>
  </si>
  <si>
    <t>1.52%</t>
  </si>
  <si>
    <t>2.10%</t>
  </si>
  <si>
    <t>0.6979</t>
  </si>
  <si>
    <t>0.72</t>
  </si>
  <si>
    <t>Healthcare Products</t>
  </si>
  <si>
    <t>13.25%</t>
  </si>
  <si>
    <t>3.52%</t>
  </si>
  <si>
    <t>3.37%</t>
  </si>
  <si>
    <t>0.5323</t>
  </si>
  <si>
    <t>Healthcare Support Services</t>
  </si>
  <si>
    <t>39.91%</t>
  </si>
  <si>
    <t>8.26%</t>
  </si>
  <si>
    <t>4.81%</t>
  </si>
  <si>
    <t>0.5414</t>
  </si>
  <si>
    <t>Heathcare Information and Technol</t>
  </si>
  <si>
    <t>1.24</t>
  </si>
  <si>
    <t>14.67%</t>
  </si>
  <si>
    <t>3.84%</t>
  </si>
  <si>
    <t>2.70%</t>
  </si>
  <si>
    <t>0.5492</t>
  </si>
  <si>
    <t>Homebuilding</t>
  </si>
  <si>
    <t>44.20%</t>
  </si>
  <si>
    <t>17.02%</t>
  </si>
  <si>
    <t>6.39%</t>
  </si>
  <si>
    <t>0.3990</t>
  </si>
  <si>
    <t>Hospitals/Healthcare Facilities</t>
  </si>
  <si>
    <t>130.18%</t>
  </si>
  <si>
    <t>7.50%</t>
  </si>
  <si>
    <t>1.18%</t>
  </si>
  <si>
    <t>0.4905</t>
  </si>
  <si>
    <t>0.45</t>
  </si>
  <si>
    <t>Hotel/Gaming</t>
  </si>
  <si>
    <t>56.41%</t>
  </si>
  <si>
    <t>12.52%</t>
  </si>
  <si>
    <t>3.05%</t>
  </si>
  <si>
    <t>0.3999</t>
  </si>
  <si>
    <t>Household Products</t>
  </si>
  <si>
    <t>17.17%</t>
  </si>
  <si>
    <t>2.62%</t>
  </si>
  <si>
    <t>0.6093</t>
  </si>
  <si>
    <t>3.49%</t>
  </si>
  <si>
    <t>Information Services</t>
  </si>
  <si>
    <t>8.34%</t>
  </si>
  <si>
    <t>0.4556</t>
  </si>
  <si>
    <t>Insurance (General)</t>
  </si>
  <si>
    <t>41.41%</t>
  </si>
  <si>
    <t>16.10%</t>
  </si>
  <si>
    <t>4.40%</t>
  </si>
  <si>
    <t>0.2792</t>
  </si>
  <si>
    <t>Insurance (Life)</t>
  </si>
  <si>
    <t>97.50%</t>
  </si>
  <si>
    <t>14.78%</t>
  </si>
  <si>
    <t>15.14%</t>
  </si>
  <si>
    <t>0.2236</t>
  </si>
  <si>
    <t>Insurance (Prop/Cas.)</t>
  </si>
  <si>
    <t>26.36%</t>
  </si>
  <si>
    <t>14.03%</t>
  </si>
  <si>
    <t>3.86%</t>
  </si>
  <si>
    <t>0.2254</t>
  </si>
  <si>
    <t>23.86%</t>
  </si>
  <si>
    <t>Investments &amp; Asset Management</t>
  </si>
  <si>
    <t>54.41%</t>
  </si>
  <si>
    <t>7.47%</t>
  </si>
  <si>
    <t>15.18%</t>
  </si>
  <si>
    <t>0.3148</t>
  </si>
  <si>
    <t>Machinery</t>
  </si>
  <si>
    <t>12.32%</t>
  </si>
  <si>
    <t>3.71%</t>
  </si>
  <si>
    <t>0.4274</t>
  </si>
  <si>
    <t>Metals &amp; Mining</t>
  </si>
  <si>
    <t>38.21%</t>
  </si>
  <si>
    <t>1.96%</t>
  </si>
  <si>
    <t>6.27%</t>
  </si>
  <si>
    <t>0.6609</t>
  </si>
  <si>
    <t>Office Equipment &amp; Services</t>
  </si>
  <si>
    <t>1.65</t>
  </si>
  <si>
    <t>54.88%</t>
  </si>
  <si>
    <t>15.29%</t>
  </si>
  <si>
    <t>6.32%</t>
  </si>
  <si>
    <t>0.4343</t>
  </si>
  <si>
    <t>Oil/Gas (Integrated)</t>
  </si>
  <si>
    <t>1.30</t>
  </si>
  <si>
    <t>26.82%</t>
  </si>
  <si>
    <t>24.54%</t>
  </si>
  <si>
    <t>3.10%</t>
  </si>
  <si>
    <t>0.3590</t>
  </si>
  <si>
    <t>Oil/Gas (Production and Exploratio</t>
  </si>
  <si>
    <t>1.48</t>
  </si>
  <si>
    <t>56.39%</t>
  </si>
  <si>
    <t>3.70%</t>
  </si>
  <si>
    <t>3.51%</t>
  </si>
  <si>
    <t>0.6405</t>
  </si>
  <si>
    <t>Oil/Gas Distribution</t>
  </si>
  <si>
    <t>89.69%</t>
  </si>
  <si>
    <t>1.63%</t>
  </si>
  <si>
    <t>0.4422</t>
  </si>
  <si>
    <t>Oilfield Svcs/Equip.</t>
  </si>
  <si>
    <t>1.58</t>
  </si>
  <si>
    <t>48.65%</t>
  </si>
  <si>
    <t>5.06%</t>
  </si>
  <si>
    <t>0.5862</t>
  </si>
  <si>
    <t>Packaging &amp; Container</t>
  </si>
  <si>
    <t>65.94%</t>
  </si>
  <si>
    <t>12.18%</t>
  </si>
  <si>
    <t>2.29%</t>
  </si>
  <si>
    <t>0.3880</t>
  </si>
  <si>
    <t>0.60</t>
  </si>
  <si>
    <t>Paper/Forest Products</t>
  </si>
  <si>
    <t>1.54</t>
  </si>
  <si>
    <t>39.45%</t>
  </si>
  <si>
    <t>10.41%</t>
  </si>
  <si>
    <t>0.4716</t>
  </si>
  <si>
    <t>Power</t>
  </si>
  <si>
    <t>72.51%</t>
  </si>
  <si>
    <t>13.27%</t>
  </si>
  <si>
    <t>1.44%</t>
  </si>
  <si>
    <t>0.2225</t>
  </si>
  <si>
    <t>0.35</t>
  </si>
  <si>
    <t>Precious Metals</t>
  </si>
  <si>
    <t>18.37%</t>
  </si>
  <si>
    <t>1.75%</t>
  </si>
  <si>
    <t>5.31%</t>
  </si>
  <si>
    <t>0.7224</t>
  </si>
  <si>
    <t>Publishing &amp; Newspapers</t>
  </si>
  <si>
    <t>67.57%</t>
  </si>
  <si>
    <t>8.10%</t>
  </si>
  <si>
    <t>6.38%</t>
  </si>
  <si>
    <t>0.4608</t>
  </si>
  <si>
    <t>R.E.I.T.</t>
  </si>
  <si>
    <t>84.38%</t>
  </si>
  <si>
    <t>1.92%</t>
  </si>
  <si>
    <t>1.60%</t>
  </si>
  <si>
    <t>0.2033</t>
  </si>
  <si>
    <t>Real Estate (Development)</t>
  </si>
  <si>
    <t>70.02%</t>
  </si>
  <si>
    <t>2.19%</t>
  </si>
  <si>
    <t>9.04%</t>
  </si>
  <si>
    <t>0.6707</t>
  </si>
  <si>
    <t>Real Estate (General/Diversified)</t>
  </si>
  <si>
    <t>1.63</t>
  </si>
  <si>
    <t>45.43%</t>
  </si>
  <si>
    <t>6.55%</t>
  </si>
  <si>
    <t>18.91%</t>
  </si>
  <si>
    <t>0.4990</t>
  </si>
  <si>
    <t>Real Estate (Operations &amp; Services)</t>
  </si>
  <si>
    <t>58.80%</t>
  </si>
  <si>
    <t>5.58%</t>
  </si>
  <si>
    <t>0.5226</t>
  </si>
  <si>
    <t>Recreation</t>
  </si>
  <si>
    <t>8.21%</t>
  </si>
  <si>
    <t>4.52%</t>
  </si>
  <si>
    <t>0.5429</t>
  </si>
  <si>
    <t>Reinsurance</t>
  </si>
  <si>
    <t>29.01%</t>
  </si>
  <si>
    <t>17.55%</t>
  </si>
  <si>
    <t>12.62%</t>
  </si>
  <si>
    <t>0.1287</t>
  </si>
  <si>
    <t>Restaurant/Dining</t>
  </si>
  <si>
    <t>41.65%</t>
  </si>
  <si>
    <t>6.57%</t>
  </si>
  <si>
    <t>1.40%</t>
  </si>
  <si>
    <t>0.4742</t>
  </si>
  <si>
    <t>Retail (Automotive)</t>
  </si>
  <si>
    <t>72.87%</t>
  </si>
  <si>
    <t>14.04%</t>
  </si>
  <si>
    <t>0.79%</t>
  </si>
  <si>
    <t>0.4655</t>
  </si>
  <si>
    <t>Retail (Building Supply)</t>
  </si>
  <si>
    <t>25.71%</t>
  </si>
  <si>
    <t>14.90%</t>
  </si>
  <si>
    <t>1.03%</t>
  </si>
  <si>
    <t>0.5042</t>
  </si>
  <si>
    <t>Retail (Distributors)</t>
  </si>
  <si>
    <t>60.86%</t>
  </si>
  <si>
    <t>11.96%</t>
  </si>
  <si>
    <t>1.74%</t>
  </si>
  <si>
    <t>0.4662</t>
  </si>
  <si>
    <t>Retail (General)</t>
  </si>
  <si>
    <t>32.10%</t>
  </si>
  <si>
    <t>2.53%</t>
  </si>
  <si>
    <t>0.4077</t>
  </si>
  <si>
    <t>4.89%</t>
  </si>
  <si>
    <t>Retail (Grocery and Food)</t>
  </si>
  <si>
    <t>96.66%</t>
  </si>
  <si>
    <t>12.78%</t>
  </si>
  <si>
    <t>1.26%</t>
  </si>
  <si>
    <t>0.3984</t>
  </si>
  <si>
    <t>0.28</t>
  </si>
  <si>
    <t>Retail (Online)</t>
  </si>
  <si>
    <t>12.87%</t>
  </si>
  <si>
    <t>2.92%</t>
  </si>
  <si>
    <t>3.24%</t>
  </si>
  <si>
    <t>0.6393</t>
  </si>
  <si>
    <t>1.53</t>
  </si>
  <si>
    <t>Retail (Special Lines)</t>
  </si>
  <si>
    <t>70.57%</t>
  </si>
  <si>
    <t>2.41%</t>
  </si>
  <si>
    <t>0.5313</t>
  </si>
  <si>
    <t>Rubber&amp; Tires</t>
  </si>
  <si>
    <t>178.03%</t>
  </si>
  <si>
    <t>20.75%</t>
  </si>
  <si>
    <t>7.11%</t>
  </si>
  <si>
    <t>0.3918</t>
  </si>
  <si>
    <t>Semiconductor</t>
  </si>
  <si>
    <t>11.80%</t>
  </si>
  <si>
    <t>6.15%</t>
  </si>
  <si>
    <t>4.44%</t>
  </si>
  <si>
    <t>0.4276</t>
  </si>
  <si>
    <t>Semiconductor Equip</t>
  </si>
  <si>
    <t>12.17%</t>
  </si>
  <si>
    <t>9.71%</t>
  </si>
  <si>
    <t>6.54%</t>
  </si>
  <si>
    <t>0.4106</t>
  </si>
  <si>
    <t>Shipbuilding &amp; Marine</t>
  </si>
  <si>
    <t>2.17</t>
  </si>
  <si>
    <t>55.71%</t>
  </si>
  <si>
    <t>2.44%</t>
  </si>
  <si>
    <t>0.5319</t>
  </si>
  <si>
    <t>Shoe</t>
  </si>
  <si>
    <t>8.80%</t>
  </si>
  <si>
    <t>13.98%</t>
  </si>
  <si>
    <t>2.30%</t>
  </si>
  <si>
    <t>0.3598</t>
  </si>
  <si>
    <t>Software (Entertainment)</t>
  </si>
  <si>
    <t>3.80%</t>
  </si>
  <si>
    <t>2.58%</t>
  </si>
  <si>
    <t>0.6360</t>
  </si>
  <si>
    <t>Software (Internet)</t>
  </si>
  <si>
    <t>1.67</t>
  </si>
  <si>
    <t>20.41%</t>
  </si>
  <si>
    <t>1.23%</t>
  </si>
  <si>
    <t>1.45</t>
  </si>
  <si>
    <t>0.5671</t>
  </si>
  <si>
    <t>Software (System &amp; Application)</t>
  </si>
  <si>
    <t>9.67%</t>
  </si>
  <si>
    <t>2.60%</t>
  </si>
  <si>
    <t>2.93%</t>
  </si>
  <si>
    <t>0.5818</t>
  </si>
  <si>
    <t>Steel</t>
  </si>
  <si>
    <t>1.62</t>
  </si>
  <si>
    <t>46.97%</t>
  </si>
  <si>
    <t>9.25%</t>
  </si>
  <si>
    <t>0.4028</t>
  </si>
  <si>
    <t>Telecom (Wireless)</t>
  </si>
  <si>
    <t>131.19%</t>
  </si>
  <si>
    <t>5.89%</t>
  </si>
  <si>
    <t>0.4804</t>
  </si>
  <si>
    <t>Telecom. Equipment</t>
  </si>
  <si>
    <t>17.22%</t>
  </si>
  <si>
    <t>4.31%</t>
  </si>
  <si>
    <t>5.25%</t>
  </si>
  <si>
    <t>0.4903</t>
  </si>
  <si>
    <t>Telecom. Services</t>
  </si>
  <si>
    <t>79.19%</t>
  </si>
  <si>
    <t>4.17%</t>
  </si>
  <si>
    <t>1.35%</t>
  </si>
  <si>
    <t>0.5933</t>
  </si>
  <si>
    <t>Tobacco</t>
  </si>
  <si>
    <t>1.68</t>
  </si>
  <si>
    <t>28.56%</t>
  </si>
  <si>
    <t>11.48%</t>
  </si>
  <si>
    <t>0.5837</t>
  </si>
  <si>
    <t>Transportation</t>
  </si>
  <si>
    <t>54.23%</t>
  </si>
  <si>
    <t>12.76%</t>
  </si>
  <si>
    <t>0.4159</t>
  </si>
  <si>
    <t>Transportation (Railroads)</t>
  </si>
  <si>
    <t>2.24</t>
  </si>
  <si>
    <t>26.24%</t>
  </si>
  <si>
    <t>12.24%</t>
  </si>
  <si>
    <t>1.87</t>
  </si>
  <si>
    <t>1.05%</t>
  </si>
  <si>
    <t>1.89</t>
  </si>
  <si>
    <t>0.4632</t>
  </si>
  <si>
    <t>Trucking</t>
  </si>
  <si>
    <t>57.88%</t>
  </si>
  <si>
    <t>16.73%</t>
  </si>
  <si>
    <t>8.09%</t>
  </si>
  <si>
    <t>Utility (General)</t>
  </si>
  <si>
    <t>66.95%</t>
  </si>
  <si>
    <t>13.45%</t>
  </si>
  <si>
    <t>0.19</t>
  </si>
  <si>
    <t>0.35%</t>
  </si>
  <si>
    <t>0.1356</t>
  </si>
  <si>
    <t>Utility (Water)</t>
  </si>
  <si>
    <t>35.75%</t>
  </si>
  <si>
    <t>10.01%</t>
  </si>
  <si>
    <t>0.3639</t>
  </si>
  <si>
    <t>Total Market</t>
  </si>
  <si>
    <t>58.00%</t>
  </si>
  <si>
    <t>7.32%</t>
  </si>
  <si>
    <t>5.16%</t>
  </si>
  <si>
    <t>0.4806</t>
  </si>
  <si>
    <t>Total Market (without financials)</t>
  </si>
  <si>
    <t>31.60%</t>
  </si>
  <si>
    <t>5.81%</t>
  </si>
  <si>
    <t>3.43%</t>
  </si>
  <si>
    <t>http://pages.stern.nyu.edu/~adamodar/New_Home_Page/datafile/Betas.html</t>
  </si>
  <si>
    <t>PRESTAMO</t>
  </si>
  <si>
    <t>TOTAL PRÉSTAMO</t>
  </si>
  <si>
    <t>Clientes</t>
  </si>
  <si>
    <t xml:space="preserve">DATOS GENERALES </t>
  </si>
  <si>
    <t>VENTA INICIAL PROYECTADA</t>
  </si>
  <si>
    <t>PRINCIPALES DATOS PARA CALCULAR "ASEGURATE"</t>
  </si>
  <si>
    <t>DAMORADAN BETA</t>
  </si>
  <si>
    <t>PROYECCIONES</t>
  </si>
  <si>
    <t>Resumen del escenario</t>
  </si>
  <si>
    <t>Valores actuales:</t>
  </si>
  <si>
    <t>Notas: La columna de valores actuales representa los valores de las celdas cambiantes</t>
  </si>
  <si>
    <t>en el momento en que se creó el Informe resumen de escenario. Las celdas cambiantes de</t>
  </si>
  <si>
    <t>cada escenario se muestran en gris.</t>
  </si>
  <si>
    <t xml:space="preserve">VARIABLES </t>
  </si>
  <si>
    <t>Impuestos por  pagar</t>
  </si>
  <si>
    <t>Creado por 01 el 19/11/2020
Modificado por 01 el 19/11/2020
Modificado por Ingrith el 20/11/2020</t>
  </si>
  <si>
    <t>CANTIDAD VENDIDA</t>
  </si>
  <si>
    <t>AUMENTO VENTAS</t>
  </si>
  <si>
    <t>VALOR PÓLIZAS</t>
  </si>
  <si>
    <t>INCREMENTO REAL</t>
  </si>
  <si>
    <t xml:space="preserve">INFLACIÓN </t>
  </si>
  <si>
    <t>TIR</t>
  </si>
  <si>
    <t xml:space="preserve">VALORES SIGNIFICATIVOS </t>
  </si>
  <si>
    <t>ESTADO DE RESULTADOS</t>
  </si>
  <si>
    <t>Cuentas x pagar</t>
  </si>
  <si>
    <t xml:space="preserve">Activos fijos </t>
  </si>
  <si>
    <t>+</t>
  </si>
  <si>
    <t>*</t>
  </si>
  <si>
    <t xml:space="preserve"> FLUJO DE CAJA LIBRE</t>
  </si>
  <si>
    <t>UTILIDAD OPERATIVA</t>
  </si>
  <si>
    <t>Menos Impuestos</t>
  </si>
  <si>
    <t>UODI</t>
  </si>
  <si>
    <t>Mas Depreciaciones</t>
  </si>
  <si>
    <t>Mas Amortizaciones</t>
  </si>
  <si>
    <t>FLUJO DE CAJA BRUTO</t>
  </si>
  <si>
    <t>Menos Variación  KTNO</t>
  </si>
  <si>
    <t>Menos Variación en Activos Fijos</t>
  </si>
  <si>
    <t>FLUJO DE CAJA LIBRE (FCL)</t>
  </si>
  <si>
    <t>FLUJO DE INVERSIÓN PREOPERATIVA</t>
  </si>
  <si>
    <t>TIO EM</t>
  </si>
  <si>
    <t>VALOR FUTURO DE LA INVERSION</t>
  </si>
  <si>
    <t>INDUCTORES DE RENTABILIDAD</t>
  </si>
  <si>
    <t>ROA</t>
  </si>
  <si>
    <t>Utilidad Neta</t>
  </si>
  <si>
    <t>Impuestos</t>
  </si>
  <si>
    <t>Gastos Financieros</t>
  </si>
  <si>
    <t>EBIT (Utilidad Neta + Impuestos + Gastos Financieros)</t>
  </si>
  <si>
    <t>+  Depreciaciones</t>
  </si>
  <si>
    <t>+  Amortizaciones</t>
  </si>
  <si>
    <t>EBITDA  (EBIT + Depre + Amorti)</t>
  </si>
  <si>
    <t>Tasa de Impuestos</t>
  </si>
  <si>
    <t xml:space="preserve">UODI - NOPAT </t>
  </si>
  <si>
    <t>Activos Netos de Operación</t>
  </si>
  <si>
    <t>RAN - RONA</t>
  </si>
  <si>
    <t>INDUCTORES OPERATIVOS Y FINANCIEROS</t>
  </si>
  <si>
    <t>MARGEN EBITDA</t>
  </si>
  <si>
    <t>INVERSIÓN INICIAL</t>
  </si>
  <si>
    <t>TIO EA</t>
  </si>
  <si>
    <t>GRÁFICOS INDUCTORES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</si>
</sst>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%_ ;\(#,##0.0%\)"/>
    <numFmt numFmtId="169" formatCode="&quot;VPN = &quot;#,##0;&quot;VPN = &quot;\-#,##0"/>
    <numFmt numFmtId="170" formatCode="0.0%"/>
    <numFmt numFmtId="171" formatCode="_-* #,##0.00_-;\-* #,##0.00_-;_-* &quot;-&quot;_-;_-@_-"/>
    <numFmt numFmtId="172" formatCode="_-&quot;$&quot;* #,##0_-;\-&quot;$&quot;* #,##0_-;_-&quot;$&quot;* &quot;-&quot;??_-;_-@_-"/>
    <numFmt numFmtId="173" formatCode="&quot;$&quot;\ #,##0.000;[Red]\-&quot;$&quot;\ #,##0.000"/>
    <numFmt numFmtId="174" formatCode="_(* #,##0_);_(* \(#,##0\);_(* &quot;-&quot;??_);_(@_)"/>
    <numFmt numFmtId="177" formatCode="_(&quot;$&quot;\ * #,##0_);_(&quot;$&quot;\ * \(#,##0\);_(&quot;$&quot;\ * &quot;-&quot;??_);_(@_)"/>
    <numFmt numFmtId="178" formatCode="_-* #,##0.00\ _€_-;\-* #,##0.00\ _€_-;_-* &quot;-&quot;??\ _€_-;_-@_-"/>
    <numFmt numFmtId="179" formatCode="_-&quot;$&quot;\ * #,##0_-;\-&quot;$&quot;\ * #,##0_-;_-&quot;$&quot;\ * &quot;-&quot;??_-;_-@_-"/>
    <numFmt numFmtId="180" formatCode="0.000%"/>
    <numFmt numFmtId="181" formatCode="&quot;$&quot;#,##0;[Red]\-&quot;$&quot;#,##0"/>
    <numFmt numFmtId="182" formatCode="_-&quot;$&quot;* #,##0.00_-;\-&quot;$&quot;* #,##0.00_-;_-&quot;$&quot;* &quot;-&quot;??_-;_-@_-"/>
    <numFmt numFmtId="183" formatCode="&quot;$&quot;#,##0.00;[Red]\-&quot;$&quot;#,##0.00"/>
  </numFmts>
  <fonts count="45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imes New Roman"/>
      <family val="1"/>
    </font>
    <font>
      <sz val="10"/>
      <color rgb="FF002060"/>
      <name val="Segoe UI"/>
      <family val="2"/>
    </font>
    <font>
      <b/>
      <i/>
      <sz val="10"/>
      <name val="Verdana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i/>
      <u/>
      <sz val="12"/>
      <color indexed="12"/>
      <name val="Calibri"/>
      <family val="2"/>
      <scheme val="minor"/>
    </font>
    <font>
      <b/>
      <sz val="10"/>
      <name val="Segoe UI"/>
      <family val="2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6"/>
      <name val="Cavolini"/>
      <family val="4"/>
    </font>
    <font>
      <i/>
      <sz val="12"/>
      <name val="Calibri"/>
      <family val="2"/>
      <scheme val="minor"/>
    </font>
    <font>
      <b/>
      <sz val="72"/>
      <name val="Calibri"/>
      <family val="2"/>
      <scheme val="minor"/>
    </font>
    <font>
      <sz val="12"/>
      <name val="Times New Roman"/>
      <family val="1"/>
    </font>
    <font>
      <b/>
      <i/>
      <sz val="12"/>
      <color theme="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sz val="10"/>
      <name val="Segoe UI"/>
      <family val="2"/>
    </font>
    <font>
      <b/>
      <i/>
      <sz val="10"/>
      <name val="Segoe UI"/>
      <family val="2"/>
    </font>
    <font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2060"/>
      <name val="Segoe UI"/>
      <family val="2"/>
    </font>
  </fonts>
  <fills count="2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/>
    <xf numFmtId="42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9">
    <xf numFmtId="0" fontId="0" fillId="0" borderId="0" xfId="0"/>
    <xf numFmtId="0" fontId="0" fillId="0" borderId="16" xfId="0" applyBorder="1"/>
    <xf numFmtId="0" fontId="0" fillId="0" borderId="19" xfId="0" applyBorder="1"/>
    <xf numFmtId="0" fontId="9" fillId="0" borderId="0" xfId="0" applyFont="1"/>
    <xf numFmtId="0" fontId="10" fillId="0" borderId="0" xfId="0" applyFont="1"/>
    <xf numFmtId="179" fontId="9" fillId="0" borderId="0" xfId="6" applyNumberFormat="1" applyFont="1"/>
    <xf numFmtId="179" fontId="9" fillId="0" borderId="0" xfId="0" applyNumberFormat="1" applyFont="1"/>
    <xf numFmtId="174" fontId="9" fillId="0" borderId="0" xfId="7" applyNumberFormat="1" applyFont="1"/>
    <xf numFmtId="179" fontId="9" fillId="0" borderId="2" xfId="0" applyNumberFormat="1" applyFont="1" applyBorder="1"/>
    <xf numFmtId="0" fontId="9" fillId="0" borderId="2" xfId="0" applyFont="1" applyBorder="1"/>
    <xf numFmtId="0" fontId="9" fillId="0" borderId="0" xfId="0" applyFont="1" applyFill="1" applyBorder="1"/>
    <xf numFmtId="0" fontId="11" fillId="0" borderId="28" xfId="8" applyFont="1" applyBorder="1"/>
    <xf numFmtId="179" fontId="11" fillId="0" borderId="26" xfId="6" applyNumberFormat="1" applyFont="1" applyBorder="1"/>
    <xf numFmtId="0" fontId="11" fillId="4" borderId="2" xfId="8" applyFont="1" applyFill="1" applyBorder="1" applyAlignment="1">
      <alignment horizontal="center"/>
    </xf>
    <xf numFmtId="0" fontId="11" fillId="4" borderId="2" xfId="8" applyFont="1" applyFill="1" applyBorder="1"/>
    <xf numFmtId="165" fontId="11" fillId="4" borderId="2" xfId="9" applyFont="1" applyFill="1" applyBorder="1"/>
    <xf numFmtId="9" fontId="11" fillId="4" borderId="2" xfId="8" applyNumberFormat="1" applyFont="1" applyFill="1" applyBorder="1"/>
    <xf numFmtId="179" fontId="11" fillId="0" borderId="2" xfId="6" applyNumberFormat="1" applyFont="1" applyBorder="1"/>
    <xf numFmtId="0" fontId="11" fillId="0" borderId="2" xfId="8" applyFont="1" applyBorder="1"/>
    <xf numFmtId="0" fontId="11" fillId="0" borderId="30" xfId="8" applyFont="1" applyBorder="1"/>
    <xf numFmtId="179" fontId="11" fillId="0" borderId="4" xfId="6" applyNumberFormat="1" applyFont="1" applyBorder="1"/>
    <xf numFmtId="165" fontId="8" fillId="0" borderId="2" xfId="8" applyNumberFormat="1" applyFont="1" applyBorder="1"/>
    <xf numFmtId="0" fontId="9" fillId="0" borderId="7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174" fontId="9" fillId="0" borderId="7" xfId="7" applyNumberFormat="1" applyFont="1" applyBorder="1"/>
    <xf numFmtId="174" fontId="9" fillId="0" borderId="0" xfId="7" applyNumberFormat="1" applyFont="1" applyBorder="1"/>
    <xf numFmtId="174" fontId="9" fillId="0" borderId="49" xfId="7" applyNumberFormat="1" applyFont="1" applyBorder="1"/>
    <xf numFmtId="174" fontId="9" fillId="0" borderId="7" xfId="0" applyNumberFormat="1" applyFont="1" applyBorder="1"/>
    <xf numFmtId="174" fontId="9" fillId="0" borderId="0" xfId="0" applyNumberFormat="1" applyFont="1" applyBorder="1"/>
    <xf numFmtId="174" fontId="9" fillId="0" borderId="49" xfId="0" applyNumberFormat="1" applyFont="1" applyBorder="1"/>
    <xf numFmtId="174" fontId="9" fillId="0" borderId="54" xfId="7" applyNumberFormat="1" applyFont="1" applyBorder="1"/>
    <xf numFmtId="174" fontId="9" fillId="0" borderId="52" xfId="7" applyNumberFormat="1" applyFont="1" applyBorder="1"/>
    <xf numFmtId="174" fontId="9" fillId="0" borderId="53" xfId="7" applyNumberFormat="1" applyFont="1" applyBorder="1"/>
    <xf numFmtId="174" fontId="9" fillId="0" borderId="54" xfId="0" applyNumberFormat="1" applyFont="1" applyBorder="1"/>
    <xf numFmtId="174" fontId="9" fillId="0" borderId="52" xfId="0" applyNumberFormat="1" applyFont="1" applyBorder="1"/>
    <xf numFmtId="174" fontId="9" fillId="0" borderId="53" xfId="0" applyNumberFormat="1" applyFont="1" applyBorder="1"/>
    <xf numFmtId="174" fontId="10" fillId="0" borderId="49" xfId="7" applyNumberFormat="1" applyFont="1" applyBorder="1"/>
    <xf numFmtId="174" fontId="10" fillId="0" borderId="49" xfId="0" applyNumberFormat="1" applyFont="1" applyBorder="1"/>
    <xf numFmtId="0" fontId="9" fillId="0" borderId="0" xfId="0" applyFont="1" applyBorder="1"/>
    <xf numFmtId="0" fontId="9" fillId="0" borderId="49" xfId="0" applyFont="1" applyBorder="1"/>
    <xf numFmtId="174" fontId="9" fillId="0" borderId="57" xfId="7" applyNumberFormat="1" applyFont="1" applyBorder="1"/>
    <xf numFmtId="0" fontId="9" fillId="0" borderId="54" xfId="0" applyFont="1" applyBorder="1"/>
    <xf numFmtId="0" fontId="9" fillId="0" borderId="52" xfId="0" applyFont="1" applyBorder="1"/>
    <xf numFmtId="0" fontId="9" fillId="0" borderId="53" xfId="0" applyFont="1" applyBorder="1"/>
    <xf numFmtId="174" fontId="10" fillId="0" borderId="7" xfId="0" applyNumberFormat="1" applyFont="1" applyBorder="1"/>
    <xf numFmtId="174" fontId="10" fillId="0" borderId="0" xfId="0" applyNumberFormat="1" applyFont="1" applyBorder="1"/>
    <xf numFmtId="0" fontId="10" fillId="0" borderId="9" xfId="0" applyFont="1" applyBorder="1"/>
    <xf numFmtId="174" fontId="10" fillId="0" borderId="11" xfId="7" applyNumberFormat="1" applyFont="1" applyBorder="1"/>
    <xf numFmtId="174" fontId="10" fillId="0" borderId="12" xfId="7" applyNumberFormat="1" applyFont="1" applyBorder="1"/>
    <xf numFmtId="174" fontId="10" fillId="0" borderId="24" xfId="7" applyNumberFormat="1" applyFont="1" applyBorder="1"/>
    <xf numFmtId="174" fontId="10" fillId="0" borderId="55" xfId="7" applyNumberFormat="1" applyFont="1" applyBorder="1"/>
    <xf numFmtId="174" fontId="10" fillId="0" borderId="56" xfId="7" applyNumberFormat="1" applyFont="1" applyBorder="1"/>
    <xf numFmtId="174" fontId="10" fillId="0" borderId="37" xfId="7" applyNumberFormat="1" applyFont="1" applyBorder="1"/>
    <xf numFmtId="41" fontId="9" fillId="0" borderId="2" xfId="5" applyFont="1" applyBorder="1"/>
    <xf numFmtId="0" fontId="10" fillId="15" borderId="22" xfId="0" applyFont="1" applyFill="1" applyBorder="1" applyAlignment="1">
      <alignment horizontal="center"/>
    </xf>
    <xf numFmtId="0" fontId="10" fillId="15" borderId="23" xfId="0" applyFont="1" applyFill="1" applyBorder="1" applyAlignment="1">
      <alignment horizontal="center"/>
    </xf>
    <xf numFmtId="0" fontId="10" fillId="15" borderId="24" xfId="0" applyFont="1" applyFill="1" applyBorder="1" applyAlignment="1">
      <alignment horizontal="center"/>
    </xf>
    <xf numFmtId="0" fontId="9" fillId="15" borderId="32" xfId="0" applyFont="1" applyFill="1" applyBorder="1" applyProtection="1">
      <protection locked="0"/>
    </xf>
    <xf numFmtId="0" fontId="9" fillId="0" borderId="33" xfId="0" applyFont="1" applyBorder="1"/>
    <xf numFmtId="41" fontId="9" fillId="0" borderId="33" xfId="5" applyFont="1" applyBorder="1"/>
    <xf numFmtId="41" fontId="9" fillId="0" borderId="34" xfId="5" applyFont="1" applyBorder="1"/>
    <xf numFmtId="0" fontId="9" fillId="15" borderId="28" xfId="0" applyFont="1" applyFill="1" applyBorder="1" applyProtection="1">
      <protection locked="0"/>
    </xf>
    <xf numFmtId="41" fontId="9" fillId="0" borderId="29" xfId="5" applyFont="1" applyBorder="1"/>
    <xf numFmtId="0" fontId="9" fillId="15" borderId="35" xfId="0" applyFont="1" applyFill="1" applyBorder="1" applyProtection="1">
      <protection locked="0"/>
    </xf>
    <xf numFmtId="0" fontId="9" fillId="0" borderId="36" xfId="0" applyFont="1" applyBorder="1"/>
    <xf numFmtId="41" fontId="9" fillId="0" borderId="36" xfId="5" applyFont="1" applyBorder="1"/>
    <xf numFmtId="41" fontId="9" fillId="0" borderId="37" xfId="5" applyFont="1" applyBorder="1"/>
    <xf numFmtId="0" fontId="13" fillId="2" borderId="11" xfId="0" applyFont="1" applyFill="1" applyBorder="1"/>
    <xf numFmtId="41" fontId="13" fillId="2" borderId="12" xfId="5" applyFont="1" applyFill="1" applyBorder="1"/>
    <xf numFmtId="41" fontId="13" fillId="2" borderId="13" xfId="5" applyFont="1" applyFill="1" applyBorder="1"/>
    <xf numFmtId="172" fontId="9" fillId="0" borderId="2" xfId="6" applyNumberFormat="1" applyFont="1" applyFill="1" applyBorder="1" applyProtection="1">
      <protection hidden="1"/>
    </xf>
    <xf numFmtId="179" fontId="9" fillId="0" borderId="2" xfId="6" applyNumberFormat="1" applyFont="1" applyFill="1" applyBorder="1" applyProtection="1">
      <protection hidden="1"/>
    </xf>
    <xf numFmtId="0" fontId="9" fillId="0" borderId="38" xfId="0" applyFont="1" applyBorder="1"/>
    <xf numFmtId="9" fontId="9" fillId="0" borderId="40" xfId="0" applyNumberFormat="1" applyFont="1" applyBorder="1"/>
    <xf numFmtId="0" fontId="9" fillId="0" borderId="9" xfId="0" applyFont="1" applyBorder="1"/>
    <xf numFmtId="9" fontId="9" fillId="0" borderId="10" xfId="0" applyNumberFormat="1" applyFont="1" applyBorder="1"/>
    <xf numFmtId="174" fontId="9" fillId="0" borderId="2" xfId="7" applyNumberFormat="1" applyFont="1" applyFill="1" applyBorder="1" applyProtection="1">
      <protection locked="0"/>
    </xf>
    <xf numFmtId="174" fontId="9" fillId="0" borderId="2" xfId="7" applyNumberFormat="1" applyFont="1" applyFill="1" applyBorder="1" applyProtection="1">
      <protection hidden="1"/>
    </xf>
    <xf numFmtId="179" fontId="9" fillId="0" borderId="26" xfId="6" applyNumberFormat="1" applyFont="1" applyFill="1" applyBorder="1" applyProtection="1">
      <protection hidden="1"/>
    </xf>
    <xf numFmtId="172" fontId="9" fillId="0" borderId="26" xfId="6" applyNumberFormat="1" applyFont="1" applyFill="1" applyBorder="1" applyProtection="1">
      <protection hidden="1"/>
    </xf>
    <xf numFmtId="174" fontId="10" fillId="0" borderId="59" xfId="7" applyNumberFormat="1" applyFont="1" applyFill="1" applyBorder="1"/>
    <xf numFmtId="174" fontId="10" fillId="0" borderId="50" xfId="7" applyNumberFormat="1" applyFont="1" applyFill="1" applyBorder="1"/>
    <xf numFmtId="0" fontId="9" fillId="0" borderId="32" xfId="0" applyFont="1" applyFill="1" applyBorder="1" applyProtection="1">
      <protection locked="0"/>
    </xf>
    <xf numFmtId="174" fontId="9" fillId="0" borderId="33" xfId="7" applyNumberFormat="1" applyFont="1" applyFill="1" applyBorder="1" applyProtection="1">
      <protection locked="0"/>
    </xf>
    <xf numFmtId="174" fontId="9" fillId="0" borderId="33" xfId="7" applyNumberFormat="1" applyFont="1" applyFill="1" applyBorder="1" applyProtection="1">
      <protection hidden="1"/>
    </xf>
    <xf numFmtId="0" fontId="9" fillId="0" borderId="28" xfId="0" applyFont="1" applyFill="1" applyBorder="1" applyProtection="1">
      <protection locked="0"/>
    </xf>
    <xf numFmtId="0" fontId="9" fillId="0" borderId="35" xfId="0" applyFont="1" applyFill="1" applyBorder="1" applyProtection="1">
      <protection locked="0"/>
    </xf>
    <xf numFmtId="174" fontId="9" fillId="0" borderId="36" xfId="7" applyNumberFormat="1" applyFont="1" applyFill="1" applyBorder="1" applyProtection="1">
      <protection locked="0"/>
    </xf>
    <xf numFmtId="174" fontId="9" fillId="0" borderId="36" xfId="7" applyNumberFormat="1" applyFont="1" applyFill="1" applyBorder="1" applyProtection="1">
      <protection hidden="1"/>
    </xf>
    <xf numFmtId="174" fontId="9" fillId="0" borderId="41" xfId="7" applyNumberFormat="1" applyFont="1" applyFill="1" applyBorder="1" applyProtection="1">
      <protection hidden="1"/>
    </xf>
    <xf numFmtId="174" fontId="9" fillId="0" borderId="3" xfId="7" applyNumberFormat="1" applyFont="1" applyFill="1" applyBorder="1" applyProtection="1">
      <protection hidden="1"/>
    </xf>
    <xf numFmtId="174" fontId="9" fillId="0" borderId="60" xfId="7" applyNumberFormat="1" applyFont="1" applyFill="1" applyBorder="1" applyProtection="1">
      <protection hidden="1"/>
    </xf>
    <xf numFmtId="174" fontId="10" fillId="0" borderId="61" xfId="7" applyNumberFormat="1" applyFont="1" applyFill="1" applyBorder="1"/>
    <xf numFmtId="180" fontId="9" fillId="0" borderId="25" xfId="10" applyNumberFormat="1" applyFont="1" applyFill="1" applyBorder="1" applyProtection="1">
      <protection locked="0"/>
    </xf>
    <xf numFmtId="180" fontId="9" fillId="0" borderId="28" xfId="10" applyNumberFormat="1" applyFont="1" applyFill="1" applyBorder="1" applyProtection="1">
      <protection locked="0"/>
    </xf>
    <xf numFmtId="9" fontId="10" fillId="0" borderId="35" xfId="10" applyFont="1" applyFill="1" applyBorder="1"/>
    <xf numFmtId="179" fontId="10" fillId="0" borderId="36" xfId="0" applyNumberFormat="1" applyFont="1" applyFill="1" applyBorder="1"/>
    <xf numFmtId="172" fontId="10" fillId="0" borderId="36" xfId="0" applyNumberFormat="1" applyFont="1" applyFill="1" applyBorder="1"/>
    <xf numFmtId="0" fontId="10" fillId="16" borderId="36" xfId="0" applyFont="1" applyFill="1" applyBorder="1" applyAlignment="1">
      <alignment horizontal="center" vertical="center"/>
    </xf>
    <xf numFmtId="0" fontId="10" fillId="17" borderId="33" xfId="0" applyFont="1" applyFill="1" applyBorder="1" applyAlignment="1">
      <alignment horizontal="center" vertical="center"/>
    </xf>
    <xf numFmtId="0" fontId="10" fillId="17" borderId="33" xfId="0" applyFont="1" applyFill="1" applyBorder="1" applyAlignment="1">
      <alignment horizontal="center" vertical="center" wrapText="1"/>
    </xf>
    <xf numFmtId="0" fontId="15" fillId="17" borderId="33" xfId="0" applyFont="1" applyFill="1" applyBorder="1" applyAlignment="1">
      <alignment horizontal="center" vertical="center" wrapText="1"/>
    </xf>
    <xf numFmtId="0" fontId="10" fillId="17" borderId="35" xfId="0" applyFont="1" applyFill="1" applyBorder="1" applyAlignment="1">
      <alignment horizontal="center" vertical="center"/>
    </xf>
    <xf numFmtId="10" fontId="10" fillId="17" borderId="36" xfId="10" applyNumberFormat="1" applyFont="1" applyFill="1" applyBorder="1" applyAlignment="1">
      <alignment horizontal="center" vertical="center"/>
    </xf>
    <xf numFmtId="170" fontId="10" fillId="17" borderId="36" xfId="10" applyNumberFormat="1" applyFont="1" applyFill="1" applyBorder="1" applyAlignment="1">
      <alignment horizontal="center" vertical="center"/>
    </xf>
    <xf numFmtId="9" fontId="10" fillId="17" borderId="36" xfId="10" applyNumberFormat="1" applyFont="1" applyFill="1" applyBorder="1" applyAlignment="1">
      <alignment horizontal="center" vertical="center"/>
    </xf>
    <xf numFmtId="0" fontId="10" fillId="16" borderId="60" xfId="0" applyFont="1" applyFill="1" applyBorder="1" applyAlignment="1">
      <alignment horizontal="center" vertical="center"/>
    </xf>
    <xf numFmtId="174" fontId="9" fillId="0" borderId="62" xfId="7" applyNumberFormat="1" applyFont="1" applyFill="1" applyBorder="1" applyProtection="1">
      <protection hidden="1"/>
    </xf>
    <xf numFmtId="174" fontId="9" fillId="0" borderId="64" xfId="7" applyNumberFormat="1" applyFont="1" applyFill="1" applyBorder="1" applyProtection="1">
      <protection hidden="1"/>
    </xf>
    <xf numFmtId="174" fontId="9" fillId="0" borderId="63" xfId="7" applyNumberFormat="1" applyFont="1" applyFill="1" applyBorder="1" applyProtection="1">
      <protection hidden="1"/>
    </xf>
    <xf numFmtId="174" fontId="10" fillId="0" borderId="18" xfId="7" applyNumberFormat="1" applyFont="1" applyFill="1" applyBorder="1"/>
    <xf numFmtId="0" fontId="10" fillId="17" borderId="41" xfId="0" applyFont="1" applyFill="1" applyBorder="1" applyAlignment="1">
      <alignment horizontal="center" vertical="center" wrapText="1"/>
    </xf>
    <xf numFmtId="9" fontId="10" fillId="17" borderId="60" xfId="10" applyNumberFormat="1" applyFont="1" applyFill="1" applyBorder="1" applyAlignment="1">
      <alignment horizontal="center" vertical="center"/>
    </xf>
    <xf numFmtId="172" fontId="9" fillId="0" borderId="51" xfId="6" applyNumberFormat="1" applyFont="1" applyFill="1" applyBorder="1" applyProtection="1">
      <protection hidden="1"/>
    </xf>
    <xf numFmtId="172" fontId="9" fillId="0" borderId="3" xfId="6" applyNumberFormat="1" applyFont="1" applyFill="1" applyBorder="1" applyProtection="1">
      <protection hidden="1"/>
    </xf>
    <xf numFmtId="172" fontId="10" fillId="0" borderId="60" xfId="0" applyNumberFormat="1" applyFont="1" applyFill="1" applyBorder="1"/>
    <xf numFmtId="172" fontId="9" fillId="0" borderId="65" xfId="0" applyNumberFormat="1" applyFont="1" applyFill="1" applyBorder="1" applyProtection="1">
      <protection hidden="1"/>
    </xf>
    <xf numFmtId="172" fontId="9" fillId="0" borderId="64" xfId="0" applyNumberFormat="1" applyFont="1" applyFill="1" applyBorder="1" applyProtection="1">
      <protection hidden="1"/>
    </xf>
    <xf numFmtId="172" fontId="13" fillId="2" borderId="63" xfId="0" applyNumberFormat="1" applyFont="1" applyFill="1" applyBorder="1"/>
    <xf numFmtId="0" fontId="9" fillId="0" borderId="5" xfId="0" applyFont="1" applyBorder="1"/>
    <xf numFmtId="0" fontId="9" fillId="0" borderId="16" xfId="0" applyFont="1" applyBorder="1"/>
    <xf numFmtId="0" fontId="9" fillId="0" borderId="6" xfId="0" applyFont="1" applyBorder="1"/>
    <xf numFmtId="0" fontId="9" fillId="0" borderId="8" xfId="0" applyFont="1" applyBorder="1"/>
    <xf numFmtId="41" fontId="9" fillId="0" borderId="0" xfId="0" applyNumberFormat="1" applyFont="1" applyBorder="1"/>
    <xf numFmtId="0" fontId="14" fillId="0" borderId="0" xfId="0" applyFont="1" applyBorder="1"/>
    <xf numFmtId="41" fontId="9" fillId="0" borderId="0" xfId="5" applyFont="1" applyBorder="1"/>
    <xf numFmtId="0" fontId="9" fillId="0" borderId="19" xfId="0" applyFont="1" applyBorder="1"/>
    <xf numFmtId="0" fontId="9" fillId="0" borderId="10" xfId="0" applyFont="1" applyBorder="1"/>
    <xf numFmtId="174" fontId="9" fillId="0" borderId="19" xfId="7" applyNumberFormat="1" applyFont="1" applyBorder="1"/>
    <xf numFmtId="0" fontId="9" fillId="0" borderId="2" xfId="12" applyFont="1" applyBorder="1"/>
    <xf numFmtId="0" fontId="18" fillId="18" borderId="2" xfId="0" applyFont="1" applyFill="1" applyBorder="1" applyAlignment="1">
      <alignment horizontal="center" wrapText="1"/>
    </xf>
    <xf numFmtId="0" fontId="19" fillId="19" borderId="2" xfId="0" applyFont="1" applyFill="1" applyBorder="1"/>
    <xf numFmtId="0" fontId="19" fillId="19" borderId="2" xfId="0" applyFont="1" applyFill="1" applyBorder="1" applyAlignment="1">
      <alignment horizontal="center"/>
    </xf>
    <xf numFmtId="0" fontId="19" fillId="18" borderId="2" xfId="0" applyFont="1" applyFill="1" applyBorder="1"/>
    <xf numFmtId="0" fontId="19" fillId="18" borderId="2" xfId="0" applyFont="1" applyFill="1" applyBorder="1" applyAlignment="1">
      <alignment horizontal="center"/>
    </xf>
    <xf numFmtId="0" fontId="20" fillId="19" borderId="2" xfId="0" applyFont="1" applyFill="1" applyBorder="1"/>
    <xf numFmtId="0" fontId="20" fillId="19" borderId="2" xfId="0" applyFont="1" applyFill="1" applyBorder="1" applyAlignment="1">
      <alignment horizontal="center"/>
    </xf>
    <xf numFmtId="0" fontId="20" fillId="18" borderId="2" xfId="0" applyFont="1" applyFill="1" applyBorder="1"/>
    <xf numFmtId="0" fontId="20" fillId="18" borderId="2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4" fontId="9" fillId="0" borderId="0" xfId="0" applyNumberFormat="1" applyFont="1"/>
    <xf numFmtId="167" fontId="9" fillId="0" borderId="0" xfId="0" applyNumberFormat="1" applyFont="1"/>
    <xf numFmtId="0" fontId="9" fillId="0" borderId="0" xfId="12" applyFont="1" applyFill="1"/>
    <xf numFmtId="0" fontId="9" fillId="0" borderId="0" xfId="12" applyFont="1"/>
    <xf numFmtId="41" fontId="9" fillId="0" borderId="2" xfId="13" applyFont="1" applyFill="1" applyBorder="1"/>
    <xf numFmtId="0" fontId="9" fillId="0" borderId="0" xfId="12" applyFont="1" applyBorder="1"/>
    <xf numFmtId="0" fontId="9" fillId="0" borderId="0" xfId="12" applyFont="1" applyFill="1" applyBorder="1"/>
    <xf numFmtId="3" fontId="9" fillId="0" borderId="2" xfId="12" applyNumberFormat="1" applyFont="1" applyBorder="1"/>
    <xf numFmtId="41" fontId="9" fillId="0" borderId="2" xfId="13" applyFont="1" applyBorder="1"/>
    <xf numFmtId="0" fontId="8" fillId="16" borderId="2" xfId="8" applyFont="1" applyFill="1" applyBorder="1" applyAlignment="1">
      <alignment horizontal="center"/>
    </xf>
    <xf numFmtId="165" fontId="8" fillId="4" borderId="2" xfId="9" applyFont="1" applyFill="1" applyBorder="1"/>
    <xf numFmtId="9" fontId="11" fillId="0" borderId="2" xfId="8" applyNumberFormat="1" applyFont="1" applyBorder="1"/>
    <xf numFmtId="0" fontId="8" fillId="0" borderId="2" xfId="8" applyFont="1" applyBorder="1"/>
    <xf numFmtId="3" fontId="9" fillId="0" borderId="0" xfId="12" applyNumberFormat="1" applyFont="1" applyFill="1" applyBorder="1"/>
    <xf numFmtId="165" fontId="11" fillId="0" borderId="46" xfId="9" applyFont="1" applyFill="1" applyBorder="1"/>
    <xf numFmtId="165" fontId="8" fillId="0" borderId="1" xfId="9" applyFont="1" applyBorder="1"/>
    <xf numFmtId="165" fontId="8" fillId="0" borderId="2" xfId="9" applyFont="1" applyBorder="1"/>
    <xf numFmtId="165" fontId="11" fillId="0" borderId="46" xfId="9" applyFont="1" applyBorder="1" applyAlignment="1">
      <alignment vertical="center"/>
    </xf>
    <xf numFmtId="0" fontId="11" fillId="0" borderId="32" xfId="8" applyFont="1" applyBorder="1"/>
    <xf numFmtId="0" fontId="8" fillId="0" borderId="2" xfId="8" applyFont="1" applyBorder="1" applyAlignment="1">
      <alignment horizontal="center"/>
    </xf>
    <xf numFmtId="164" fontId="11" fillId="0" borderId="2" xfId="8" applyNumberFormat="1" applyFont="1" applyBorder="1"/>
    <xf numFmtId="0" fontId="11" fillId="0" borderId="2" xfId="8" applyFont="1" applyBorder="1" applyAlignment="1">
      <alignment horizontal="center"/>
    </xf>
    <xf numFmtId="2" fontId="11" fillId="0" borderId="2" xfId="8" applyNumberFormat="1" applyFont="1" applyBorder="1"/>
    <xf numFmtId="10" fontId="11" fillId="0" borderId="2" xfId="8" applyNumberFormat="1" applyFont="1" applyBorder="1"/>
    <xf numFmtId="0" fontId="8" fillId="7" borderId="2" xfId="8" applyFont="1" applyFill="1" applyBorder="1"/>
    <xf numFmtId="165" fontId="8" fillId="7" borderId="2" xfId="8" applyNumberFormat="1" applyFont="1" applyFill="1" applyBorder="1"/>
    <xf numFmtId="177" fontId="11" fillId="0" borderId="2" xfId="11" applyNumberFormat="1" applyFont="1" applyBorder="1" applyAlignment="1">
      <alignment horizontal="center"/>
    </xf>
    <xf numFmtId="0" fontId="10" fillId="0" borderId="0" xfId="12" quotePrefix="1" applyFont="1" applyFill="1" applyBorder="1" applyAlignment="1">
      <alignment horizontal="left"/>
    </xf>
    <xf numFmtId="9" fontId="10" fillId="0" borderId="0" xfId="12" applyNumberFormat="1" applyFont="1" applyFill="1" applyBorder="1"/>
    <xf numFmtId="179" fontId="9" fillId="0" borderId="0" xfId="6" applyNumberFormat="1" applyFont="1" applyFill="1" applyBorder="1" applyAlignment="1">
      <alignment horizontal="right"/>
    </xf>
    <xf numFmtId="41" fontId="9" fillId="0" borderId="0" xfId="5" applyFont="1"/>
    <xf numFmtId="0" fontId="9" fillId="10" borderId="0" xfId="0" applyFont="1" applyFill="1"/>
    <xf numFmtId="0" fontId="9" fillId="10" borderId="0" xfId="0" applyFont="1" applyFill="1" applyAlignment="1"/>
    <xf numFmtId="0" fontId="9" fillId="0" borderId="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25" fillId="0" borderId="0" xfId="0" applyFont="1" applyFill="1" applyBorder="1"/>
    <xf numFmtId="0" fontId="9" fillId="0" borderId="66" xfId="0" applyFont="1" applyFill="1" applyBorder="1" applyAlignment="1">
      <alignment horizontal="left"/>
    </xf>
    <xf numFmtId="10" fontId="9" fillId="0" borderId="0" xfId="0" applyNumberFormat="1" applyFont="1" applyFill="1" applyBorder="1" applyAlignment="1" applyProtection="1">
      <alignment horizontal="right"/>
      <protection locked="0"/>
    </xf>
    <xf numFmtId="10" fontId="26" fillId="0" borderId="0" xfId="0" applyNumberFormat="1" applyFont="1" applyFill="1" applyBorder="1" applyAlignment="1" applyProtection="1">
      <alignment horizontal="center"/>
      <protection locked="0"/>
    </xf>
    <xf numFmtId="0" fontId="9" fillId="0" borderId="7" xfId="0" applyFont="1" applyFill="1" applyBorder="1" applyAlignment="1">
      <alignment horizontal="left"/>
    </xf>
    <xf numFmtId="172" fontId="26" fillId="0" borderId="0" xfId="6" applyNumberFormat="1" applyFont="1" applyFill="1" applyBorder="1" applyAlignment="1" applyProtection="1">
      <alignment horizontal="center"/>
      <protection locked="0"/>
    </xf>
    <xf numFmtId="9" fontId="14" fillId="0" borderId="0" xfId="1" applyFont="1" applyFill="1" applyBorder="1" applyAlignment="1" applyProtection="1">
      <alignment horizontal="right"/>
      <protection locked="0"/>
    </xf>
    <xf numFmtId="172" fontId="26" fillId="0" borderId="0" xfId="6" applyNumberFormat="1" applyFont="1" applyFill="1" applyBorder="1" applyProtection="1">
      <protection locked="0"/>
    </xf>
    <xf numFmtId="9" fontId="26" fillId="0" borderId="0" xfId="1" applyFont="1" applyFill="1" applyBorder="1" applyProtection="1">
      <protection locked="0"/>
    </xf>
    <xf numFmtId="0" fontId="9" fillId="0" borderId="55" xfId="0" applyFont="1" applyFill="1" applyBorder="1" applyAlignment="1">
      <alignment horizontal="left"/>
    </xf>
    <xf numFmtId="172" fontId="9" fillId="0" borderId="0" xfId="6" applyNumberFormat="1" applyFont="1" applyFill="1" applyBorder="1" applyAlignment="1" applyProtection="1">
      <alignment horizontal="right"/>
      <protection locked="0"/>
    </xf>
    <xf numFmtId="10" fontId="9" fillId="0" borderId="2" xfId="0" applyNumberFormat="1" applyFont="1" applyFill="1" applyBorder="1" applyAlignment="1" applyProtection="1">
      <alignment horizontal="right"/>
      <protection locked="0"/>
    </xf>
    <xf numFmtId="172" fontId="9" fillId="0" borderId="2" xfId="6" applyNumberFormat="1" applyFont="1" applyFill="1" applyBorder="1" applyAlignment="1" applyProtection="1">
      <alignment horizontal="right"/>
      <protection locked="0"/>
    </xf>
    <xf numFmtId="9" fontId="9" fillId="0" borderId="2" xfId="1" applyFont="1" applyFill="1" applyBorder="1" applyAlignment="1" applyProtection="1">
      <alignment horizontal="right"/>
      <protection locked="0"/>
    </xf>
    <xf numFmtId="9" fontId="9" fillId="0" borderId="2" xfId="0" applyNumberFormat="1" applyFont="1" applyFill="1" applyBorder="1" applyAlignment="1" applyProtection="1">
      <alignment horizontal="right"/>
      <protection locked="0"/>
    </xf>
    <xf numFmtId="174" fontId="10" fillId="0" borderId="43" xfId="7" applyNumberFormat="1" applyFont="1" applyFill="1" applyBorder="1" applyAlignment="1">
      <alignment horizontal="right"/>
    </xf>
    <xf numFmtId="170" fontId="9" fillId="0" borderId="29" xfId="0" applyNumberFormat="1" applyFont="1" applyFill="1" applyBorder="1" applyAlignment="1" applyProtection="1">
      <alignment horizontal="right"/>
      <protection locked="0"/>
    </xf>
    <xf numFmtId="174" fontId="9" fillId="0" borderId="49" xfId="7" applyNumberFormat="1" applyFont="1" applyFill="1" applyBorder="1" applyAlignment="1" applyProtection="1">
      <alignment horizontal="right"/>
      <protection locked="0"/>
    </xf>
    <xf numFmtId="41" fontId="9" fillId="0" borderId="29" xfId="5" applyFont="1" applyBorder="1" applyAlignment="1">
      <alignment horizontal="right"/>
    </xf>
    <xf numFmtId="172" fontId="9" fillId="0" borderId="49" xfId="6" applyNumberFormat="1" applyFont="1" applyFill="1" applyBorder="1" applyAlignment="1" applyProtection="1">
      <alignment horizontal="right"/>
      <protection locked="0"/>
    </xf>
    <xf numFmtId="10" fontId="9" fillId="0" borderId="29" xfId="0" applyNumberFormat="1" applyFont="1" applyFill="1" applyBorder="1" applyAlignment="1" applyProtection="1">
      <alignment horizontal="right"/>
      <protection locked="0"/>
    </xf>
    <xf numFmtId="174" fontId="9" fillId="0" borderId="37" xfId="7" applyNumberFormat="1" applyFont="1" applyFill="1" applyBorder="1" applyAlignment="1" applyProtection="1">
      <alignment horizontal="right"/>
      <protection locked="0"/>
    </xf>
    <xf numFmtId="0" fontId="10" fillId="13" borderId="11" xfId="0" applyFont="1" applyFill="1" applyBorder="1"/>
    <xf numFmtId="0" fontId="9" fillId="0" borderId="24" xfId="0" applyFont="1" applyBorder="1" applyAlignment="1">
      <alignment horizontal="center"/>
    </xf>
    <xf numFmtId="0" fontId="9" fillId="16" borderId="23" xfId="0" applyFont="1" applyFill="1" applyBorder="1"/>
    <xf numFmtId="0" fontId="9" fillId="0" borderId="28" xfId="0" applyFont="1" applyFill="1" applyBorder="1"/>
    <xf numFmtId="172" fontId="9" fillId="0" borderId="29" xfId="6" applyNumberFormat="1" applyFont="1" applyFill="1" applyBorder="1" applyAlignment="1" applyProtection="1">
      <alignment horizontal="right"/>
      <protection locked="0"/>
    </xf>
    <xf numFmtId="9" fontId="9" fillId="0" borderId="29" xfId="1" applyFont="1" applyFill="1" applyBorder="1" applyAlignment="1" applyProtection="1">
      <alignment horizontal="right"/>
      <protection locked="0"/>
    </xf>
    <xf numFmtId="9" fontId="9" fillId="0" borderId="29" xfId="0" applyNumberFormat="1" applyFont="1" applyFill="1" applyBorder="1" applyAlignment="1" applyProtection="1">
      <alignment horizontal="right"/>
      <protection locked="0"/>
    </xf>
    <xf numFmtId="0" fontId="9" fillId="0" borderId="35" xfId="0" applyFont="1" applyFill="1" applyBorder="1"/>
    <xf numFmtId="9" fontId="9" fillId="0" borderId="36" xfId="0" applyNumberFormat="1" applyFont="1" applyFill="1" applyBorder="1" applyAlignment="1" applyProtection="1">
      <alignment horizontal="right"/>
      <protection locked="0"/>
    </xf>
    <xf numFmtId="9" fontId="9" fillId="0" borderId="37" xfId="0" applyNumberFormat="1" applyFont="1" applyFill="1" applyBorder="1" applyAlignment="1" applyProtection="1">
      <alignment horizontal="right"/>
      <protection locked="0"/>
    </xf>
    <xf numFmtId="0" fontId="9" fillId="0" borderId="25" xfId="0" applyFont="1" applyFill="1" applyBorder="1"/>
    <xf numFmtId="170" fontId="9" fillId="0" borderId="26" xfId="1" applyNumberFormat="1" applyFont="1" applyFill="1" applyBorder="1" applyAlignment="1">
      <alignment horizontal="right"/>
    </xf>
    <xf numFmtId="170" fontId="9" fillId="0" borderId="27" xfId="1" applyNumberFormat="1" applyFont="1" applyFill="1" applyBorder="1" applyAlignment="1">
      <alignment horizontal="right"/>
    </xf>
    <xf numFmtId="0" fontId="10" fillId="9" borderId="22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center"/>
    </xf>
    <xf numFmtId="0" fontId="10" fillId="9" borderId="24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0" xfId="0" applyBorder="1"/>
    <xf numFmtId="0" fontId="0" fillId="0" borderId="8" xfId="0" applyFill="1" applyBorder="1"/>
    <xf numFmtId="0" fontId="18" fillId="0" borderId="8" xfId="0" applyFont="1" applyFill="1" applyBorder="1" applyAlignment="1">
      <alignment horizontal="center" wrapText="1"/>
    </xf>
    <xf numFmtId="0" fontId="19" fillId="0" borderId="8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Fill="1" applyBorder="1"/>
    <xf numFmtId="6" fontId="9" fillId="0" borderId="17" xfId="0" applyNumberFormat="1" applyFont="1" applyBorder="1"/>
    <xf numFmtId="9" fontId="9" fillId="0" borderId="17" xfId="0" applyNumberFormat="1" applyFont="1" applyBorder="1" applyAlignment="1">
      <alignment horizontal="center"/>
    </xf>
    <xf numFmtId="43" fontId="9" fillId="0" borderId="17" xfId="0" applyNumberFormat="1" applyFont="1" applyBorder="1" applyAlignment="1">
      <alignment horizontal="right"/>
    </xf>
    <xf numFmtId="10" fontId="9" fillId="0" borderId="17" xfId="0" applyNumberFormat="1" applyFont="1" applyBorder="1"/>
    <xf numFmtId="9" fontId="9" fillId="0" borderId="17" xfId="0" applyNumberFormat="1" applyFont="1" applyBorder="1"/>
    <xf numFmtId="0" fontId="9" fillId="0" borderId="17" xfId="0" applyFont="1" applyBorder="1"/>
    <xf numFmtId="10" fontId="9" fillId="6" borderId="17" xfId="0" applyNumberFormat="1" applyFont="1" applyFill="1" applyBorder="1"/>
    <xf numFmtId="9" fontId="9" fillId="0" borderId="17" xfId="1" applyFont="1" applyBorder="1"/>
    <xf numFmtId="43" fontId="9" fillId="0" borderId="17" xfId="0" applyNumberFormat="1" applyFont="1" applyBorder="1" applyAlignment="1">
      <alignment horizontal="center"/>
    </xf>
    <xf numFmtId="10" fontId="9" fillId="6" borderId="17" xfId="1" applyNumberFormat="1" applyFont="1" applyFill="1" applyBorder="1"/>
    <xf numFmtId="174" fontId="9" fillId="0" borderId="2" xfId="7" applyNumberFormat="1" applyFont="1" applyBorder="1"/>
    <xf numFmtId="179" fontId="9" fillId="0" borderId="2" xfId="6" applyNumberFormat="1" applyFont="1" applyBorder="1"/>
    <xf numFmtId="179" fontId="10" fillId="0" borderId="2" xfId="6" applyNumberFormat="1" applyFont="1" applyBorder="1"/>
    <xf numFmtId="0" fontId="11" fillId="0" borderId="0" xfId="8" applyFont="1" applyBorder="1"/>
    <xf numFmtId="179" fontId="10" fillId="0" borderId="26" xfId="6" applyNumberFormat="1" applyFont="1" applyBorder="1"/>
    <xf numFmtId="174" fontId="10" fillId="0" borderId="26" xfId="7" applyNumberFormat="1" applyFont="1" applyBorder="1"/>
    <xf numFmtId="179" fontId="10" fillId="0" borderId="33" xfId="6" applyNumberFormat="1" applyFont="1" applyBorder="1"/>
    <xf numFmtId="179" fontId="10" fillId="0" borderId="34" xfId="6" applyNumberFormat="1" applyFont="1" applyBorder="1"/>
    <xf numFmtId="0" fontId="9" fillId="0" borderId="35" xfId="0" applyFont="1" applyBorder="1"/>
    <xf numFmtId="174" fontId="9" fillId="0" borderId="36" xfId="7" applyNumberFormat="1" applyFont="1" applyBorder="1"/>
    <xf numFmtId="179" fontId="9" fillId="0" borderId="36" xfId="6" applyNumberFormat="1" applyFont="1" applyBorder="1"/>
    <xf numFmtId="179" fontId="9" fillId="0" borderId="37" xfId="6" applyNumberFormat="1" applyFont="1" applyBorder="1"/>
    <xf numFmtId="0" fontId="10" fillId="0" borderId="5" xfId="0" applyFont="1" applyBorder="1"/>
    <xf numFmtId="0" fontId="9" fillId="0" borderId="28" xfId="0" applyFont="1" applyBorder="1"/>
    <xf numFmtId="179" fontId="9" fillId="0" borderId="29" xfId="6" applyNumberFormat="1" applyFont="1" applyBorder="1"/>
    <xf numFmtId="179" fontId="13" fillId="2" borderId="10" xfId="6" applyNumberFormat="1" applyFont="1" applyFill="1" applyBorder="1"/>
    <xf numFmtId="179" fontId="10" fillId="0" borderId="27" xfId="6" applyNumberFormat="1" applyFont="1" applyBorder="1"/>
    <xf numFmtId="179" fontId="13" fillId="2" borderId="37" xfId="6" applyNumberFormat="1" applyFont="1" applyFill="1" applyBorder="1"/>
    <xf numFmtId="179" fontId="11" fillId="0" borderId="33" xfId="6" applyNumberFormat="1" applyFont="1" applyBorder="1"/>
    <xf numFmtId="179" fontId="11" fillId="0" borderId="34" xfId="6" applyNumberFormat="1" applyFont="1" applyBorder="1"/>
    <xf numFmtId="179" fontId="11" fillId="0" borderId="27" xfId="6" applyNumberFormat="1" applyFont="1" applyBorder="1"/>
    <xf numFmtId="179" fontId="9" fillId="0" borderId="62" xfId="6" applyNumberFormat="1" applyFont="1" applyBorder="1"/>
    <xf numFmtId="179" fontId="9" fillId="0" borderId="17" xfId="6" applyNumberFormat="1" applyFont="1" applyBorder="1"/>
    <xf numFmtId="179" fontId="13" fillId="2" borderId="63" xfId="6" applyNumberFormat="1" applyFont="1" applyFill="1" applyBorder="1"/>
    <xf numFmtId="0" fontId="10" fillId="11" borderId="2" xfId="0" applyFont="1" applyFill="1" applyBorder="1" applyAlignment="1"/>
    <xf numFmtId="174" fontId="10" fillId="0" borderId="33" xfId="7" applyNumberFormat="1" applyFont="1" applyBorder="1"/>
    <xf numFmtId="179" fontId="9" fillId="0" borderId="16" xfId="6" applyNumberFormat="1" applyFont="1" applyBorder="1"/>
    <xf numFmtId="179" fontId="9" fillId="0" borderId="0" xfId="6" applyNumberFormat="1" applyFont="1" applyBorder="1"/>
    <xf numFmtId="0" fontId="10" fillId="0" borderId="0" xfId="0" applyFont="1" applyBorder="1" applyAlignment="1"/>
    <xf numFmtId="0" fontId="11" fillId="0" borderId="8" xfId="8" applyFont="1" applyBorder="1"/>
    <xf numFmtId="179" fontId="9" fillId="0" borderId="19" xfId="6" applyNumberFormat="1" applyFont="1" applyBorder="1"/>
    <xf numFmtId="0" fontId="9" fillId="16" borderId="0" xfId="0" applyFont="1" applyFill="1"/>
    <xf numFmtId="179" fontId="10" fillId="17" borderId="22" xfId="6" applyNumberFormat="1" applyFont="1" applyFill="1" applyBorder="1" applyAlignment="1">
      <alignment horizontal="center" vertical="center"/>
    </xf>
    <xf numFmtId="179" fontId="10" fillId="17" borderId="23" xfId="6" applyNumberFormat="1" applyFont="1" applyFill="1" applyBorder="1" applyAlignment="1">
      <alignment horizontal="center" vertical="center"/>
    </xf>
    <xf numFmtId="179" fontId="10" fillId="17" borderId="24" xfId="6" applyNumberFormat="1" applyFont="1" applyFill="1" applyBorder="1" applyAlignment="1">
      <alignment horizontal="center" vertical="center"/>
    </xf>
    <xf numFmtId="179" fontId="13" fillId="2" borderId="23" xfId="6" applyNumberFormat="1" applyFont="1" applyFill="1" applyBorder="1"/>
    <xf numFmtId="179" fontId="13" fillId="2" borderId="24" xfId="6" applyNumberFormat="1" applyFont="1" applyFill="1" applyBorder="1"/>
    <xf numFmtId="0" fontId="8" fillId="17" borderId="32" xfId="8" applyFont="1" applyFill="1" applyBorder="1"/>
    <xf numFmtId="0" fontId="8" fillId="17" borderId="33" xfId="8" applyFont="1" applyFill="1" applyBorder="1"/>
    <xf numFmtId="0" fontId="8" fillId="17" borderId="34" xfId="8" applyFont="1" applyFill="1" applyBorder="1"/>
    <xf numFmtId="0" fontId="11" fillId="4" borderId="28" xfId="8" applyFont="1" applyFill="1" applyBorder="1" applyAlignment="1">
      <alignment horizontal="center"/>
    </xf>
    <xf numFmtId="165" fontId="11" fillId="4" borderId="29" xfId="9" applyFont="1" applyFill="1" applyBorder="1"/>
    <xf numFmtId="0" fontId="9" fillId="0" borderId="28" xfId="0" applyFont="1" applyBorder="1" applyAlignment="1">
      <alignment horizontal="center"/>
    </xf>
    <xf numFmtId="0" fontId="11" fillId="4" borderId="35" xfId="8" applyFont="1" applyFill="1" applyBorder="1" applyAlignment="1">
      <alignment horizontal="center"/>
    </xf>
    <xf numFmtId="0" fontId="11" fillId="4" borderId="36" xfId="8" applyFont="1" applyFill="1" applyBorder="1"/>
    <xf numFmtId="165" fontId="11" fillId="4" borderId="36" xfId="9" applyFont="1" applyFill="1" applyBorder="1"/>
    <xf numFmtId="0" fontId="11" fillId="0" borderId="36" xfId="8" applyFont="1" applyBorder="1"/>
    <xf numFmtId="165" fontId="11" fillId="4" borderId="37" xfId="9" applyFont="1" applyFill="1" applyBorder="1"/>
    <xf numFmtId="165" fontId="13" fillId="2" borderId="24" xfId="8" applyNumberFormat="1" applyFont="1" applyFill="1" applyBorder="1"/>
    <xf numFmtId="0" fontId="13" fillId="2" borderId="22" xfId="8" applyFont="1" applyFill="1" applyBorder="1" applyAlignment="1">
      <alignment horizontal="center"/>
    </xf>
    <xf numFmtId="0" fontId="9" fillId="11" borderId="0" xfId="0" applyFont="1" applyFill="1"/>
    <xf numFmtId="0" fontId="10" fillId="11" borderId="2" xfId="0" applyFont="1" applyFill="1" applyBorder="1"/>
    <xf numFmtId="179" fontId="9" fillId="11" borderId="2" xfId="6" applyNumberFormat="1" applyFont="1" applyFill="1" applyBorder="1" applyProtection="1">
      <protection hidden="1"/>
    </xf>
    <xf numFmtId="179" fontId="9" fillId="0" borderId="2" xfId="6" applyNumberFormat="1" applyFont="1" applyBorder="1" applyProtection="1">
      <protection hidden="1"/>
    </xf>
    <xf numFmtId="0" fontId="13" fillId="14" borderId="2" xfId="0" applyFont="1" applyFill="1" applyBorder="1"/>
    <xf numFmtId="179" fontId="13" fillId="14" borderId="2" xfId="6" applyNumberFormat="1" applyFont="1" applyFill="1" applyBorder="1" applyProtection="1">
      <protection hidden="1"/>
    </xf>
    <xf numFmtId="0" fontId="10" fillId="17" borderId="26" xfId="0" applyFont="1" applyFill="1" applyBorder="1"/>
    <xf numFmtId="179" fontId="10" fillId="17" borderId="26" xfId="6" applyNumberFormat="1" applyFont="1" applyFill="1" applyBorder="1" applyProtection="1">
      <protection hidden="1"/>
    </xf>
    <xf numFmtId="179" fontId="9" fillId="0" borderId="69" xfId="6" applyNumberFormat="1" applyFont="1" applyFill="1" applyBorder="1" applyProtection="1">
      <protection hidden="1"/>
    </xf>
    <xf numFmtId="0" fontId="10" fillId="11" borderId="3" xfId="0" applyFont="1" applyFill="1" applyBorder="1"/>
    <xf numFmtId="179" fontId="10" fillId="11" borderId="2" xfId="6" applyNumberFormat="1" applyFont="1" applyFill="1" applyBorder="1" applyAlignment="1">
      <alignment horizontal="center"/>
    </xf>
    <xf numFmtId="179" fontId="9" fillId="0" borderId="4" xfId="6" applyNumberFormat="1" applyFont="1" applyBorder="1"/>
    <xf numFmtId="0" fontId="28" fillId="0" borderId="68" xfId="0" applyFont="1" applyBorder="1"/>
    <xf numFmtId="0" fontId="28" fillId="0" borderId="3" xfId="0" applyFont="1" applyBorder="1"/>
    <xf numFmtId="0" fontId="28" fillId="0" borderId="70" xfId="0" applyFont="1" applyBorder="1"/>
    <xf numFmtId="0" fontId="28" fillId="0" borderId="2" xfId="0" applyFont="1" applyBorder="1"/>
    <xf numFmtId="0" fontId="28" fillId="0" borderId="69" xfId="0" applyFont="1" applyBorder="1"/>
    <xf numFmtId="0" fontId="9" fillId="8" borderId="0" xfId="0" applyFont="1" applyFill="1"/>
    <xf numFmtId="0" fontId="10" fillId="16" borderId="0" xfId="0" applyFont="1" applyFill="1"/>
    <xf numFmtId="0" fontId="29" fillId="16" borderId="0" xfId="0" applyFont="1" applyFill="1"/>
    <xf numFmtId="0" fontId="10" fillId="0" borderId="0" xfId="12" applyFont="1" applyFill="1" applyBorder="1" applyAlignment="1">
      <alignment horizontal="left"/>
    </xf>
    <xf numFmtId="0" fontId="10" fillId="0" borderId="0" xfId="12" applyFont="1" applyFill="1" applyBorder="1" applyAlignment="1">
      <alignment horizontal="right"/>
    </xf>
    <xf numFmtId="3" fontId="9" fillId="0" borderId="2" xfId="12" applyNumberFormat="1" applyFont="1" applyFill="1" applyBorder="1" applyAlignment="1">
      <alignment horizontal="center"/>
    </xf>
    <xf numFmtId="170" fontId="11" fillId="0" borderId="2" xfId="1" applyNumberFormat="1" applyFont="1" applyFill="1" applyBorder="1" applyAlignment="1">
      <alignment horizontal="center"/>
    </xf>
    <xf numFmtId="0" fontId="10" fillId="8" borderId="4" xfId="12" applyFont="1" applyFill="1" applyBorder="1" applyAlignment="1">
      <alignment horizontal="center"/>
    </xf>
    <xf numFmtId="3" fontId="9" fillId="0" borderId="1" xfId="12" applyNumberFormat="1" applyFont="1" applyFill="1" applyBorder="1" applyAlignment="1">
      <alignment horizontal="center"/>
    </xf>
    <xf numFmtId="0" fontId="9" fillId="0" borderId="1" xfId="12" applyFont="1" applyFill="1" applyBorder="1" applyAlignment="1">
      <alignment horizontal="center"/>
    </xf>
    <xf numFmtId="170" fontId="11" fillId="0" borderId="1" xfId="1" applyNumberFormat="1" applyFont="1" applyFill="1" applyBorder="1" applyAlignment="1">
      <alignment horizontal="center"/>
    </xf>
    <xf numFmtId="168" fontId="9" fillId="0" borderId="26" xfId="12" quotePrefix="1" applyNumberFormat="1" applyFont="1" applyFill="1" applyBorder="1" applyAlignment="1">
      <alignment horizontal="center"/>
    </xf>
    <xf numFmtId="3" fontId="9" fillId="0" borderId="3" xfId="12" applyNumberFormat="1" applyFont="1" applyFill="1" applyBorder="1" applyAlignment="1">
      <alignment horizontal="center"/>
    </xf>
    <xf numFmtId="0" fontId="9" fillId="0" borderId="72" xfId="12" applyFont="1" applyFill="1" applyBorder="1" applyAlignment="1">
      <alignment horizontal="center"/>
    </xf>
    <xf numFmtId="3" fontId="9" fillId="0" borderId="4" xfId="12" applyNumberFormat="1" applyFont="1" applyFill="1" applyBorder="1" applyAlignment="1">
      <alignment horizontal="center"/>
    </xf>
    <xf numFmtId="0" fontId="9" fillId="4" borderId="76" xfId="12" applyFont="1" applyFill="1" applyBorder="1" applyAlignment="1">
      <alignment horizontal="center"/>
    </xf>
    <xf numFmtId="0" fontId="9" fillId="4" borderId="72" xfId="12" applyFont="1" applyFill="1" applyBorder="1" applyAlignment="1">
      <alignment horizontal="center"/>
    </xf>
    <xf numFmtId="168" fontId="9" fillId="0" borderId="75" xfId="12" quotePrefix="1" applyNumberFormat="1" applyFont="1" applyFill="1" applyBorder="1" applyAlignment="1">
      <alignment horizontal="center"/>
    </xf>
    <xf numFmtId="3" fontId="9" fillId="0" borderId="3" xfId="12" quotePrefix="1" applyNumberFormat="1" applyFont="1" applyFill="1" applyBorder="1" applyAlignment="1">
      <alignment horizontal="center"/>
    </xf>
    <xf numFmtId="0" fontId="9" fillId="0" borderId="74" xfId="12" quotePrefix="1" applyFont="1" applyFill="1" applyBorder="1" applyAlignment="1">
      <alignment horizontal="center"/>
    </xf>
    <xf numFmtId="0" fontId="9" fillId="0" borderId="74" xfId="12" applyFont="1" applyFill="1" applyBorder="1" applyAlignment="1">
      <alignment horizontal="center"/>
    </xf>
    <xf numFmtId="0" fontId="28" fillId="0" borderId="3" xfId="12" quotePrefix="1" applyFont="1" applyFill="1" applyBorder="1" applyAlignment="1">
      <alignment horizontal="left" wrapText="1"/>
    </xf>
    <xf numFmtId="0" fontId="28" fillId="0" borderId="3" xfId="12" quotePrefix="1" applyFont="1" applyFill="1" applyBorder="1" applyAlignment="1">
      <alignment horizontal="left"/>
    </xf>
    <xf numFmtId="0" fontId="28" fillId="0" borderId="3" xfId="12" applyFont="1" applyFill="1" applyBorder="1" applyAlignment="1">
      <alignment wrapText="1"/>
    </xf>
    <xf numFmtId="0" fontId="28" fillId="0" borderId="3" xfId="12" applyFont="1" applyFill="1" applyBorder="1" applyAlignment="1">
      <alignment horizontal="left"/>
    </xf>
    <xf numFmtId="0" fontId="9" fillId="4" borderId="0" xfId="12" applyFont="1" applyFill="1" applyAlignment="1">
      <alignment horizontal="center"/>
    </xf>
    <xf numFmtId="0" fontId="9" fillId="23" borderId="2" xfId="12" applyFont="1" applyFill="1" applyBorder="1" applyAlignment="1">
      <alignment horizontal="center"/>
    </xf>
    <xf numFmtId="0" fontId="9" fillId="23" borderId="45" xfId="12" applyFont="1" applyFill="1" applyBorder="1" applyAlignment="1">
      <alignment horizontal="center"/>
    </xf>
    <xf numFmtId="0" fontId="9" fillId="23" borderId="3" xfId="12" applyFont="1" applyFill="1" applyBorder="1" applyAlignment="1">
      <alignment horizontal="center"/>
    </xf>
    <xf numFmtId="168" fontId="9" fillId="23" borderId="26" xfId="12" quotePrefix="1" applyNumberFormat="1" applyFont="1" applyFill="1" applyBorder="1" applyAlignment="1">
      <alignment horizontal="center"/>
    </xf>
    <xf numFmtId="0" fontId="10" fillId="24" borderId="2" xfId="12" applyFont="1" applyFill="1" applyBorder="1" applyAlignment="1">
      <alignment horizontal="center"/>
    </xf>
    <xf numFmtId="0" fontId="10" fillId="24" borderId="2" xfId="12" applyFont="1" applyFill="1" applyBorder="1" applyAlignment="1">
      <alignment horizontal="right"/>
    </xf>
    <xf numFmtId="0" fontId="10" fillId="5" borderId="2" xfId="12" applyFont="1" applyFill="1" applyBorder="1" applyAlignment="1">
      <alignment horizontal="center"/>
    </xf>
    <xf numFmtId="0" fontId="10" fillId="5" borderId="2" xfId="12" applyFont="1" applyFill="1" applyBorder="1" applyAlignment="1">
      <alignment horizontal="right"/>
    </xf>
    <xf numFmtId="3" fontId="9" fillId="23" borderId="2" xfId="12" applyNumberFormat="1" applyFont="1" applyFill="1" applyBorder="1"/>
    <xf numFmtId="171" fontId="9" fillId="23" borderId="2" xfId="13" applyNumberFormat="1" applyFont="1" applyFill="1" applyBorder="1"/>
    <xf numFmtId="0" fontId="8" fillId="0" borderId="4" xfId="8" applyFont="1" applyBorder="1" applyAlignment="1">
      <alignment horizontal="center"/>
    </xf>
    <xf numFmtId="165" fontId="11" fillId="0" borderId="72" xfId="8" applyNumberFormat="1" applyFont="1" applyBorder="1"/>
    <xf numFmtId="0" fontId="8" fillId="7" borderId="2" xfId="8" applyFont="1" applyFill="1" applyBorder="1" applyAlignment="1">
      <alignment wrapText="1"/>
    </xf>
    <xf numFmtId="0" fontId="28" fillId="0" borderId="2" xfId="12" applyFont="1" applyBorder="1"/>
    <xf numFmtId="181" fontId="22" fillId="0" borderId="0" xfId="0" applyNumberFormat="1" applyFont="1" applyFill="1" applyBorder="1" applyProtection="1">
      <protection hidden="1"/>
    </xf>
    <xf numFmtId="0" fontId="11" fillId="23" borderId="4" xfId="8" applyFont="1" applyFill="1" applyBorder="1"/>
    <xf numFmtId="0" fontId="11" fillId="23" borderId="45" xfId="8" applyFont="1" applyFill="1" applyBorder="1"/>
    <xf numFmtId="0" fontId="8" fillId="23" borderId="2" xfId="8" applyFont="1" applyFill="1" applyBorder="1"/>
    <xf numFmtId="0" fontId="11" fillId="23" borderId="45" xfId="8" applyFont="1" applyFill="1" applyBorder="1" applyAlignment="1">
      <alignment vertical="center"/>
    </xf>
    <xf numFmtId="0" fontId="10" fillId="0" borderId="0" xfId="12" applyFont="1" applyBorder="1"/>
    <xf numFmtId="0" fontId="9" fillId="0" borderId="0" xfId="12" applyFont="1" applyBorder="1" applyAlignment="1">
      <alignment horizontal="center"/>
    </xf>
    <xf numFmtId="3" fontId="9" fillId="0" borderId="0" xfId="12" applyNumberFormat="1" applyFont="1" applyBorder="1"/>
    <xf numFmtId="9" fontId="9" fillId="0" borderId="0" xfId="12" applyNumberFormat="1" applyFont="1" applyBorder="1"/>
    <xf numFmtId="165" fontId="9" fillId="0" borderId="0" xfId="12" applyNumberFormat="1" applyFont="1" applyBorder="1"/>
    <xf numFmtId="41" fontId="9" fillId="0" borderId="0" xfId="12" applyNumberFormat="1" applyFont="1" applyBorder="1"/>
    <xf numFmtId="0" fontId="8" fillId="0" borderId="0" xfId="8" applyFont="1" applyFill="1" applyBorder="1"/>
    <xf numFmtId="0" fontId="11" fillId="0" borderId="0" xfId="8" applyFont="1" applyFill="1" applyBorder="1"/>
    <xf numFmtId="0" fontId="9" fillId="0" borderId="5" xfId="12" applyFont="1" applyFill="1" applyBorder="1"/>
    <xf numFmtId="0" fontId="9" fillId="0" borderId="16" xfId="12" applyFont="1" applyFill="1" applyBorder="1"/>
    <xf numFmtId="0" fontId="21" fillId="0" borderId="16" xfId="12" applyFont="1" applyBorder="1" applyAlignment="1">
      <alignment horizontal="left"/>
    </xf>
    <xf numFmtId="0" fontId="9" fillId="0" borderId="16" xfId="12" applyFont="1" applyBorder="1"/>
    <xf numFmtId="0" fontId="9" fillId="0" borderId="6" xfId="12" applyFont="1" applyBorder="1"/>
    <xf numFmtId="0" fontId="9" fillId="0" borderId="7" xfId="12" applyFont="1" applyFill="1" applyBorder="1"/>
    <xf numFmtId="0" fontId="9" fillId="0" borderId="8" xfId="12" applyFont="1" applyBorder="1"/>
    <xf numFmtId="0" fontId="9" fillId="0" borderId="9" xfId="12" applyFont="1" applyFill="1" applyBorder="1"/>
    <xf numFmtId="0" fontId="9" fillId="0" borderId="19" xfId="12" applyFont="1" applyFill="1" applyBorder="1"/>
    <xf numFmtId="0" fontId="9" fillId="0" borderId="19" xfId="12" applyFont="1" applyBorder="1"/>
    <xf numFmtId="181" fontId="9" fillId="0" borderId="19" xfId="12" applyNumberFormat="1" applyFont="1" applyBorder="1"/>
    <xf numFmtId="0" fontId="9" fillId="0" borderId="10" xfId="12" applyFont="1" applyBorder="1"/>
    <xf numFmtId="0" fontId="34" fillId="21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35" fillId="21" borderId="74" xfId="0" applyFont="1" applyFill="1" applyBorder="1" applyAlignment="1">
      <alignment horizontal="left"/>
    </xf>
    <xf numFmtId="0" fontId="9" fillId="0" borderId="74" xfId="0" applyFont="1" applyFill="1" applyBorder="1" applyAlignment="1"/>
    <xf numFmtId="3" fontId="9" fillId="0" borderId="0" xfId="0" applyNumberFormat="1" applyFont="1" applyFill="1" applyBorder="1" applyAlignment="1"/>
    <xf numFmtId="3" fontId="9" fillId="22" borderId="0" xfId="0" applyNumberFormat="1" applyFont="1" applyFill="1" applyBorder="1" applyAlignment="1"/>
    <xf numFmtId="168" fontId="9" fillId="0" borderId="0" xfId="0" applyNumberFormat="1" applyFont="1" applyFill="1" applyBorder="1" applyAlignment="1"/>
    <xf numFmtId="168" fontId="9" fillId="22" borderId="0" xfId="0" applyNumberFormat="1" applyFont="1" applyFill="1" applyBorder="1" applyAlignment="1"/>
    <xf numFmtId="170" fontId="9" fillId="0" borderId="0" xfId="0" applyNumberFormat="1" applyFont="1" applyFill="1" applyBorder="1" applyAlignment="1"/>
    <xf numFmtId="170" fontId="9" fillId="22" borderId="0" xfId="0" applyNumberFormat="1" applyFont="1" applyFill="1" applyBorder="1" applyAlignment="1"/>
    <xf numFmtId="0" fontId="34" fillId="21" borderId="19" xfId="0" applyFont="1" applyFill="1" applyBorder="1" applyAlignment="1">
      <alignment horizontal="left"/>
    </xf>
    <xf numFmtId="0" fontId="9" fillId="0" borderId="19" xfId="0" applyFont="1" applyFill="1" applyBorder="1" applyAlignment="1"/>
    <xf numFmtId="0" fontId="37" fillId="20" borderId="16" xfId="0" applyFont="1" applyFill="1" applyBorder="1" applyAlignment="1">
      <alignment horizontal="right"/>
    </xf>
    <xf numFmtId="0" fontId="37" fillId="20" borderId="73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10" fontId="9" fillId="0" borderId="74" xfId="0" applyNumberFormat="1" applyFont="1" applyFill="1" applyBorder="1" applyAlignment="1"/>
    <xf numFmtId="10" fontId="9" fillId="0" borderId="74" xfId="1" applyNumberFormat="1" applyFont="1" applyFill="1" applyBorder="1" applyAlignment="1"/>
    <xf numFmtId="0" fontId="34" fillId="21" borderId="76" xfId="0" applyFont="1" applyFill="1" applyBorder="1" applyAlignment="1">
      <alignment horizontal="left"/>
    </xf>
    <xf numFmtId="0" fontId="13" fillId="2" borderId="43" xfId="0" applyNumberFormat="1" applyFont="1" applyFill="1" applyBorder="1" applyAlignment="1">
      <alignment horizontal="center"/>
    </xf>
    <xf numFmtId="179" fontId="9" fillId="0" borderId="0" xfId="6" applyNumberFormat="1" applyFont="1" applyBorder="1" applyAlignment="1">
      <alignment horizontal="right"/>
    </xf>
    <xf numFmtId="179" fontId="9" fillId="0" borderId="76" xfId="6" applyNumberFormat="1" applyFont="1" applyFill="1" applyBorder="1" applyAlignment="1">
      <alignment horizontal="right"/>
    </xf>
    <xf numFmtId="172" fontId="38" fillId="0" borderId="2" xfId="6" applyNumberFormat="1" applyFont="1" applyBorder="1" applyProtection="1">
      <protection hidden="1"/>
    </xf>
    <xf numFmtId="172" fontId="38" fillId="0" borderId="2" xfId="0" applyNumberFormat="1" applyFont="1" applyBorder="1" applyProtection="1">
      <protection hidden="1"/>
    </xf>
    <xf numFmtId="0" fontId="38" fillId="0" borderId="2" xfId="0" applyFont="1" applyBorder="1" applyProtection="1">
      <protection hidden="1"/>
    </xf>
    <xf numFmtId="0" fontId="10" fillId="10" borderId="77" xfId="0" applyNumberFormat="1" applyFont="1" applyFill="1" applyBorder="1" applyAlignment="1">
      <alignment horizontal="center"/>
    </xf>
    <xf numFmtId="0" fontId="10" fillId="10" borderId="43" xfId="0" applyNumberFormat="1" applyFont="1" applyFill="1" applyBorder="1" applyAlignment="1">
      <alignment horizontal="center"/>
    </xf>
    <xf numFmtId="172" fontId="22" fillId="10" borderId="26" xfId="0" applyNumberFormat="1" applyFont="1" applyFill="1" applyBorder="1" applyProtection="1">
      <protection hidden="1"/>
    </xf>
    <xf numFmtId="172" fontId="38" fillId="0" borderId="69" xfId="6" applyNumberFormat="1" applyFont="1" applyBorder="1" applyProtection="1">
      <protection hidden="1"/>
    </xf>
    <xf numFmtId="179" fontId="10" fillId="25" borderId="74" xfId="6" applyNumberFormat="1" applyFont="1" applyFill="1" applyBorder="1" applyAlignment="1">
      <alignment horizontal="right"/>
    </xf>
    <xf numFmtId="179" fontId="9" fillId="0" borderId="78" xfId="6" applyNumberFormat="1" applyFont="1" applyFill="1" applyBorder="1" applyAlignment="1">
      <alignment horizontal="right"/>
    </xf>
    <xf numFmtId="179" fontId="9" fillId="0" borderId="8" xfId="6" applyNumberFormat="1" applyFont="1" applyFill="1" applyBorder="1" applyAlignment="1">
      <alignment horizontal="right"/>
    </xf>
    <xf numFmtId="179" fontId="10" fillId="25" borderId="47" xfId="6" applyNumberFormat="1" applyFont="1" applyFill="1" applyBorder="1" applyAlignment="1">
      <alignment horizontal="right"/>
    </xf>
    <xf numFmtId="179" fontId="9" fillId="0" borderId="8" xfId="6" applyNumberFormat="1" applyFont="1" applyBorder="1" applyAlignment="1">
      <alignment horizontal="right"/>
    </xf>
    <xf numFmtId="0" fontId="10" fillId="10" borderId="16" xfId="0" applyNumberFormat="1" applyFont="1" applyFill="1" applyBorder="1" applyAlignment="1">
      <alignment horizontal="center"/>
    </xf>
    <xf numFmtId="0" fontId="32" fillId="10" borderId="15" xfId="0" applyFont="1" applyFill="1" applyBorder="1"/>
    <xf numFmtId="0" fontId="9" fillId="0" borderId="79" xfId="8" applyNumberFormat="1" applyFont="1" applyFill="1" applyBorder="1" applyAlignment="1"/>
    <xf numFmtId="0" fontId="9" fillId="0" borderId="17" xfId="8" applyNumberFormat="1" applyFont="1" applyFill="1" applyBorder="1" applyAlignment="1"/>
    <xf numFmtId="0" fontId="10" fillId="25" borderId="64" xfId="8" applyNumberFormat="1" applyFont="1" applyFill="1" applyBorder="1" applyAlignment="1"/>
    <xf numFmtId="0" fontId="9" fillId="0" borderId="17" xfId="8" applyNumberFormat="1" applyFont="1" applyBorder="1" applyAlignment="1">
      <alignment vertical="center"/>
    </xf>
    <xf numFmtId="172" fontId="38" fillId="0" borderId="29" xfId="6" applyNumberFormat="1" applyFont="1" applyBorder="1" applyProtection="1">
      <protection hidden="1"/>
    </xf>
    <xf numFmtId="172" fontId="38" fillId="0" borderId="29" xfId="0" applyNumberFormat="1" applyFont="1" applyBorder="1" applyProtection="1">
      <protection hidden="1"/>
    </xf>
    <xf numFmtId="172" fontId="38" fillId="0" borderId="80" xfId="6" applyNumberFormat="1" applyFont="1" applyBorder="1" applyProtection="1">
      <protection hidden="1"/>
    </xf>
    <xf numFmtId="172" fontId="22" fillId="10" borderId="27" xfId="0" applyNumberFormat="1" applyFont="1" applyFill="1" applyBorder="1" applyProtection="1">
      <protection hidden="1"/>
    </xf>
    <xf numFmtId="0" fontId="38" fillId="0" borderId="29" xfId="0" applyFont="1" applyBorder="1" applyProtection="1">
      <protection hidden="1"/>
    </xf>
    <xf numFmtId="0" fontId="38" fillId="0" borderId="0" xfId="0" applyFont="1" applyBorder="1" applyProtection="1">
      <protection hidden="1"/>
    </xf>
    <xf numFmtId="172" fontId="38" fillId="0" borderId="0" xfId="0" applyNumberFormat="1" applyFont="1" applyBorder="1" applyProtection="1">
      <protection hidden="1"/>
    </xf>
    <xf numFmtId="172" fontId="22" fillId="3" borderId="36" xfId="0" applyNumberFormat="1" applyFont="1" applyFill="1" applyBorder="1" applyProtection="1">
      <protection hidden="1"/>
    </xf>
    <xf numFmtId="172" fontId="22" fillId="3" borderId="37" xfId="0" applyNumberFormat="1" applyFont="1" applyFill="1" applyBorder="1" applyProtection="1">
      <protection hidden="1"/>
    </xf>
    <xf numFmtId="172" fontId="38" fillId="0" borderId="1" xfId="6" applyNumberFormat="1" applyFont="1" applyFill="1" applyBorder="1" applyProtection="1">
      <protection hidden="1"/>
    </xf>
    <xf numFmtId="172" fontId="38" fillId="0" borderId="81" xfId="6" applyNumberFormat="1" applyFont="1" applyFill="1" applyBorder="1" applyProtection="1">
      <protection hidden="1"/>
    </xf>
    <xf numFmtId="172" fontId="22" fillId="10" borderId="75" xfId="0" applyNumberFormat="1" applyFont="1" applyFill="1" applyBorder="1" applyProtection="1">
      <protection hidden="1"/>
    </xf>
    <xf numFmtId="0" fontId="38" fillId="0" borderId="1" xfId="0" applyFont="1" applyBorder="1" applyProtection="1">
      <protection hidden="1"/>
    </xf>
    <xf numFmtId="0" fontId="22" fillId="10" borderId="62" xfId="0" applyFont="1" applyFill="1" applyBorder="1"/>
    <xf numFmtId="0" fontId="38" fillId="0" borderId="64" xfId="0" applyFont="1" applyBorder="1"/>
    <xf numFmtId="0" fontId="22" fillId="10" borderId="64" xfId="0" applyFont="1" applyFill="1" applyBorder="1"/>
    <xf numFmtId="0" fontId="39" fillId="10" borderId="64" xfId="0" applyFont="1" applyFill="1" applyBorder="1"/>
    <xf numFmtId="0" fontId="22" fillId="3" borderId="63" xfId="0" applyFont="1" applyFill="1" applyBorder="1"/>
    <xf numFmtId="172" fontId="22" fillId="3" borderId="48" xfId="0" applyNumberFormat="1" applyFont="1" applyFill="1" applyBorder="1" applyProtection="1">
      <protection hidden="1"/>
    </xf>
    <xf numFmtId="0" fontId="22" fillId="9" borderId="62" xfId="0" applyFont="1" applyFill="1" applyBorder="1"/>
    <xf numFmtId="0" fontId="38" fillId="0" borderId="11" xfId="0" applyFont="1" applyBorder="1" applyAlignment="1"/>
    <xf numFmtId="0" fontId="38" fillId="0" borderId="12" xfId="0" applyFont="1" applyBorder="1" applyAlignment="1"/>
    <xf numFmtId="0" fontId="38" fillId="0" borderId="13" xfId="0" applyFont="1" applyBorder="1" applyAlignment="1"/>
    <xf numFmtId="0" fontId="22" fillId="15" borderId="71" xfId="0" applyFont="1" applyFill="1" applyBorder="1"/>
    <xf numFmtId="172" fontId="38" fillId="15" borderId="76" xfId="0" applyNumberFormat="1" applyFont="1" applyFill="1" applyBorder="1" applyProtection="1">
      <protection hidden="1"/>
    </xf>
    <xf numFmtId="172" fontId="38" fillId="15" borderId="72" xfId="0" applyNumberFormat="1" applyFont="1" applyFill="1" applyBorder="1" applyProtection="1">
      <protection hidden="1"/>
    </xf>
    <xf numFmtId="0" fontId="22" fillId="15" borderId="68" xfId="0" applyFont="1" applyFill="1" applyBorder="1"/>
    <xf numFmtId="172" fontId="38" fillId="15" borderId="0" xfId="0" applyNumberFormat="1" applyFont="1" applyFill="1" applyBorder="1" applyProtection="1">
      <protection hidden="1"/>
    </xf>
    <xf numFmtId="172" fontId="38" fillId="15" borderId="46" xfId="0" applyNumberFormat="1" applyFont="1" applyFill="1" applyBorder="1" applyProtection="1">
      <protection hidden="1"/>
    </xf>
    <xf numFmtId="0" fontId="38" fillId="0" borderId="68" xfId="0" applyFont="1" applyBorder="1"/>
    <xf numFmtId="3" fontId="38" fillId="0" borderId="0" xfId="0" applyNumberFormat="1" applyFont="1" applyBorder="1" applyProtection="1">
      <protection hidden="1"/>
    </xf>
    <xf numFmtId="0" fontId="38" fillId="0" borderId="46" xfId="0" applyFont="1" applyBorder="1" applyProtection="1">
      <protection hidden="1"/>
    </xf>
    <xf numFmtId="0" fontId="22" fillId="0" borderId="68" xfId="0" applyFont="1" applyBorder="1"/>
    <xf numFmtId="172" fontId="38" fillId="0" borderId="46" xfId="0" applyNumberFormat="1" applyFont="1" applyBorder="1" applyProtection="1">
      <protection hidden="1"/>
    </xf>
    <xf numFmtId="0" fontId="38" fillId="0" borderId="51" xfId="0" applyFont="1" applyBorder="1"/>
    <xf numFmtId="0" fontId="38" fillId="0" borderId="73" xfId="0" applyFont="1" applyBorder="1"/>
    <xf numFmtId="172" fontId="38" fillId="0" borderId="73" xfId="0" applyNumberFormat="1" applyFont="1" applyBorder="1"/>
    <xf numFmtId="172" fontId="38" fillId="0" borderId="75" xfId="0" applyNumberFormat="1" applyFont="1" applyBorder="1"/>
    <xf numFmtId="0" fontId="22" fillId="15" borderId="51" xfId="0" applyFont="1" applyFill="1" applyBorder="1"/>
    <xf numFmtId="172" fontId="38" fillId="15" borderId="73" xfId="0" applyNumberFormat="1" applyFont="1" applyFill="1" applyBorder="1" applyProtection="1">
      <protection hidden="1"/>
    </xf>
    <xf numFmtId="172" fontId="38" fillId="15" borderId="75" xfId="0" applyNumberFormat="1" applyFont="1" applyFill="1" applyBorder="1" applyProtection="1">
      <protection hidden="1"/>
    </xf>
    <xf numFmtId="172" fontId="17" fillId="0" borderId="0" xfId="0" applyNumberFormat="1" applyFont="1" applyBorder="1" applyProtection="1">
      <protection hidden="1"/>
    </xf>
    <xf numFmtId="172" fontId="9" fillId="0" borderId="0" xfId="0" applyNumberFormat="1" applyFont="1" applyBorder="1"/>
    <xf numFmtId="0" fontId="38" fillId="0" borderId="0" xfId="0" applyFont="1" applyBorder="1"/>
    <xf numFmtId="0" fontId="17" fillId="0" borderId="0" xfId="0" applyFont="1" applyBorder="1"/>
    <xf numFmtId="172" fontId="17" fillId="0" borderId="0" xfId="0" applyNumberFormat="1" applyFont="1" applyBorder="1"/>
    <xf numFmtId="172" fontId="17" fillId="0" borderId="0" xfId="6" applyNumberFormat="1" applyFont="1" applyBorder="1"/>
    <xf numFmtId="0" fontId="9" fillId="0" borderId="8" xfId="0" applyFont="1" applyFill="1" applyBorder="1"/>
    <xf numFmtId="181" fontId="38" fillId="0" borderId="2" xfId="0" applyNumberFormat="1" applyFont="1" applyFill="1" applyBorder="1" applyProtection="1">
      <protection hidden="1"/>
    </xf>
    <xf numFmtId="174" fontId="9" fillId="0" borderId="0" xfId="0" applyNumberFormat="1" applyFont="1"/>
    <xf numFmtId="174" fontId="9" fillId="0" borderId="17" xfId="0" applyNumberFormat="1" applyFont="1" applyBorder="1"/>
    <xf numFmtId="9" fontId="9" fillId="0" borderId="0" xfId="1" applyFont="1" applyBorder="1"/>
    <xf numFmtId="9" fontId="9" fillId="0" borderId="8" xfId="1" applyFont="1" applyBorder="1"/>
    <xf numFmtId="174" fontId="9" fillId="0" borderId="8" xfId="0" applyNumberFormat="1" applyFont="1" applyBorder="1"/>
    <xf numFmtId="10" fontId="9" fillId="0" borderId="0" xfId="1" applyNumberFormat="1" applyFont="1" applyBorder="1"/>
    <xf numFmtId="9" fontId="9" fillId="0" borderId="19" xfId="0" applyNumberFormat="1" applyFont="1" applyBorder="1"/>
    <xf numFmtId="0" fontId="9" fillId="0" borderId="15" xfId="0" applyFont="1" applyBorder="1"/>
    <xf numFmtId="174" fontId="9" fillId="0" borderId="18" xfId="7" applyNumberFormat="1" applyFont="1" applyBorder="1"/>
    <xf numFmtId="174" fontId="9" fillId="0" borderId="13" xfId="7" applyNumberFormat="1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11" xfId="0" applyFont="1" applyBorder="1"/>
    <xf numFmtId="174" fontId="9" fillId="0" borderId="0" xfId="7" applyNumberFormat="1" applyFont="1" applyFill="1" applyBorder="1"/>
    <xf numFmtId="174" fontId="8" fillId="0" borderId="2" xfId="7" applyNumberFormat="1" applyFont="1" applyBorder="1"/>
    <xf numFmtId="174" fontId="9" fillId="0" borderId="29" xfId="7" applyNumberFormat="1" applyFont="1" applyBorder="1"/>
    <xf numFmtId="174" fontId="8" fillId="0" borderId="29" xfId="7" applyNumberFormat="1" applyFont="1" applyBorder="1"/>
    <xf numFmtId="174" fontId="9" fillId="0" borderId="1" xfId="7" applyNumberFormat="1" applyFont="1" applyBorder="1"/>
    <xf numFmtId="174" fontId="8" fillId="0" borderId="1" xfId="7" applyNumberFormat="1" applyFont="1" applyBorder="1"/>
    <xf numFmtId="172" fontId="22" fillId="3" borderId="9" xfId="0" applyNumberFormat="1" applyFont="1" applyFill="1" applyBorder="1" applyProtection="1">
      <protection hidden="1"/>
    </xf>
    <xf numFmtId="172" fontId="22" fillId="3" borderId="19" xfId="0" applyNumberFormat="1" applyFont="1" applyFill="1" applyBorder="1" applyProtection="1">
      <protection hidden="1"/>
    </xf>
    <xf numFmtId="172" fontId="38" fillId="0" borderId="20" xfId="6" applyNumberFormat="1" applyFont="1" applyBorder="1" applyProtection="1">
      <protection hidden="1"/>
    </xf>
    <xf numFmtId="172" fontId="38" fillId="0" borderId="21" xfId="6" applyNumberFormat="1" applyFont="1" applyBorder="1" applyProtection="1">
      <protection hidden="1"/>
    </xf>
    <xf numFmtId="0" fontId="22" fillId="3" borderId="79" xfId="0" applyFont="1" applyFill="1" applyBorder="1"/>
    <xf numFmtId="172" fontId="22" fillId="3" borderId="72" xfId="0" applyNumberFormat="1" applyFont="1" applyFill="1" applyBorder="1" applyProtection="1">
      <protection hidden="1"/>
    </xf>
    <xf numFmtId="172" fontId="22" fillId="3" borderId="4" xfId="0" applyNumberFormat="1" applyFont="1" applyFill="1" applyBorder="1" applyProtection="1">
      <protection hidden="1"/>
    </xf>
    <xf numFmtId="172" fontId="22" fillId="3" borderId="31" xfId="0" applyNumberFormat="1" applyFont="1" applyFill="1" applyBorder="1" applyProtection="1">
      <protection hidden="1"/>
    </xf>
    <xf numFmtId="0" fontId="22" fillId="3" borderId="18" xfId="0" applyFont="1" applyFill="1" applyBorder="1"/>
    <xf numFmtId="0" fontId="28" fillId="0" borderId="64" xfId="0" applyFont="1" applyBorder="1"/>
    <xf numFmtId="173" fontId="40" fillId="0" borderId="64" xfId="0" applyNumberFormat="1" applyFont="1" applyBorder="1" applyAlignment="1">
      <alignment vertical="center"/>
    </xf>
    <xf numFmtId="0" fontId="8" fillId="0" borderId="0" xfId="0" applyFont="1" applyBorder="1"/>
    <xf numFmtId="0" fontId="10" fillId="25" borderId="14" xfId="8" applyNumberFormat="1" applyFont="1" applyFill="1" applyBorder="1" applyAlignment="1"/>
    <xf numFmtId="42" fontId="9" fillId="0" borderId="0" xfId="17" applyFont="1" applyBorder="1"/>
    <xf numFmtId="42" fontId="9" fillId="0" borderId="74" xfId="17" applyFont="1" applyBorder="1"/>
    <xf numFmtId="42" fontId="10" fillId="25" borderId="74" xfId="17" applyFont="1" applyFill="1" applyBorder="1" applyAlignment="1">
      <alignment horizontal="right"/>
    </xf>
    <xf numFmtId="42" fontId="9" fillId="0" borderId="8" xfId="17" applyFont="1" applyBorder="1"/>
    <xf numFmtId="42" fontId="9" fillId="0" borderId="47" xfId="17" applyFont="1" applyBorder="1"/>
    <xf numFmtId="42" fontId="10" fillId="25" borderId="47" xfId="17" applyFont="1" applyFill="1" applyBorder="1" applyAlignment="1">
      <alignment horizontal="right"/>
    </xf>
    <xf numFmtId="179" fontId="10" fillId="25" borderId="19" xfId="6" applyNumberFormat="1" applyFont="1" applyFill="1" applyBorder="1" applyAlignment="1">
      <alignment horizontal="right"/>
    </xf>
    <xf numFmtId="42" fontId="10" fillId="25" borderId="19" xfId="17" applyFont="1" applyFill="1" applyBorder="1" applyAlignment="1">
      <alignment horizontal="right"/>
    </xf>
    <xf numFmtId="42" fontId="10" fillId="25" borderId="10" xfId="17" applyFont="1" applyFill="1" applyBorder="1" applyAlignment="1">
      <alignment horizontal="right"/>
    </xf>
    <xf numFmtId="42" fontId="9" fillId="0" borderId="82" xfId="17" applyFont="1" applyBorder="1"/>
    <xf numFmtId="42" fontId="9" fillId="0" borderId="83" xfId="17" applyFont="1" applyBorder="1"/>
    <xf numFmtId="42" fontId="9" fillId="0" borderId="84" xfId="17" applyFont="1" applyBorder="1"/>
    <xf numFmtId="173" fontId="10" fillId="10" borderId="64" xfId="0" applyNumberFormat="1" applyFont="1" applyFill="1" applyBorder="1" applyAlignment="1">
      <alignment vertical="center"/>
    </xf>
    <xf numFmtId="174" fontId="10" fillId="10" borderId="1" xfId="7" applyNumberFormat="1" applyFont="1" applyFill="1" applyBorder="1"/>
    <xf numFmtId="174" fontId="10" fillId="10" borderId="2" xfId="7" applyNumberFormat="1" applyFont="1" applyFill="1" applyBorder="1"/>
    <xf numFmtId="174" fontId="10" fillId="10" borderId="29" xfId="7" applyNumberFormat="1" applyFont="1" applyFill="1" applyBorder="1"/>
    <xf numFmtId="173" fontId="8" fillId="10" borderId="63" xfId="0" applyNumberFormat="1" applyFont="1" applyFill="1" applyBorder="1" applyAlignment="1">
      <alignment vertical="center"/>
    </xf>
    <xf numFmtId="174" fontId="8" fillId="10" borderId="48" xfId="7" applyNumberFormat="1" applyFont="1" applyFill="1" applyBorder="1"/>
    <xf numFmtId="174" fontId="8" fillId="10" borderId="36" xfId="7" applyNumberFormat="1" applyFont="1" applyFill="1" applyBorder="1"/>
    <xf numFmtId="174" fontId="8" fillId="10" borderId="37" xfId="7" applyNumberFormat="1" applyFont="1" applyFill="1" applyBorder="1"/>
    <xf numFmtId="0" fontId="13" fillId="2" borderId="62" xfId="0" applyFont="1" applyFill="1" applyBorder="1"/>
    <xf numFmtId="0" fontId="13" fillId="2" borderId="58" xfId="0" applyNumberFormat="1" applyFont="1" applyFill="1" applyBorder="1" applyAlignment="1">
      <alignment horizontal="center"/>
    </xf>
    <xf numFmtId="0" fontId="13" fillId="2" borderId="33" xfId="0" applyNumberFormat="1" applyFont="1" applyFill="1" applyBorder="1" applyAlignment="1">
      <alignment horizontal="center"/>
    </xf>
    <xf numFmtId="0" fontId="13" fillId="2" borderId="34" xfId="0" applyNumberFormat="1" applyFont="1" applyFill="1" applyBorder="1" applyAlignment="1">
      <alignment horizontal="center"/>
    </xf>
    <xf numFmtId="0" fontId="13" fillId="2" borderId="15" xfId="0" applyFont="1" applyFill="1" applyBorder="1"/>
    <xf numFmtId="0" fontId="13" fillId="2" borderId="44" xfId="0" applyNumberFormat="1" applyFont="1" applyFill="1" applyBorder="1" applyAlignment="1">
      <alignment horizontal="center"/>
    </xf>
    <xf numFmtId="0" fontId="13" fillId="2" borderId="42" xfId="0" applyNumberFormat="1" applyFont="1" applyFill="1" applyBorder="1" applyAlignment="1">
      <alignment horizontal="center"/>
    </xf>
    <xf numFmtId="0" fontId="8" fillId="0" borderId="36" xfId="0" applyFont="1" applyBorder="1"/>
    <xf numFmtId="0" fontId="40" fillId="0" borderId="35" xfId="0" applyFont="1" applyBorder="1"/>
    <xf numFmtId="173" fontId="40" fillId="0" borderId="17" xfId="0" applyNumberFormat="1" applyFont="1" applyBorder="1" applyAlignment="1">
      <alignment vertical="center"/>
    </xf>
    <xf numFmtId="173" fontId="40" fillId="0" borderId="64" xfId="0" applyNumberFormat="1" applyFont="1" applyBorder="1" applyAlignment="1">
      <alignment horizontal="left" vertical="center"/>
    </xf>
    <xf numFmtId="173" fontId="40" fillId="0" borderId="17" xfId="0" applyNumberFormat="1" applyFont="1" applyBorder="1" applyAlignment="1">
      <alignment horizontal="left" vertical="center"/>
    </xf>
    <xf numFmtId="9" fontId="9" fillId="0" borderId="45" xfId="1" applyFont="1" applyBorder="1"/>
    <xf numFmtId="9" fontId="9" fillId="0" borderId="50" xfId="0" applyNumberFormat="1" applyFont="1" applyBorder="1"/>
    <xf numFmtId="10" fontId="9" fillId="0" borderId="45" xfId="1" applyNumberFormat="1" applyFont="1" applyBorder="1"/>
    <xf numFmtId="9" fontId="9" fillId="0" borderId="46" xfId="1" applyFont="1" applyBorder="1"/>
    <xf numFmtId="0" fontId="9" fillId="0" borderId="46" xfId="0" applyFont="1" applyBorder="1"/>
    <xf numFmtId="9" fontId="9" fillId="0" borderId="85" xfId="0" applyNumberFormat="1" applyFont="1" applyBorder="1"/>
    <xf numFmtId="0" fontId="10" fillId="15" borderId="15" xfId="0" applyFont="1" applyFill="1" applyBorder="1"/>
    <xf numFmtId="0" fontId="8" fillId="15" borderId="17" xfId="0" applyFont="1" applyFill="1" applyBorder="1"/>
    <xf numFmtId="174" fontId="9" fillId="0" borderId="44" xfId="0" applyNumberFormat="1" applyFont="1" applyBorder="1"/>
    <xf numFmtId="0" fontId="8" fillId="15" borderId="18" xfId="0" applyFont="1" applyFill="1" applyBorder="1"/>
    <xf numFmtId="0" fontId="8" fillId="15" borderId="14" xfId="0" applyFont="1" applyFill="1" applyBorder="1"/>
    <xf numFmtId="0" fontId="10" fillId="15" borderId="67" xfId="0" applyFont="1" applyFill="1" applyBorder="1"/>
    <xf numFmtId="10" fontId="10" fillId="15" borderId="12" xfId="1" applyNumberFormat="1" applyFont="1" applyFill="1" applyBorder="1"/>
    <xf numFmtId="10" fontId="10" fillId="15" borderId="23" xfId="1" applyNumberFormat="1" applyFont="1" applyFill="1" applyBorder="1"/>
    <xf numFmtId="10" fontId="10" fillId="15" borderId="13" xfId="1" applyNumberFormat="1" applyFont="1" applyFill="1" applyBorder="1"/>
    <xf numFmtId="42" fontId="8" fillId="0" borderId="36" xfId="17" applyFont="1" applyBorder="1"/>
    <xf numFmtId="42" fontId="9" fillId="0" borderId="42" xfId="17" applyFont="1" applyBorder="1"/>
    <xf numFmtId="42" fontId="9" fillId="0" borderId="16" xfId="17" applyFont="1" applyBorder="1"/>
    <xf numFmtId="42" fontId="9" fillId="0" borderId="45" xfId="17" applyFont="1" applyBorder="1"/>
    <xf numFmtId="42" fontId="9" fillId="0" borderId="50" xfId="17" applyFont="1" applyBorder="1"/>
    <xf numFmtId="42" fontId="9" fillId="0" borderId="19" xfId="17" applyFont="1" applyBorder="1"/>
    <xf numFmtId="174" fontId="13" fillId="2" borderId="14" xfId="0" applyNumberFormat="1" applyFont="1" applyFill="1" applyBorder="1"/>
    <xf numFmtId="42" fontId="9" fillId="0" borderId="44" xfId="17" applyFont="1" applyBorder="1"/>
    <xf numFmtId="42" fontId="9" fillId="0" borderId="46" xfId="17" applyFont="1" applyBorder="1"/>
    <xf numFmtId="42" fontId="9" fillId="0" borderId="85" xfId="17" applyFont="1" applyBorder="1"/>
    <xf numFmtId="0" fontId="40" fillId="16" borderId="15" xfId="0" applyFont="1" applyFill="1" applyBorder="1"/>
    <xf numFmtId="0" fontId="40" fillId="16" borderId="17" xfId="0" applyFont="1" applyFill="1" applyBorder="1"/>
    <xf numFmtId="0" fontId="40" fillId="16" borderId="18" xfId="0" applyFont="1" applyFill="1" applyBorder="1"/>
    <xf numFmtId="42" fontId="9" fillId="0" borderId="77" xfId="17" applyFont="1" applyBorder="1"/>
    <xf numFmtId="42" fontId="9" fillId="0" borderId="61" xfId="17" applyFont="1" applyBorder="1"/>
    <xf numFmtId="42" fontId="9" fillId="0" borderId="68" xfId="17" applyFont="1" applyBorder="1"/>
    <xf numFmtId="42" fontId="9" fillId="0" borderId="43" xfId="17" applyFont="1" applyBorder="1"/>
    <xf numFmtId="42" fontId="9" fillId="0" borderId="49" xfId="17" applyFont="1" applyBorder="1"/>
    <xf numFmtId="42" fontId="9" fillId="0" borderId="86" xfId="17" applyFont="1" applyBorder="1"/>
    <xf numFmtId="0" fontId="13" fillId="2" borderId="15" xfId="0" applyFont="1" applyFill="1" applyBorder="1" applyAlignment="1">
      <alignment horizontal="center"/>
    </xf>
    <xf numFmtId="9" fontId="9" fillId="0" borderId="8" xfId="0" applyNumberFormat="1" applyFont="1" applyBorder="1"/>
    <xf numFmtId="10" fontId="8" fillId="0" borderId="0" xfId="0" applyNumberFormat="1" applyFont="1" applyBorder="1"/>
    <xf numFmtId="0" fontId="28" fillId="0" borderId="17" xfId="0" applyFont="1" applyBorder="1"/>
    <xf numFmtId="0" fontId="28" fillId="6" borderId="17" xfId="0" applyFont="1" applyFill="1" applyBorder="1"/>
    <xf numFmtId="0" fontId="33" fillId="12" borderId="14" xfId="0" applyFont="1" applyFill="1" applyBorder="1"/>
    <xf numFmtId="10" fontId="10" fillId="12" borderId="14" xfId="0" applyNumberFormat="1" applyFont="1" applyFill="1" applyBorder="1"/>
    <xf numFmtId="0" fontId="9" fillId="0" borderId="6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0" fontId="9" fillId="12" borderId="68" xfId="0" applyNumberFormat="1" applyFont="1" applyFill="1" applyBorder="1"/>
    <xf numFmtId="10" fontId="9" fillId="12" borderId="0" xfId="0" applyNumberFormat="1" applyFont="1" applyFill="1" applyBorder="1"/>
    <xf numFmtId="2" fontId="9" fillId="12" borderId="46" xfId="0" applyNumberFormat="1" applyFont="1" applyFill="1" applyBorder="1"/>
    <xf numFmtId="0" fontId="9" fillId="0" borderId="68" xfId="0" applyFont="1" applyBorder="1"/>
    <xf numFmtId="0" fontId="42" fillId="0" borderId="0" xfId="0" applyFont="1" applyBorder="1" applyAlignment="1">
      <alignment horizontal="center"/>
    </xf>
    <xf numFmtId="0" fontId="43" fillId="0" borderId="0" xfId="0" applyFont="1" applyBorder="1"/>
    <xf numFmtId="0" fontId="43" fillId="0" borderId="46" xfId="0" applyFont="1" applyBorder="1"/>
    <xf numFmtId="0" fontId="9" fillId="0" borderId="46" xfId="0" applyFont="1" applyBorder="1" applyAlignment="1">
      <alignment horizontal="center"/>
    </xf>
    <xf numFmtId="10" fontId="9" fillId="12" borderId="46" xfId="1" applyNumberFormat="1" applyFont="1" applyFill="1" applyBorder="1"/>
    <xf numFmtId="0" fontId="42" fillId="0" borderId="0" xfId="0" applyFont="1" applyBorder="1"/>
    <xf numFmtId="0" fontId="42" fillId="0" borderId="46" xfId="0" applyFont="1" applyBorder="1"/>
    <xf numFmtId="0" fontId="9" fillId="0" borderId="51" xfId="0" applyFont="1" applyBorder="1"/>
    <xf numFmtId="0" fontId="9" fillId="0" borderId="73" xfId="0" applyFont="1" applyBorder="1"/>
    <xf numFmtId="10" fontId="9" fillId="0" borderId="73" xfId="0" applyNumberFormat="1" applyFont="1" applyBorder="1"/>
    <xf numFmtId="0" fontId="9" fillId="0" borderId="75" xfId="0" applyFont="1" applyBorder="1"/>
    <xf numFmtId="0" fontId="43" fillId="0" borderId="68" xfId="0" applyFont="1" applyBorder="1"/>
    <xf numFmtId="0" fontId="43" fillId="0" borderId="0" xfId="0" applyFont="1" applyBorder="1" applyAlignment="1">
      <alignment horizontal="center"/>
    </xf>
    <xf numFmtId="0" fontId="42" fillId="0" borderId="68" xfId="0" applyFont="1" applyBorder="1"/>
    <xf numFmtId="0" fontId="40" fillId="0" borderId="4" xfId="8" applyFont="1" applyBorder="1"/>
    <xf numFmtId="0" fontId="40" fillId="0" borderId="45" xfId="8" applyFont="1" applyBorder="1"/>
    <xf numFmtId="0" fontId="40" fillId="0" borderId="45" xfId="8" applyFont="1" applyBorder="1" applyAlignment="1">
      <alignment vertical="center"/>
    </xf>
    <xf numFmtId="42" fontId="9" fillId="0" borderId="0" xfId="0" applyNumberFormat="1" applyFont="1" applyBorder="1"/>
    <xf numFmtId="9" fontId="9" fillId="0" borderId="0" xfId="0" applyNumberFormat="1" applyFont="1" applyBorder="1"/>
    <xf numFmtId="165" fontId="11" fillId="0" borderId="0" xfId="8" applyNumberFormat="1" applyFont="1" applyFill="1" applyBorder="1"/>
    <xf numFmtId="9" fontId="11" fillId="0" borderId="0" xfId="10" applyFont="1" applyFill="1" applyBorder="1"/>
    <xf numFmtId="9" fontId="8" fillId="0" borderId="0" xfId="8" applyNumberFormat="1" applyFont="1" applyFill="1" applyBorder="1"/>
    <xf numFmtId="10" fontId="11" fillId="0" borderId="0" xfId="8" applyNumberFormat="1" applyFont="1" applyFill="1" applyBorder="1"/>
    <xf numFmtId="165" fontId="11" fillId="0" borderId="0" xfId="9" applyFont="1" applyFill="1" applyBorder="1"/>
    <xf numFmtId="170" fontId="11" fillId="0" borderId="0" xfId="10" applyNumberFormat="1" applyFont="1" applyFill="1" applyBorder="1"/>
    <xf numFmtId="0" fontId="27" fillId="11" borderId="0" xfId="0" applyFont="1" applyFill="1" applyAlignment="1">
      <alignment horizontal="center"/>
    </xf>
    <xf numFmtId="0" fontId="27" fillId="16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3" fillId="14" borderId="5" xfId="0" applyFont="1" applyFill="1" applyBorder="1" applyAlignment="1">
      <alignment horizontal="center"/>
    </xf>
    <xf numFmtId="0" fontId="13" fillId="14" borderId="16" xfId="0" applyFont="1" applyFill="1" applyBorder="1" applyAlignment="1">
      <alignment horizontal="center"/>
    </xf>
    <xf numFmtId="0" fontId="13" fillId="14" borderId="6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3" borderId="12" xfId="0" applyFont="1" applyFill="1" applyBorder="1" applyAlignment="1">
      <alignment horizontal="center"/>
    </xf>
    <xf numFmtId="0" fontId="10" fillId="13" borderId="13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/>
    </xf>
    <xf numFmtId="0" fontId="10" fillId="9" borderId="13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0" fillId="12" borderId="13" xfId="0" applyFont="1" applyFill="1" applyBorder="1" applyAlignment="1">
      <alignment horizontal="center"/>
    </xf>
    <xf numFmtId="0" fontId="10" fillId="17" borderId="38" xfId="0" applyFont="1" applyFill="1" applyBorder="1" applyAlignment="1">
      <alignment horizontal="center" vertical="center"/>
    </xf>
    <xf numFmtId="0" fontId="10" fillId="17" borderId="58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left"/>
    </xf>
    <xf numFmtId="0" fontId="10" fillId="13" borderId="13" xfId="0" applyFont="1" applyFill="1" applyBorder="1" applyAlignment="1">
      <alignment horizontal="left"/>
    </xf>
    <xf numFmtId="0" fontId="10" fillId="16" borderId="32" xfId="0" applyFont="1" applyFill="1" applyBorder="1" applyAlignment="1">
      <alignment horizontal="center" vertical="center"/>
    </xf>
    <xf numFmtId="0" fontId="10" fillId="16" borderId="35" xfId="0" applyFont="1" applyFill="1" applyBorder="1" applyAlignment="1">
      <alignment horizontal="center" vertical="center"/>
    </xf>
    <xf numFmtId="0" fontId="10" fillId="16" borderId="33" xfId="0" applyFont="1" applyFill="1" applyBorder="1" applyAlignment="1">
      <alignment horizontal="center" vertical="center"/>
    </xf>
    <xf numFmtId="0" fontId="10" fillId="16" borderId="36" xfId="0" applyFont="1" applyFill="1" applyBorder="1" applyAlignment="1">
      <alignment horizontal="center" vertical="center"/>
    </xf>
    <xf numFmtId="0" fontId="10" fillId="16" borderId="33" xfId="0" applyFont="1" applyFill="1" applyBorder="1" applyAlignment="1">
      <alignment horizontal="center" vertical="center" wrapText="1"/>
    </xf>
    <xf numFmtId="0" fontId="10" fillId="16" borderId="36" xfId="0" applyFont="1" applyFill="1" applyBorder="1" applyAlignment="1">
      <alignment horizontal="center" vertical="center" wrapText="1"/>
    </xf>
    <xf numFmtId="0" fontId="10" fillId="16" borderId="41" xfId="0" applyFont="1" applyFill="1" applyBorder="1" applyAlignment="1">
      <alignment horizontal="center" vertical="center" wrapText="1"/>
    </xf>
    <xf numFmtId="0" fontId="10" fillId="16" borderId="62" xfId="0" applyFont="1" applyFill="1" applyBorder="1" applyAlignment="1">
      <alignment horizontal="center" vertical="center"/>
    </xf>
    <xf numFmtId="0" fontId="10" fillId="16" borderId="63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3" fillId="2" borderId="55" xfId="0" applyFont="1" applyFill="1" applyBorder="1" applyAlignment="1">
      <alignment horizontal="left"/>
    </xf>
    <xf numFmtId="0" fontId="13" fillId="2" borderId="56" xfId="0" applyFont="1" applyFill="1" applyBorder="1" applyAlignment="1">
      <alignment horizontal="left"/>
    </xf>
    <xf numFmtId="0" fontId="24" fillId="2" borderId="11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13" fillId="2" borderId="11" xfId="8" applyFont="1" applyFill="1" applyBorder="1" applyAlignment="1">
      <alignment horizontal="center"/>
    </xf>
    <xf numFmtId="0" fontId="13" fillId="2" borderId="67" xfId="8" applyFont="1" applyFill="1" applyBorder="1" applyAlignment="1">
      <alignment horizontal="center"/>
    </xf>
    <xf numFmtId="179" fontId="13" fillId="2" borderId="35" xfId="6" applyNumberFormat="1" applyFont="1" applyFill="1" applyBorder="1" applyAlignment="1">
      <alignment horizontal="center"/>
    </xf>
    <xf numFmtId="179" fontId="13" fillId="2" borderId="36" xfId="6" applyNumberFormat="1" applyFont="1" applyFill="1" applyBorder="1" applyAlignment="1">
      <alignment horizontal="center"/>
    </xf>
    <xf numFmtId="179" fontId="13" fillId="2" borderId="9" xfId="6" applyNumberFormat="1" applyFont="1" applyFill="1" applyBorder="1" applyAlignment="1">
      <alignment horizontal="center"/>
    </xf>
    <xf numFmtId="179" fontId="13" fillId="2" borderId="19" xfId="6" applyNumberFormat="1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10" borderId="13" xfId="0" applyFont="1" applyFill="1" applyBorder="1" applyAlignment="1">
      <alignment horizontal="center"/>
    </xf>
    <xf numFmtId="0" fontId="10" fillId="16" borderId="22" xfId="0" applyFont="1" applyFill="1" applyBorder="1" applyAlignment="1">
      <alignment horizontal="center"/>
    </xf>
    <xf numFmtId="0" fontId="10" fillId="16" borderId="23" xfId="0" applyFont="1" applyFill="1" applyBorder="1" applyAlignment="1">
      <alignment horizontal="center"/>
    </xf>
    <xf numFmtId="0" fontId="10" fillId="16" borderId="24" xfId="0" applyFont="1" applyFill="1" applyBorder="1" applyAlignment="1">
      <alignment horizontal="center"/>
    </xf>
    <xf numFmtId="0" fontId="13" fillId="2" borderId="71" xfId="0" applyFont="1" applyFill="1" applyBorder="1" applyAlignment="1">
      <alignment horizontal="center"/>
    </xf>
    <xf numFmtId="0" fontId="13" fillId="2" borderId="72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left"/>
    </xf>
    <xf numFmtId="169" fontId="14" fillId="4" borderId="0" xfId="12" applyNumberFormat="1" applyFont="1" applyFill="1" applyAlignment="1">
      <alignment horizontal="center"/>
    </xf>
    <xf numFmtId="0" fontId="31" fillId="2" borderId="0" xfId="12" applyFont="1" applyFill="1" applyBorder="1" applyAlignment="1">
      <alignment horizontal="center"/>
    </xf>
    <xf numFmtId="0" fontId="34" fillId="21" borderId="0" xfId="0" applyFont="1" applyFill="1" applyBorder="1" applyAlignment="1">
      <alignment horizontal="left"/>
    </xf>
    <xf numFmtId="0" fontId="36" fillId="20" borderId="16" xfId="0" applyFont="1" applyFill="1" applyBorder="1" applyAlignment="1">
      <alignment horizontal="center" wrapText="1"/>
    </xf>
    <xf numFmtId="0" fontId="36" fillId="20" borderId="73" xfId="0" applyFont="1" applyFill="1" applyBorder="1" applyAlignment="1">
      <alignment horizontal="center" wrapText="1"/>
    </xf>
    <xf numFmtId="0" fontId="35" fillId="21" borderId="74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/>
      <protection hidden="1"/>
    </xf>
    <xf numFmtId="0" fontId="38" fillId="0" borderId="38" xfId="0" applyFont="1" applyBorder="1" applyAlignment="1" applyProtection="1">
      <alignment horizontal="center"/>
      <protection hidden="1"/>
    </xf>
    <xf numFmtId="0" fontId="38" fillId="0" borderId="39" xfId="0" applyFont="1" applyBorder="1" applyAlignment="1" applyProtection="1">
      <alignment horizontal="center"/>
      <protection hidden="1"/>
    </xf>
    <xf numFmtId="0" fontId="38" fillId="0" borderId="40" xfId="0" applyFont="1" applyBorder="1" applyAlignment="1" applyProtection="1">
      <alignment horizontal="center"/>
      <protection hidden="1"/>
    </xf>
    <xf numFmtId="0" fontId="41" fillId="2" borderId="11" xfId="0" applyFont="1" applyFill="1" applyBorder="1" applyAlignment="1">
      <alignment horizontal="center"/>
    </xf>
    <xf numFmtId="0" fontId="41" fillId="2" borderId="12" xfId="0" applyFont="1" applyFill="1" applyBorder="1" applyAlignment="1">
      <alignment horizontal="center"/>
    </xf>
    <xf numFmtId="0" fontId="41" fillId="2" borderId="13" xfId="0" applyFont="1" applyFill="1" applyBorder="1" applyAlignment="1">
      <alignment horizontal="center"/>
    </xf>
    <xf numFmtId="0" fontId="10" fillId="26" borderId="0" xfId="0" applyFont="1" applyFill="1" applyBorder="1" applyAlignment="1">
      <alignment horizontal="center"/>
    </xf>
    <xf numFmtId="10" fontId="9" fillId="12" borderId="0" xfId="0" applyNumberFormat="1" applyFont="1" applyFill="1" applyBorder="1" applyAlignment="1">
      <alignment horizontal="center"/>
    </xf>
    <xf numFmtId="0" fontId="9" fillId="12" borderId="0" xfId="0" applyFont="1" applyFill="1" applyBorder="1" applyAlignment="1">
      <alignment horizontal="center"/>
    </xf>
    <xf numFmtId="0" fontId="9" fillId="12" borderId="46" xfId="0" applyFont="1" applyFill="1" applyBorder="1" applyAlignment="1">
      <alignment horizontal="center"/>
    </xf>
    <xf numFmtId="10" fontId="9" fillId="12" borderId="73" xfId="0" applyNumberFormat="1" applyFont="1" applyFill="1" applyBorder="1" applyAlignment="1">
      <alignment horizontal="center"/>
    </xf>
    <xf numFmtId="0" fontId="9" fillId="12" borderId="73" xfId="0" applyFont="1" applyFill="1" applyBorder="1" applyAlignment="1">
      <alignment horizontal="center"/>
    </xf>
    <xf numFmtId="0" fontId="9" fillId="12" borderId="75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10" fontId="9" fillId="12" borderId="0" xfId="1" applyNumberFormat="1" applyFont="1" applyFill="1" applyBorder="1" applyAlignment="1">
      <alignment horizontal="center"/>
    </xf>
    <xf numFmtId="10" fontId="9" fillId="12" borderId="46" xfId="1" applyNumberFormat="1" applyFont="1" applyFill="1" applyBorder="1" applyAlignment="1">
      <alignment horizontal="center"/>
    </xf>
    <xf numFmtId="10" fontId="9" fillId="12" borderId="68" xfId="0" applyNumberFormat="1" applyFont="1" applyFill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10" fillId="5" borderId="71" xfId="0" applyFont="1" applyFill="1" applyBorder="1" applyAlignment="1">
      <alignment horizontal="center"/>
    </xf>
    <xf numFmtId="0" fontId="10" fillId="5" borderId="76" xfId="0" applyFont="1" applyFill="1" applyBorder="1" applyAlignment="1">
      <alignment horizontal="center"/>
    </xf>
    <xf numFmtId="0" fontId="10" fillId="5" borderId="72" xfId="0" applyFont="1" applyFill="1" applyBorder="1" applyAlignment="1">
      <alignment horizontal="center"/>
    </xf>
    <xf numFmtId="10" fontId="9" fillId="0" borderId="68" xfId="1" applyNumberFormat="1" applyFont="1" applyBorder="1"/>
    <xf numFmtId="10" fontId="9" fillId="0" borderId="49" xfId="1" applyNumberFormat="1" applyFont="1" applyBorder="1"/>
    <xf numFmtId="9" fontId="8" fillId="0" borderId="2" xfId="0" applyNumberFormat="1" applyFont="1" applyBorder="1"/>
    <xf numFmtId="180" fontId="8" fillId="0" borderId="2" xfId="1" applyNumberFormat="1" applyFont="1" applyBorder="1"/>
    <xf numFmtId="183" fontId="23" fillId="0" borderId="3" xfId="0" applyNumberFormat="1" applyFont="1" applyBorder="1" applyAlignment="1">
      <alignment horizontal="center"/>
    </xf>
    <xf numFmtId="183" fontId="23" fillId="0" borderId="1" xfId="0" applyNumberFormat="1" applyFont="1" applyBorder="1" applyAlignment="1">
      <alignment horizontal="center"/>
    </xf>
    <xf numFmtId="0" fontId="40" fillId="0" borderId="2" xfId="0" applyFont="1" applyBorder="1"/>
    <xf numFmtId="17" fontId="9" fillId="0" borderId="0" xfId="0" applyNumberFormat="1" applyFont="1" applyBorder="1"/>
    <xf numFmtId="179" fontId="9" fillId="0" borderId="0" xfId="0" applyNumberFormat="1" applyFont="1" applyBorder="1"/>
    <xf numFmtId="0" fontId="10" fillId="5" borderId="22" xfId="12" applyFont="1" applyFill="1" applyBorder="1" applyAlignment="1">
      <alignment horizontal="center"/>
    </xf>
    <xf numFmtId="0" fontId="10" fillId="5" borderId="23" xfId="12" applyFont="1" applyFill="1" applyBorder="1" applyAlignment="1">
      <alignment horizontal="right"/>
    </xf>
    <xf numFmtId="0" fontId="10" fillId="5" borderId="24" xfId="12" applyFont="1" applyFill="1" applyBorder="1" applyAlignment="1">
      <alignment horizontal="right"/>
    </xf>
    <xf numFmtId="0" fontId="11" fillId="4" borderId="28" xfId="0" applyFont="1" applyFill="1" applyBorder="1"/>
    <xf numFmtId="3" fontId="11" fillId="4" borderId="2" xfId="0" applyNumberFormat="1" applyFont="1" applyFill="1" applyBorder="1"/>
    <xf numFmtId="0" fontId="8" fillId="4" borderId="28" xfId="0" applyFont="1" applyFill="1" applyBorder="1"/>
    <xf numFmtId="3" fontId="11" fillId="4" borderId="26" xfId="0" applyNumberFormat="1" applyFont="1" applyFill="1" applyBorder="1"/>
    <xf numFmtId="3" fontId="11" fillId="4" borderId="27" xfId="0" applyNumberFormat="1" applyFont="1" applyFill="1" applyBorder="1"/>
    <xf numFmtId="0" fontId="11" fillId="0" borderId="28" xfId="0" applyFont="1" applyFill="1" applyBorder="1"/>
    <xf numFmtId="3" fontId="11" fillId="0" borderId="2" xfId="0" applyNumberFormat="1" applyFont="1" applyFill="1" applyBorder="1"/>
    <xf numFmtId="3" fontId="11" fillId="0" borderId="29" xfId="0" applyNumberFormat="1" applyFont="1" applyFill="1" applyBorder="1"/>
    <xf numFmtId="3" fontId="8" fillId="4" borderId="2" xfId="0" applyNumberFormat="1" applyFont="1" applyFill="1" applyBorder="1"/>
    <xf numFmtId="41" fontId="11" fillId="23" borderId="2" xfId="5" applyFont="1" applyFill="1" applyBorder="1"/>
    <xf numFmtId="41" fontId="11" fillId="4" borderId="2" xfId="5" applyFont="1" applyFill="1" applyBorder="1"/>
    <xf numFmtId="41" fontId="11" fillId="4" borderId="29" xfId="5" applyFont="1" applyFill="1" applyBorder="1"/>
    <xf numFmtId="0" fontId="8" fillId="4" borderId="22" xfId="0" applyFont="1" applyFill="1" applyBorder="1"/>
    <xf numFmtId="41" fontId="8" fillId="4" borderId="23" xfId="0" applyNumberFormat="1" applyFont="1" applyFill="1" applyBorder="1"/>
    <xf numFmtId="41" fontId="8" fillId="4" borderId="24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10" fillId="4" borderId="28" xfId="0" applyFont="1" applyFill="1" applyBorder="1" applyAlignment="1"/>
    <xf numFmtId="0" fontId="11" fillId="0" borderId="0" xfId="0" applyFont="1"/>
    <xf numFmtId="10" fontId="8" fillId="0" borderId="26" xfId="1" applyNumberFormat="1" applyFont="1" applyFill="1" applyBorder="1" applyAlignment="1">
      <alignment horizontal="center"/>
    </xf>
    <xf numFmtId="10" fontId="8" fillId="0" borderId="0" xfId="1" applyNumberFormat="1" applyFont="1" applyFill="1" applyBorder="1" applyAlignment="1">
      <alignment horizontal="center"/>
    </xf>
    <xf numFmtId="0" fontId="9" fillId="23" borderId="66" xfId="0" applyFont="1" applyFill="1" applyBorder="1"/>
    <xf numFmtId="0" fontId="11" fillId="23" borderId="74" xfId="0" applyFont="1" applyFill="1" applyBorder="1"/>
    <xf numFmtId="0" fontId="11" fillId="23" borderId="7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4" borderId="28" xfId="0" applyFont="1" applyFill="1" applyBorder="1" applyAlignment="1"/>
    <xf numFmtId="41" fontId="11" fillId="4" borderId="2" xfId="5" applyFont="1" applyFill="1" applyBorder="1" applyAlignment="1">
      <alignment horizontal="right"/>
    </xf>
    <xf numFmtId="41" fontId="11" fillId="0" borderId="0" xfId="5" applyFont="1" applyFill="1" applyBorder="1" applyAlignment="1">
      <alignment horizontal="center"/>
    </xf>
    <xf numFmtId="3" fontId="11" fillId="4" borderId="2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center"/>
    </xf>
    <xf numFmtId="41" fontId="11" fillId="4" borderId="2" xfId="0" applyNumberFormat="1" applyFont="1" applyFill="1" applyBorder="1"/>
    <xf numFmtId="41" fontId="11" fillId="4" borderId="2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center"/>
    </xf>
    <xf numFmtId="41" fontId="8" fillId="4" borderId="2" xfId="0" applyNumberFormat="1" applyFont="1" applyFill="1" applyBorder="1"/>
    <xf numFmtId="41" fontId="8" fillId="4" borderId="2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>
      <alignment horizontal="center"/>
    </xf>
    <xf numFmtId="0" fontId="9" fillId="4" borderId="28" xfId="0" quotePrefix="1" applyFont="1" applyFill="1" applyBorder="1" applyAlignment="1"/>
    <xf numFmtId="10" fontId="11" fillId="4" borderId="2" xfId="1" applyNumberFormat="1" applyFont="1" applyFill="1" applyBorder="1"/>
    <xf numFmtId="10" fontId="11" fillId="4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Border="1" applyAlignment="1">
      <alignment horizontal="center"/>
    </xf>
    <xf numFmtId="41" fontId="8" fillId="4" borderId="2" xfId="5" applyFont="1" applyFill="1" applyBorder="1" applyAlignment="1">
      <alignment horizontal="center"/>
    </xf>
    <xf numFmtId="41" fontId="8" fillId="0" borderId="0" xfId="5" applyFont="1" applyFill="1" applyBorder="1" applyAlignment="1">
      <alignment horizontal="center"/>
    </xf>
    <xf numFmtId="41" fontId="11" fillId="4" borderId="2" xfId="5" applyFont="1" applyFill="1" applyBorder="1" applyAlignment="1">
      <alignment horizontal="center"/>
    </xf>
    <xf numFmtId="10" fontId="8" fillId="4" borderId="2" xfId="1" applyNumberFormat="1" applyFont="1" applyFill="1" applyBorder="1" applyAlignment="1">
      <alignment horizontal="center"/>
    </xf>
    <xf numFmtId="0" fontId="9" fillId="4" borderId="0" xfId="0" applyFont="1" applyFill="1"/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0" fillId="2" borderId="38" xfId="0" applyFont="1" applyFill="1" applyBorder="1" applyAlignment="1"/>
    <xf numFmtId="0" fontId="13" fillId="2" borderId="22" xfId="0" applyFont="1" applyFill="1" applyBorder="1" applyAlignment="1">
      <alignment horizontal="center"/>
    </xf>
    <xf numFmtId="0" fontId="9" fillId="4" borderId="66" xfId="0" applyFont="1" applyFill="1" applyBorder="1" applyAlignment="1">
      <alignment horizontal="left"/>
    </xf>
    <xf numFmtId="0" fontId="10" fillId="4" borderId="66" xfId="0" applyFont="1" applyFill="1" applyBorder="1" applyAlignment="1">
      <alignment horizontal="left"/>
    </xf>
    <xf numFmtId="10" fontId="8" fillId="4" borderId="2" xfId="1" applyNumberFormat="1" applyFont="1" applyFill="1" applyBorder="1" applyAlignment="1">
      <alignment horizontal="right"/>
    </xf>
    <xf numFmtId="0" fontId="44" fillId="0" borderId="0" xfId="0" applyFont="1" applyProtection="1">
      <protection hidden="1"/>
    </xf>
    <xf numFmtId="181" fontId="44" fillId="0" borderId="0" xfId="0" applyNumberFormat="1" applyFont="1" applyProtection="1">
      <protection hidden="1"/>
    </xf>
    <xf numFmtId="179" fontId="42" fillId="0" borderId="2" xfId="0" applyNumberFormat="1" applyFont="1" applyBorder="1"/>
    <xf numFmtId="0" fontId="9" fillId="0" borderId="2" xfId="0" applyNumberFormat="1" applyFont="1" applyBorder="1"/>
    <xf numFmtId="0" fontId="33" fillId="0" borderId="68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11" fillId="0" borderId="0" xfId="8" applyFont="1" applyBorder="1" applyAlignment="1">
      <alignment horizontal="center"/>
    </xf>
    <xf numFmtId="177" fontId="11" fillId="0" borderId="0" xfId="11" applyNumberFormat="1" applyFont="1" applyBorder="1" applyAlignment="1">
      <alignment horizontal="center"/>
    </xf>
    <xf numFmtId="3" fontId="11" fillId="4" borderId="29" xfId="0" applyNumberFormat="1" applyFont="1" applyFill="1" applyBorder="1"/>
    <xf numFmtId="3" fontId="8" fillId="4" borderId="29" xfId="0" applyNumberFormat="1" applyFont="1" applyFill="1" applyBorder="1"/>
    <xf numFmtId="0" fontId="9" fillId="27" borderId="55" xfId="0" applyFont="1" applyFill="1" applyBorder="1"/>
    <xf numFmtId="0" fontId="11" fillId="27" borderId="56" xfId="0" applyFont="1" applyFill="1" applyBorder="1"/>
    <xf numFmtId="0" fontId="11" fillId="27" borderId="56" xfId="0" applyFont="1" applyFill="1" applyBorder="1" applyAlignment="1">
      <alignment horizontal="center"/>
    </xf>
    <xf numFmtId="0" fontId="8" fillId="4" borderId="25" xfId="0" applyFont="1" applyFill="1" applyBorder="1"/>
    <xf numFmtId="0" fontId="11" fillId="4" borderId="35" xfId="0" applyFont="1" applyFill="1" applyBorder="1"/>
    <xf numFmtId="3" fontId="11" fillId="23" borderId="36" xfId="0" applyNumberFormat="1" applyFont="1" applyFill="1" applyBorder="1"/>
    <xf numFmtId="3" fontId="11" fillId="4" borderId="36" xfId="0" applyNumberFormat="1" applyFont="1" applyFill="1" applyBorder="1"/>
    <xf numFmtId="3" fontId="11" fillId="4" borderId="37" xfId="0" applyNumberFormat="1" applyFont="1" applyFill="1" applyBorder="1"/>
    <xf numFmtId="0" fontId="14" fillId="2" borderId="0" xfId="0" applyFont="1" applyFill="1" applyBorder="1" applyAlignment="1">
      <alignment horizontal="center"/>
    </xf>
  </cellXfs>
  <cellStyles count="22">
    <cellStyle name="Millares" xfId="7" builtinId="3"/>
    <cellStyle name="Millares [0]" xfId="5" builtinId="6"/>
    <cellStyle name="Millares [0] 2" xfId="13" xr:uid="{BA6730E7-D4DC-4463-99ED-C0D97DCF0033}"/>
    <cellStyle name="Millares [0] 3" xfId="15" xr:uid="{0433B08D-02DB-4CF6-AE48-79D89FD4BEC7}"/>
    <cellStyle name="Millares 2" xfId="3" xr:uid="{00000000-0005-0000-0000-000001000000}"/>
    <cellStyle name="Millares 3" xfId="14" xr:uid="{139B3F64-A5CE-4DC8-BD41-A782230A8FFB}"/>
    <cellStyle name="Millares 4" xfId="19" xr:uid="{BFB7DC28-AA15-455C-AF81-373740267FA5}"/>
    <cellStyle name="Moneda" xfId="6" builtinId="4"/>
    <cellStyle name="Moneda [0]" xfId="17" builtinId="7"/>
    <cellStyle name="Moneda [0] 2" xfId="9" xr:uid="{2D36A688-7296-439E-8CD9-70649C27FBB3}"/>
    <cellStyle name="Moneda 2" xfId="11" xr:uid="{634C7EC1-7112-4393-939F-FB2847B8DA81}"/>
    <cellStyle name="Moneda 3" xfId="20" xr:uid="{8300F367-9F14-4878-9DF9-9439EED71DC2}"/>
    <cellStyle name="Normal" xfId="0" builtinId="0"/>
    <cellStyle name="Normal 2" xfId="2" xr:uid="{00000000-0005-0000-0000-000003000000}"/>
    <cellStyle name="Normal 3" xfId="8" xr:uid="{80060568-61B6-4140-AA3D-E4B5661314F3}"/>
    <cellStyle name="Normal 4" xfId="12" xr:uid="{7FE9EF2B-F6CE-4F79-8AC7-BBFCA011C300}"/>
    <cellStyle name="Normal 4 2" xfId="16" xr:uid="{62E1596A-C9CB-40EF-BD55-43042A86552F}"/>
    <cellStyle name="Normal 5" xfId="18" xr:uid="{CC3433A4-2312-4842-B8E9-A6E8701D5F55}"/>
    <cellStyle name="Porcentaje" xfId="1" builtinId="5"/>
    <cellStyle name="Porcentaje 2" xfId="4" xr:uid="{00000000-0005-0000-0000-000007000000}"/>
    <cellStyle name="Porcentaje 3" xfId="10" xr:uid="{7ECF8281-9A3D-476C-BC7A-C6ADD6918AC6}"/>
    <cellStyle name="Porcentaje 4" xfId="21" xr:uid="{791F71BD-DCE7-46F2-A38D-FD17F517F6B5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FFFF99"/>
      <color rgb="FF008000"/>
      <color rgb="FFFF00FF"/>
      <color rgb="FF0000CC"/>
      <color rgb="FFFFCC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'FLUJO DE CAJA '!$E$52:$F$52</c:f>
              <c:strCache>
                <c:ptCount val="2"/>
                <c:pt idx="0">
                  <c:v>ROA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'FLUJO DE CAJA '!$G$51:$K$51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'FLUJO DE CAJA '!$G$52:$K$52</c:f>
              <c:numCache>
                <c:formatCode>0.00%</c:formatCode>
                <c:ptCount val="5"/>
                <c:pt idx="0">
                  <c:v>-0.61499503444721704</c:v>
                </c:pt>
                <c:pt idx="1">
                  <c:v>0.38069482306942165</c:v>
                </c:pt>
                <c:pt idx="2">
                  <c:v>0.41982019289820449</c:v>
                </c:pt>
                <c:pt idx="3">
                  <c:v>0.41076307774677417</c:v>
                </c:pt>
                <c:pt idx="4">
                  <c:v>0.38820980165246266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E3-4D30-9CA5-1C9C25048B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507882256"/>
        <c:axId val="1619042208"/>
      </c:barChart>
      <c:catAx>
        <c:axId val="15078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9042208"/>
        <c:crosses val="autoZero"/>
        <c:auto val="1"/>
        <c:lblAlgn val="ctr"/>
        <c:lblOffset val="100"/>
        <c:noMultiLvlLbl val="0"/>
      </c:catAx>
      <c:valAx>
        <c:axId val="161904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788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EBITDA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'FLUJO DE CAJA '!$G$60:$K$60</c:f>
              <c:numCache>
                <c:formatCode>_(* #,##0_);_(* \(#,##0\);_(* "-"_);_(@_)</c:formatCode>
                <c:ptCount val="5"/>
                <c:pt idx="0">
                  <c:v>58129568.95789814</c:v>
                </c:pt>
                <c:pt idx="1">
                  <c:v>256039367.16648793</c:v>
                </c:pt>
                <c:pt idx="2">
                  <c:v>385874272.62336701</c:v>
                </c:pt>
                <c:pt idx="3">
                  <c:v>528202313.8721385</c:v>
                </c:pt>
                <c:pt idx="4">
                  <c:v>680912360.94415283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8-4DBA-A9C7-57A13C101A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6695856"/>
        <c:axId val="1616668512"/>
      </c:barChart>
      <c:catAx>
        <c:axId val="1786695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6668512"/>
        <c:crosses val="autoZero"/>
        <c:auto val="1"/>
        <c:lblAlgn val="ctr"/>
        <c:lblOffset val="100"/>
        <c:noMultiLvlLbl val="0"/>
      </c:catAx>
      <c:valAx>
        <c:axId val="161666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669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'FLUJO DE CAJA '!$E$66</c:f>
              <c:strCache>
                <c:ptCount val="1"/>
                <c:pt idx="0">
                  <c:v>RAN - RONA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'FLUJO DE CAJA '!$F$66:$K$66</c:f>
              <c:numCache>
                <c:formatCode>0.00%</c:formatCode>
                <c:ptCount val="6"/>
                <c:pt idx="1">
                  <c:v>-0.22671928834749172</c:v>
                </c:pt>
                <c:pt idx="2">
                  <c:v>0.47533034062401652</c:v>
                </c:pt>
                <c:pt idx="3">
                  <c:v>0.46148811672364459</c:v>
                </c:pt>
                <c:pt idx="4">
                  <c:v>0.42925850910556795</c:v>
                </c:pt>
                <c:pt idx="5">
                  <c:v>0.39486654159798024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3-4962-BDCF-A8DED9FCE2A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74746384"/>
        <c:axId val="1616683072"/>
      </c:barChart>
      <c:catAx>
        <c:axId val="20747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6683072"/>
        <c:crosses val="autoZero"/>
        <c:auto val="1"/>
        <c:lblAlgn val="ctr"/>
        <c:lblOffset val="100"/>
        <c:noMultiLvlLbl val="0"/>
      </c:catAx>
      <c:valAx>
        <c:axId val="161668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74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'FLUJO DE CAJA '!$E$71</c:f>
              <c:strCache>
                <c:ptCount val="1"/>
                <c:pt idx="0">
                  <c:v>MARGEN EBITDA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'FLUJO DE CAJA '!$F$71:$K$71</c:f>
              <c:numCache>
                <c:formatCode>0.00%</c:formatCode>
                <c:ptCount val="6"/>
                <c:pt idx="1">
                  <c:v>0.22108970671222428</c:v>
                </c:pt>
                <c:pt idx="2">
                  <c:v>0.54915082662951487</c:v>
                </c:pt>
                <c:pt idx="3">
                  <c:v>0.64153216306545557</c:v>
                </c:pt>
                <c:pt idx="4">
                  <c:v>0.70497069950102764</c:v>
                </c:pt>
                <c:pt idx="5">
                  <c:v>0.74872591860091797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1AD-B293-239E41E2D0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9496128"/>
        <c:axId val="1796828128"/>
      </c:barChart>
      <c:catAx>
        <c:axId val="178949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6828128"/>
        <c:crosses val="autoZero"/>
        <c:auto val="1"/>
        <c:lblAlgn val="ctr"/>
        <c:lblOffset val="100"/>
        <c:noMultiLvlLbl val="0"/>
      </c:catAx>
      <c:valAx>
        <c:axId val="179682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949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ESTADOS R. -  BALANCE'!A1"/><Relationship Id="rId3" Type="http://schemas.openxmlformats.org/officeDocument/2006/relationships/hyperlink" Target="#'COSTOS Y GASTOS'!A1"/><Relationship Id="rId7" Type="http://schemas.openxmlformats.org/officeDocument/2006/relationships/hyperlink" Target="#'FLUJO DE CAJA '!A1"/><Relationship Id="rId2" Type="http://schemas.openxmlformats.org/officeDocument/2006/relationships/hyperlink" Target="#'DATOS '!A1"/><Relationship Id="rId1" Type="http://schemas.openxmlformats.org/officeDocument/2006/relationships/image" Target="../media/image1.png"/><Relationship Id="rId6" Type="http://schemas.openxmlformats.org/officeDocument/2006/relationships/hyperlink" Target="#'BALANCE  INICIAL'!A1"/><Relationship Id="rId11" Type="http://schemas.openxmlformats.org/officeDocument/2006/relationships/hyperlink" Target="#'KE - CAMP'!A1"/><Relationship Id="rId5" Type="http://schemas.openxmlformats.org/officeDocument/2006/relationships/hyperlink" Target="#INVERSIONES!A1"/><Relationship Id="rId10" Type="http://schemas.openxmlformats.org/officeDocument/2006/relationships/hyperlink" Target="#'PROYECCI&#211;N EEFF'!A1"/><Relationship Id="rId4" Type="http://schemas.openxmlformats.org/officeDocument/2006/relationships/hyperlink" Target="#NOMINA!A1"/><Relationship Id="rId9" Type="http://schemas.openxmlformats.org/officeDocument/2006/relationships/hyperlink" Target="#ESCENARIOS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hyperlink" Target="#DAMODARA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FLUJO DE CAJA '!F80"/><Relationship Id="rId2" Type="http://schemas.openxmlformats.org/officeDocument/2006/relationships/hyperlink" Target="#'FLUJO DE CAJA '!F77"/><Relationship Id="rId1" Type="http://schemas.openxmlformats.org/officeDocument/2006/relationships/hyperlink" Target="#INICIO!A1"/><Relationship Id="rId6" Type="http://schemas.openxmlformats.org/officeDocument/2006/relationships/hyperlink" Target="#GR&#193;FICOS!A1"/><Relationship Id="rId5" Type="http://schemas.openxmlformats.org/officeDocument/2006/relationships/hyperlink" Target="#'FLUJO DE CAJA '!F81"/><Relationship Id="rId4" Type="http://schemas.openxmlformats.org/officeDocument/2006/relationships/hyperlink" Target="#'FLUJO DE CAJA '!F76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FLUJO DE CAJA '!A1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600076</xdr:colOff>
      <xdr:row>3</xdr:row>
      <xdr:rowOff>57150</xdr:rowOff>
    </xdr:from>
    <xdr:to>
      <xdr:col>5</xdr:col>
      <xdr:colOff>180976</xdr:colOff>
      <xdr:row>19</xdr:row>
      <xdr:rowOff>67429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15D8EE-703B-43FF-AC95-2FE730106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704" r="13348"/>
        <a:stretch/>
      </xdr:blipFill>
      <xdr:spPr>
        <a:xfrm>
          <a:off x="600076" y="657225"/>
          <a:ext cx="3771900" cy="3277354"/>
        </a:xfrm>
        <a:prstGeom prst="rect">
          <a:avLst/>
        </a:prstGeom>
      </xdr:spPr>
    </xdr:pic>
    <xdr:clientData/>
  </xdr:twoCellAnchor>
  <xdr:twoCellAnchor>
    <xdr:from>
      <xdr:col>6</xdr:col>
      <xdr:colOff>142874</xdr:colOff>
      <xdr:row>4</xdr:row>
      <xdr:rowOff>123826</xdr:rowOff>
    </xdr:from>
    <xdr:to>
      <xdr:col>8</xdr:col>
      <xdr:colOff>581025</xdr:colOff>
      <xdr:row>6</xdr:row>
      <xdr:rowOff>66675</xdr:rowOff>
    </xdr:to>
    <xdr:sp macro="" textlink="">
      <xdr:nvSpPr>
        <xdr:cNvPr id="3" name="Pergamino: vertical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3D97E-B8B2-48D0-AB38-593EBFA7D7EF}"/>
            </a:ext>
          </a:extLst>
        </xdr:cNvPr>
        <xdr:cNvSpPr/>
      </xdr:nvSpPr>
      <xdr:spPr>
        <a:xfrm>
          <a:off x="5172074" y="990601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DATOS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6</xdr:col>
      <xdr:colOff>142875</xdr:colOff>
      <xdr:row>7</xdr:row>
      <xdr:rowOff>104776</xdr:rowOff>
    </xdr:from>
    <xdr:to>
      <xdr:col>8</xdr:col>
      <xdr:colOff>561975</xdr:colOff>
      <xdr:row>9</xdr:row>
      <xdr:rowOff>38100</xdr:rowOff>
    </xdr:to>
    <xdr:sp macro="" textlink="">
      <xdr:nvSpPr>
        <xdr:cNvPr id="4" name="Pergamino: vertical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A3FA21-732E-4FDD-97ED-6C0897508BA6}"/>
            </a:ext>
          </a:extLst>
        </xdr:cNvPr>
        <xdr:cNvSpPr/>
      </xdr:nvSpPr>
      <xdr:spPr>
        <a:xfrm>
          <a:off x="5172075" y="1571626"/>
          <a:ext cx="2095500" cy="333374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COSTOS</a:t>
          </a:r>
          <a:r>
            <a:rPr lang="es-CO" sz="1400" b="1" baseline="0"/>
            <a:t> Y GASTOS</a:t>
          </a:r>
        </a:p>
        <a:p>
          <a:pPr algn="ctr"/>
          <a:endParaRPr lang="es-CO" sz="1400" b="1"/>
        </a:p>
      </xdr:txBody>
    </xdr:sp>
    <xdr:clientData/>
  </xdr:twoCellAnchor>
  <xdr:twoCellAnchor>
    <xdr:from>
      <xdr:col>6</xdr:col>
      <xdr:colOff>142874</xdr:colOff>
      <xdr:row>10</xdr:row>
      <xdr:rowOff>114300</xdr:rowOff>
    </xdr:from>
    <xdr:to>
      <xdr:col>8</xdr:col>
      <xdr:colOff>561975</xdr:colOff>
      <xdr:row>12</xdr:row>
      <xdr:rowOff>38099</xdr:rowOff>
    </xdr:to>
    <xdr:sp macro="" textlink="">
      <xdr:nvSpPr>
        <xdr:cNvPr id="5" name="Pergamino: vertical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62570-04BA-4FE3-9039-3262455496A4}"/>
            </a:ext>
          </a:extLst>
        </xdr:cNvPr>
        <xdr:cNvSpPr/>
      </xdr:nvSpPr>
      <xdr:spPr>
        <a:xfrm>
          <a:off x="5172074" y="2181225"/>
          <a:ext cx="2095501" cy="32384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TALENTO HUMANO</a:t>
          </a:r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6</xdr:col>
      <xdr:colOff>95250</xdr:colOff>
      <xdr:row>13</xdr:row>
      <xdr:rowOff>114300</xdr:rowOff>
    </xdr:from>
    <xdr:to>
      <xdr:col>8</xdr:col>
      <xdr:colOff>523876</xdr:colOff>
      <xdr:row>15</xdr:row>
      <xdr:rowOff>76199</xdr:rowOff>
    </xdr:to>
    <xdr:sp macro="" textlink="">
      <xdr:nvSpPr>
        <xdr:cNvPr id="6" name="Pergamino: vertical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4EB91-EB48-4AF3-8FDE-23526BF02328}"/>
            </a:ext>
          </a:extLst>
        </xdr:cNvPr>
        <xdr:cNvSpPr/>
      </xdr:nvSpPr>
      <xdr:spPr>
        <a:xfrm>
          <a:off x="5124450" y="2781300"/>
          <a:ext cx="2105026" cy="36194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INVERSIONES</a:t>
          </a:r>
        </a:p>
        <a:p>
          <a:pPr algn="ctr"/>
          <a:endParaRPr lang="es-CO" sz="1400" b="1"/>
        </a:p>
      </xdr:txBody>
    </xdr:sp>
    <xdr:clientData/>
  </xdr:twoCellAnchor>
  <xdr:twoCellAnchor>
    <xdr:from>
      <xdr:col>6</xdr:col>
      <xdr:colOff>57150</xdr:colOff>
      <xdr:row>16</xdr:row>
      <xdr:rowOff>95251</xdr:rowOff>
    </xdr:from>
    <xdr:to>
      <xdr:col>8</xdr:col>
      <xdr:colOff>504826</xdr:colOff>
      <xdr:row>18</xdr:row>
      <xdr:rowOff>28575</xdr:rowOff>
    </xdr:to>
    <xdr:sp macro="" textlink="">
      <xdr:nvSpPr>
        <xdr:cNvPr id="7" name="Pergamino: vertical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64D6D0-823C-41A7-804A-F1B61579AC1D}"/>
            </a:ext>
          </a:extLst>
        </xdr:cNvPr>
        <xdr:cNvSpPr/>
      </xdr:nvSpPr>
      <xdr:spPr>
        <a:xfrm>
          <a:off x="5086350" y="3362326"/>
          <a:ext cx="2124076" cy="333374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BALANCE INICIAL</a:t>
          </a:r>
        </a:p>
        <a:p>
          <a:pPr algn="ctr"/>
          <a:endParaRPr lang="es-CO" sz="1400" b="1"/>
        </a:p>
      </xdr:txBody>
    </xdr:sp>
    <xdr:clientData/>
  </xdr:twoCellAnchor>
  <xdr:twoCellAnchor>
    <xdr:from>
      <xdr:col>10</xdr:col>
      <xdr:colOff>209549</xdr:colOff>
      <xdr:row>4</xdr:row>
      <xdr:rowOff>95251</xdr:rowOff>
    </xdr:from>
    <xdr:to>
      <xdr:col>12</xdr:col>
      <xdr:colOff>647700</xdr:colOff>
      <xdr:row>6</xdr:row>
      <xdr:rowOff>38100</xdr:rowOff>
    </xdr:to>
    <xdr:sp macro="" textlink="">
      <xdr:nvSpPr>
        <xdr:cNvPr id="8" name="Pergamino: vertical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B3C6A2-7948-4EA3-AB68-64461544BFF7}"/>
            </a:ext>
          </a:extLst>
        </xdr:cNvPr>
        <xdr:cNvSpPr/>
      </xdr:nvSpPr>
      <xdr:spPr>
        <a:xfrm>
          <a:off x="8591549" y="962026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FLUJO DE CAJA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10</xdr:col>
      <xdr:colOff>247649</xdr:colOff>
      <xdr:row>10</xdr:row>
      <xdr:rowOff>104776</xdr:rowOff>
    </xdr:from>
    <xdr:to>
      <xdr:col>12</xdr:col>
      <xdr:colOff>685800</xdr:colOff>
      <xdr:row>12</xdr:row>
      <xdr:rowOff>47625</xdr:rowOff>
    </xdr:to>
    <xdr:sp macro="" textlink="">
      <xdr:nvSpPr>
        <xdr:cNvPr id="9" name="Pergamino: vertical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2BF94A9-680F-48B8-8DEC-FD7FFE575279}"/>
            </a:ext>
          </a:extLst>
        </xdr:cNvPr>
        <xdr:cNvSpPr/>
      </xdr:nvSpPr>
      <xdr:spPr>
        <a:xfrm>
          <a:off x="8629649" y="2171701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E.R.</a:t>
          </a:r>
          <a:r>
            <a:rPr lang="es-CO" sz="1400" b="1" baseline="0"/>
            <a:t> - BALANCE</a:t>
          </a:r>
          <a:r>
            <a:rPr lang="es-CO" sz="1400" b="1"/>
            <a:t>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10</xdr:col>
      <xdr:colOff>247649</xdr:colOff>
      <xdr:row>7</xdr:row>
      <xdr:rowOff>85726</xdr:rowOff>
    </xdr:from>
    <xdr:to>
      <xdr:col>12</xdr:col>
      <xdr:colOff>685800</xdr:colOff>
      <xdr:row>9</xdr:row>
      <xdr:rowOff>28575</xdr:rowOff>
    </xdr:to>
    <xdr:sp macro="" textlink="">
      <xdr:nvSpPr>
        <xdr:cNvPr id="10" name="Pergamino: vertical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26604ED-A28F-4BEE-A194-96FDA13DD84E}"/>
            </a:ext>
          </a:extLst>
        </xdr:cNvPr>
        <xdr:cNvSpPr/>
      </xdr:nvSpPr>
      <xdr:spPr>
        <a:xfrm>
          <a:off x="8629649" y="1552576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ESCENARIOS</a:t>
          </a:r>
          <a:endParaRPr lang="es-CO" sz="1400" b="1" baseline="0"/>
        </a:p>
        <a:p>
          <a:pPr algn="ctr"/>
          <a:r>
            <a:rPr lang="es-CO" sz="1400" b="1"/>
            <a:t>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10</xdr:col>
      <xdr:colOff>295274</xdr:colOff>
      <xdr:row>15</xdr:row>
      <xdr:rowOff>133351</xdr:rowOff>
    </xdr:from>
    <xdr:to>
      <xdr:col>12</xdr:col>
      <xdr:colOff>733425</xdr:colOff>
      <xdr:row>17</xdr:row>
      <xdr:rowOff>76200</xdr:rowOff>
    </xdr:to>
    <xdr:sp macro="" textlink="">
      <xdr:nvSpPr>
        <xdr:cNvPr id="11" name="Pergamino: vertical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732D5DC-F609-4795-92C5-3ACCEF40121E}"/>
            </a:ext>
          </a:extLst>
        </xdr:cNvPr>
        <xdr:cNvSpPr/>
      </xdr:nvSpPr>
      <xdr:spPr>
        <a:xfrm>
          <a:off x="8677274" y="3200401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PROYECCIONES</a:t>
          </a:r>
          <a:r>
            <a:rPr lang="es-CO" sz="1400" b="1" baseline="0"/>
            <a:t> EEFF</a:t>
          </a:r>
          <a:r>
            <a:rPr lang="es-CO" sz="1400" b="1"/>
            <a:t>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  <xdr:twoCellAnchor>
    <xdr:from>
      <xdr:col>10</xdr:col>
      <xdr:colOff>285749</xdr:colOff>
      <xdr:row>13</xdr:row>
      <xdr:rowOff>28576</xdr:rowOff>
    </xdr:from>
    <xdr:to>
      <xdr:col>12</xdr:col>
      <xdr:colOff>723900</xdr:colOff>
      <xdr:row>14</xdr:row>
      <xdr:rowOff>171450</xdr:rowOff>
    </xdr:to>
    <xdr:sp macro="" textlink="">
      <xdr:nvSpPr>
        <xdr:cNvPr id="12" name="Pergamino: vertical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36DB0DA-74D1-49F1-989D-4BF928B27C39}"/>
            </a:ext>
          </a:extLst>
        </xdr:cNvPr>
        <xdr:cNvSpPr/>
      </xdr:nvSpPr>
      <xdr:spPr>
        <a:xfrm>
          <a:off x="8667749" y="2695576"/>
          <a:ext cx="2114551" cy="34289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KE - CAMP </a:t>
          </a:r>
        </a:p>
        <a:p>
          <a:pPr algn="ctr"/>
          <a:endParaRPr lang="es-CO" sz="1400" b="1"/>
        </a:p>
        <a:p>
          <a:pPr algn="ctr"/>
          <a:endParaRPr lang="es-CO" sz="1400" b="1" baseline="0"/>
        </a:p>
        <a:p>
          <a:pPr algn="ctr"/>
          <a:endParaRPr lang="es-CO" sz="14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161925</xdr:rowOff>
    </xdr:from>
    <xdr:to>
      <xdr:col>8</xdr:col>
      <xdr:colOff>91586</xdr:colOff>
      <xdr:row>4</xdr:row>
      <xdr:rowOff>159622</xdr:rowOff>
    </xdr:to>
    <xdr:sp macro="" textlink="">
      <xdr:nvSpPr>
        <xdr:cNvPr id="3" name="Pergamino: vertic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BD2BE-6B42-47A9-B71C-B35C1E1F1ED2}"/>
            </a:ext>
          </a:extLst>
        </xdr:cNvPr>
        <xdr:cNvSpPr/>
      </xdr:nvSpPr>
      <xdr:spPr>
        <a:xfrm>
          <a:off x="6600825" y="371475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137583</xdr:colOff>
      <xdr:row>3</xdr:row>
      <xdr:rowOff>105832</xdr:rowOff>
    </xdr:from>
    <xdr:to>
      <xdr:col>10</xdr:col>
      <xdr:colOff>973667</xdr:colOff>
      <xdr:row>5</xdr:row>
      <xdr:rowOff>84665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1E7E5-1038-464F-9A72-80EEE35C0990}"/>
            </a:ext>
          </a:extLst>
        </xdr:cNvPr>
        <xdr:cNvSpPr/>
      </xdr:nvSpPr>
      <xdr:spPr>
        <a:xfrm>
          <a:off x="12879916" y="730249"/>
          <a:ext cx="836084" cy="391583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335492</xdr:colOff>
      <xdr:row>2</xdr:row>
      <xdr:rowOff>87842</xdr:rowOff>
    </xdr:from>
    <xdr:to>
      <xdr:col>53</xdr:col>
      <xdr:colOff>303253</xdr:colOff>
      <xdr:row>4</xdr:row>
      <xdr:rowOff>85539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82613-FD52-4568-8A2E-CBE9A258F288}"/>
            </a:ext>
          </a:extLst>
        </xdr:cNvPr>
        <xdr:cNvSpPr/>
      </xdr:nvSpPr>
      <xdr:spPr>
        <a:xfrm>
          <a:off x="13162492" y="500592"/>
          <a:ext cx="803844" cy="4104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11</xdr:col>
      <xdr:colOff>805961</xdr:colOff>
      <xdr:row>7</xdr:row>
      <xdr:rowOff>197722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295FB-01F7-4CA7-BFE5-3A3A70984580}"/>
            </a:ext>
          </a:extLst>
        </xdr:cNvPr>
        <xdr:cNvSpPr/>
      </xdr:nvSpPr>
      <xdr:spPr>
        <a:xfrm>
          <a:off x="12172950" y="1019175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0</xdr:rowOff>
    </xdr:from>
    <xdr:to>
      <xdr:col>3</xdr:col>
      <xdr:colOff>2095501</xdr:colOff>
      <xdr:row>29</xdr:row>
      <xdr:rowOff>124975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01666-98AD-4862-BBCD-17FCF9BA90A5}"/>
            </a:ext>
          </a:extLst>
        </xdr:cNvPr>
        <xdr:cNvSpPr/>
      </xdr:nvSpPr>
      <xdr:spPr>
        <a:xfrm>
          <a:off x="2009670" y="5715000"/>
          <a:ext cx="2095501" cy="32384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aseline="0"/>
            <a:t>DAMODARAN</a:t>
          </a:r>
        </a:p>
        <a:p>
          <a:pPr algn="ctr"/>
          <a:r>
            <a:rPr lang="es-CO" sz="1400" baseline="0"/>
            <a:t> </a:t>
          </a:r>
        </a:p>
        <a:p>
          <a:pPr algn="ctr"/>
          <a:endParaRPr lang="es-CO" sz="1400" baseline="0"/>
        </a:p>
        <a:p>
          <a:pPr algn="ctr"/>
          <a:endParaRPr lang="es-CO" sz="1400"/>
        </a:p>
      </xdr:txBody>
    </xdr:sp>
    <xdr:clientData/>
  </xdr:twoCellAnchor>
  <xdr:twoCellAnchor>
    <xdr:from>
      <xdr:col>10</xdr:col>
      <xdr:colOff>198873</xdr:colOff>
      <xdr:row>1</xdr:row>
      <xdr:rowOff>104670</xdr:rowOff>
    </xdr:from>
    <xdr:to>
      <xdr:col>11</xdr:col>
      <xdr:colOff>167472</xdr:colOff>
      <xdr:row>3</xdr:row>
      <xdr:rowOff>41868</xdr:rowOff>
    </xdr:to>
    <xdr:sp macro="" textlink="">
      <xdr:nvSpPr>
        <xdr:cNvPr id="5" name="Pergamino: vertic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6DA5B-64BE-4A32-B37B-4AA1B760A9A0}"/>
            </a:ext>
          </a:extLst>
        </xdr:cNvPr>
        <xdr:cNvSpPr/>
      </xdr:nvSpPr>
      <xdr:spPr>
        <a:xfrm>
          <a:off x="11827747" y="314011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2</xdr:row>
      <xdr:rowOff>142875</xdr:rowOff>
    </xdr:from>
    <xdr:to>
      <xdr:col>13</xdr:col>
      <xdr:colOff>63011</xdr:colOff>
      <xdr:row>3</xdr:row>
      <xdr:rowOff>340597</xdr:rowOff>
    </xdr:to>
    <xdr:sp macro="" textlink="">
      <xdr:nvSpPr>
        <xdr:cNvPr id="2" name="Pergamino: vertical 1">
          <a:extLst>
            <a:ext uri="{FF2B5EF4-FFF2-40B4-BE49-F238E27FC236}">
              <a16:creationId xmlns:a16="http://schemas.microsoft.com/office/drawing/2014/main" id="{297D46D4-50C0-4693-9F16-ACC6901A5612}"/>
            </a:ext>
          </a:extLst>
        </xdr:cNvPr>
        <xdr:cNvSpPr/>
      </xdr:nvSpPr>
      <xdr:spPr>
        <a:xfrm>
          <a:off x="11620500" y="552450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261938</xdr:colOff>
      <xdr:row>3</xdr:row>
      <xdr:rowOff>119063</xdr:rowOff>
    </xdr:from>
    <xdr:to>
      <xdr:col>69</xdr:col>
      <xdr:colOff>234461</xdr:colOff>
      <xdr:row>5</xdr:row>
      <xdr:rowOff>100091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BF9A1-1B4E-47B3-98F9-B9AB6D828531}"/>
            </a:ext>
          </a:extLst>
        </xdr:cNvPr>
        <xdr:cNvSpPr/>
      </xdr:nvSpPr>
      <xdr:spPr>
        <a:xfrm>
          <a:off x="10751344" y="750094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179917</xdr:colOff>
      <xdr:row>2</xdr:row>
      <xdr:rowOff>63500</xdr:rowOff>
    </xdr:from>
    <xdr:to>
      <xdr:col>24</xdr:col>
      <xdr:colOff>149795</xdr:colOff>
      <xdr:row>4</xdr:row>
      <xdr:rowOff>48497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9898C-E3C7-493D-B06A-9E13A8152941}"/>
            </a:ext>
          </a:extLst>
        </xdr:cNvPr>
        <xdr:cNvSpPr/>
      </xdr:nvSpPr>
      <xdr:spPr>
        <a:xfrm>
          <a:off x="12149667" y="476250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214312</xdr:colOff>
      <xdr:row>3</xdr:row>
      <xdr:rowOff>23813</xdr:rowOff>
    </xdr:from>
    <xdr:to>
      <xdr:col>17</xdr:col>
      <xdr:colOff>186835</xdr:colOff>
      <xdr:row>4</xdr:row>
      <xdr:rowOff>147716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592AD-C4BA-483B-BC90-0840F1C9EFF1}"/>
            </a:ext>
          </a:extLst>
        </xdr:cNvPr>
        <xdr:cNvSpPr/>
      </xdr:nvSpPr>
      <xdr:spPr>
        <a:xfrm>
          <a:off x="12703968" y="654844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3</xdr:row>
      <xdr:rowOff>133350</xdr:rowOff>
    </xdr:from>
    <xdr:to>
      <xdr:col>10</xdr:col>
      <xdr:colOff>129686</xdr:colOff>
      <xdr:row>5</xdr:row>
      <xdr:rowOff>131047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B779C-6428-40ED-9AE8-6A469AEBE989}"/>
            </a:ext>
          </a:extLst>
        </xdr:cNvPr>
        <xdr:cNvSpPr/>
      </xdr:nvSpPr>
      <xdr:spPr>
        <a:xfrm>
          <a:off x="11410950" y="733425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805961</xdr:colOff>
      <xdr:row>3</xdr:row>
      <xdr:rowOff>196041</xdr:rowOff>
    </xdr:to>
    <xdr:sp macro="" textlink="">
      <xdr:nvSpPr>
        <xdr:cNvPr id="2" name="Pergamino: vertical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67519-6503-4E5A-A123-628BDCB1D412}"/>
            </a:ext>
          </a:extLst>
        </xdr:cNvPr>
        <xdr:cNvSpPr/>
      </xdr:nvSpPr>
      <xdr:spPr>
        <a:xfrm>
          <a:off x="14029765" y="414618"/>
          <a:ext cx="805961" cy="3977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  <xdr:twoCellAnchor>
    <xdr:from>
      <xdr:col>4</xdr:col>
      <xdr:colOff>244928</xdr:colOff>
      <xdr:row>85</xdr:row>
      <xdr:rowOff>176892</xdr:rowOff>
    </xdr:from>
    <xdr:to>
      <xdr:col>4</xdr:col>
      <xdr:colOff>1673679</xdr:colOff>
      <xdr:row>88</xdr:row>
      <xdr:rowOff>190499</xdr:rowOff>
    </xdr:to>
    <xdr:sp macro="" textlink="">
      <xdr:nvSpPr>
        <xdr:cNvPr id="8" name="Pergamino: horizontal 7">
          <a:hlinkClick xmlns:r="http://schemas.openxmlformats.org/officeDocument/2006/relationships" r:id="rId2" tooltip="VPN"/>
          <a:extLst>
            <a:ext uri="{FF2B5EF4-FFF2-40B4-BE49-F238E27FC236}">
              <a16:creationId xmlns:a16="http://schemas.microsoft.com/office/drawing/2014/main" id="{9B88FD07-9270-4F95-A51A-576C9BE5DAA5}"/>
            </a:ext>
          </a:extLst>
        </xdr:cNvPr>
        <xdr:cNvSpPr/>
      </xdr:nvSpPr>
      <xdr:spPr>
        <a:xfrm>
          <a:off x="1333499" y="18396856"/>
          <a:ext cx="1428751" cy="625929"/>
        </a:xfrm>
        <a:prstGeom prst="horizontalScrol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800"/>
            <a:t>VPN</a:t>
          </a:r>
        </a:p>
      </xdr:txBody>
    </xdr:sp>
    <xdr:clientData/>
  </xdr:twoCellAnchor>
  <xdr:twoCellAnchor>
    <xdr:from>
      <xdr:col>4</xdr:col>
      <xdr:colOff>2084613</xdr:colOff>
      <xdr:row>82</xdr:row>
      <xdr:rowOff>43542</xdr:rowOff>
    </xdr:from>
    <xdr:to>
      <xdr:col>5</xdr:col>
      <xdr:colOff>693965</xdr:colOff>
      <xdr:row>85</xdr:row>
      <xdr:rowOff>68035</xdr:rowOff>
    </xdr:to>
    <xdr:sp macro="" textlink="">
      <xdr:nvSpPr>
        <xdr:cNvPr id="11" name="Pergamino: horizontal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029078-FE29-41D2-9596-1028C320E56B}"/>
            </a:ext>
          </a:extLst>
        </xdr:cNvPr>
        <xdr:cNvSpPr/>
      </xdr:nvSpPr>
      <xdr:spPr>
        <a:xfrm>
          <a:off x="3173184" y="17651185"/>
          <a:ext cx="1453245" cy="636814"/>
        </a:xfrm>
        <a:prstGeom prst="horizontalScrol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800"/>
            <a:t>TIR</a:t>
          </a:r>
        </a:p>
      </xdr:txBody>
    </xdr:sp>
    <xdr:clientData/>
  </xdr:twoCellAnchor>
  <xdr:twoCellAnchor>
    <xdr:from>
      <xdr:col>4</xdr:col>
      <xdr:colOff>261256</xdr:colOff>
      <xdr:row>82</xdr:row>
      <xdr:rowOff>70757</xdr:rowOff>
    </xdr:from>
    <xdr:to>
      <xdr:col>4</xdr:col>
      <xdr:colOff>1690007</xdr:colOff>
      <xdr:row>85</xdr:row>
      <xdr:rowOff>84365</xdr:rowOff>
    </xdr:to>
    <xdr:sp macro="" textlink="">
      <xdr:nvSpPr>
        <xdr:cNvPr id="12" name="Pergamino: horizontal 11">
          <a:hlinkClick xmlns:r="http://schemas.openxmlformats.org/officeDocument/2006/relationships" r:id="rId4" tooltip="VPN"/>
          <a:extLst>
            <a:ext uri="{FF2B5EF4-FFF2-40B4-BE49-F238E27FC236}">
              <a16:creationId xmlns:a16="http://schemas.microsoft.com/office/drawing/2014/main" id="{EEB1E1B9-8AA7-4B79-B424-4EC6B98D3A87}"/>
            </a:ext>
          </a:extLst>
        </xdr:cNvPr>
        <xdr:cNvSpPr/>
      </xdr:nvSpPr>
      <xdr:spPr>
        <a:xfrm>
          <a:off x="1349827" y="17678400"/>
          <a:ext cx="1428751" cy="625929"/>
        </a:xfrm>
        <a:prstGeom prst="horizontalScrol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800"/>
            <a:t>TIO</a:t>
          </a:r>
        </a:p>
      </xdr:txBody>
    </xdr:sp>
    <xdr:clientData/>
  </xdr:twoCellAnchor>
  <xdr:twoCellAnchor>
    <xdr:from>
      <xdr:col>4</xdr:col>
      <xdr:colOff>2073728</xdr:colOff>
      <xdr:row>85</xdr:row>
      <xdr:rowOff>114300</xdr:rowOff>
    </xdr:from>
    <xdr:to>
      <xdr:col>5</xdr:col>
      <xdr:colOff>658586</xdr:colOff>
      <xdr:row>88</xdr:row>
      <xdr:rowOff>127907</xdr:rowOff>
    </xdr:to>
    <xdr:sp macro="" textlink="">
      <xdr:nvSpPr>
        <xdr:cNvPr id="13" name="Pergamino: horizontal 12">
          <a:hlinkClick xmlns:r="http://schemas.openxmlformats.org/officeDocument/2006/relationships" r:id="rId5" tooltip="VPN"/>
          <a:extLst>
            <a:ext uri="{FF2B5EF4-FFF2-40B4-BE49-F238E27FC236}">
              <a16:creationId xmlns:a16="http://schemas.microsoft.com/office/drawing/2014/main" id="{819A14F9-136C-4729-ACE1-206DC9EC9C6E}"/>
            </a:ext>
          </a:extLst>
        </xdr:cNvPr>
        <xdr:cNvSpPr/>
      </xdr:nvSpPr>
      <xdr:spPr>
        <a:xfrm>
          <a:off x="3162299" y="18334264"/>
          <a:ext cx="1428751" cy="625929"/>
        </a:xfrm>
        <a:prstGeom prst="horizontalScrol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800"/>
            <a:t>TIRM</a:t>
          </a:r>
        </a:p>
      </xdr:txBody>
    </xdr:sp>
    <xdr:clientData/>
  </xdr:twoCellAnchor>
  <xdr:twoCellAnchor>
    <xdr:from>
      <xdr:col>11</xdr:col>
      <xdr:colOff>108857</xdr:colOff>
      <xdr:row>59</xdr:row>
      <xdr:rowOff>163285</xdr:rowOff>
    </xdr:from>
    <xdr:to>
      <xdr:col>17</xdr:col>
      <xdr:colOff>1047751</xdr:colOff>
      <xdr:row>61</xdr:row>
      <xdr:rowOff>78919</xdr:rowOff>
    </xdr:to>
    <xdr:sp macro="" textlink="">
      <xdr:nvSpPr>
        <xdr:cNvPr id="16" name="Pergamino: vertical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B4EA8E-6D73-491D-BA5F-BA65C932ADDA}"/>
            </a:ext>
          </a:extLst>
        </xdr:cNvPr>
        <xdr:cNvSpPr/>
      </xdr:nvSpPr>
      <xdr:spPr>
        <a:xfrm>
          <a:off x="12654643" y="12953999"/>
          <a:ext cx="2095501" cy="323849"/>
        </a:xfrm>
        <a:prstGeom prst="verticalScroll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GRÁFICOS</a:t>
          </a:r>
        </a:p>
        <a:p>
          <a:pPr algn="ctr"/>
          <a:r>
            <a:rPr lang="es-CO" sz="1400" baseline="0"/>
            <a:t> </a:t>
          </a:r>
        </a:p>
        <a:p>
          <a:pPr algn="ctr"/>
          <a:endParaRPr lang="es-CO" sz="1400" baseline="0"/>
        </a:p>
        <a:p>
          <a:pPr algn="ctr"/>
          <a:endParaRPr lang="es-CO" sz="14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4</xdr:row>
      <xdr:rowOff>190499</xdr:rowOff>
    </xdr:from>
    <xdr:to>
      <xdr:col>8</xdr:col>
      <xdr:colOff>9525</xdr:colOff>
      <xdr:row>18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EA4174-40BD-435A-95C9-A9237F6AF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809624</xdr:colOff>
      <xdr:row>20</xdr:row>
      <xdr:rowOff>19049</xdr:rowOff>
    </xdr:from>
    <xdr:to>
      <xdr:col>8</xdr:col>
      <xdr:colOff>0</xdr:colOff>
      <xdr:row>34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FAA98E-D1C5-4AF2-9E02-7B173DE9A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790575</xdr:colOff>
      <xdr:row>36</xdr:row>
      <xdr:rowOff>142874</xdr:rowOff>
    </xdr:from>
    <xdr:to>
      <xdr:col>7</xdr:col>
      <xdr:colOff>828675</xdr:colOff>
      <xdr:row>51</xdr:row>
      <xdr:rowOff>47624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3DDD6B7-5A61-4F1E-9535-93700BCA1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781049</xdr:colOff>
      <xdr:row>52</xdr:row>
      <xdr:rowOff>85725</xdr:rowOff>
    </xdr:from>
    <xdr:to>
      <xdr:col>7</xdr:col>
      <xdr:colOff>828674</xdr:colOff>
      <xdr:row>66</xdr:row>
      <xdr:rowOff>28575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EDC505E-16FF-411D-B3DC-181286945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381000</xdr:colOff>
      <xdr:row>5</xdr:row>
      <xdr:rowOff>0</xdr:rowOff>
    </xdr:from>
    <xdr:to>
      <xdr:col>10</xdr:col>
      <xdr:colOff>348761</xdr:colOff>
      <xdr:row>6</xdr:row>
      <xdr:rowOff>198422</xdr:rowOff>
    </xdr:to>
    <xdr:sp macro="" textlink="">
      <xdr:nvSpPr>
        <xdr:cNvPr id="9" name="Pergamino: vertical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685ACA-0755-4E56-939A-7FE19D256C7A}"/>
            </a:ext>
          </a:extLst>
        </xdr:cNvPr>
        <xdr:cNvSpPr/>
      </xdr:nvSpPr>
      <xdr:spPr>
        <a:xfrm>
          <a:off x="7924800" y="1009650"/>
          <a:ext cx="805961" cy="3984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INICIO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  <xdr:twoCellAnchor>
    <xdr:from>
      <xdr:col>9</xdr:col>
      <xdr:colOff>66675</xdr:colOff>
      <xdr:row>8</xdr:row>
      <xdr:rowOff>123825</xdr:rowOff>
    </xdr:from>
    <xdr:to>
      <xdr:col>10</xdr:col>
      <xdr:colOff>628650</xdr:colOff>
      <xdr:row>10</xdr:row>
      <xdr:rowOff>122222</xdr:rowOff>
    </xdr:to>
    <xdr:sp macro="" textlink="">
      <xdr:nvSpPr>
        <xdr:cNvPr id="12" name="Pergamino: vertical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DA846F-CC2C-4D9A-BDF2-4CCC63921EE2}"/>
            </a:ext>
          </a:extLst>
        </xdr:cNvPr>
        <xdr:cNvSpPr/>
      </xdr:nvSpPr>
      <xdr:spPr>
        <a:xfrm>
          <a:off x="7610475" y="1733550"/>
          <a:ext cx="1400175" cy="398447"/>
        </a:xfrm>
        <a:prstGeom prst="verticalScroll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200" b="1"/>
            <a:t>FLUJO</a:t>
          </a:r>
          <a:r>
            <a:rPr lang="es-CO" sz="1200" b="1" baseline="0"/>
            <a:t> DE CAJA</a:t>
          </a:r>
          <a:r>
            <a:rPr lang="es-CO" sz="1200" b="1"/>
            <a:t> </a:t>
          </a:r>
        </a:p>
        <a:p>
          <a:pPr algn="ctr"/>
          <a:endParaRPr lang="es-CO" sz="1200" b="1"/>
        </a:p>
        <a:p>
          <a:pPr algn="ctr"/>
          <a:endParaRPr lang="es-CO" sz="1200" b="1" baseline="0"/>
        </a:p>
        <a:p>
          <a:pPr algn="ctr"/>
          <a:endParaRPr lang="es-CO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8-Valoracion%20Consejo%20Ministros%2030%20oc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desp2w2/bancainversion/Documents/Gcia.%20Mercado%20de%20Capitales/Proyectos%20en%20Ejecuci&#243;n/ISAGEN%20-%20Acciones/Due%20Diligence/INFORMACION%20-%20ISAGEN/FINANCIERA/Proyecciones%2011%20enero%202006/ProyFcras_Dic23_2004_Esc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desp2w2/bancainversion/Documents/Gcia.%20Mercado%20de%20Capitales/Proyectos%20en%20Ejecuci&#243;n/ISAGEN%20-%20Acciones/Modelos/Proyecciones%2023%20agosto%202006/Esc4_ProyFcras_16Ago06_Esc(CxConf_PreciosMo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%20UNIVERSIDADES\2%20EAN%20CREACION%20VALOR%20AF2A\TALLERES\2%20PROYECCION%20-%20LARGO%20PLAZ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o%20PM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s Mar-Jul-Ago"/>
      <sheetName val="Escenarios"/>
      <sheetName val="Macroec"/>
      <sheetName val="P&amp;G&gt;&gt;"/>
      <sheetName val="Analisis vertical"/>
      <sheetName val="Analisis horizontal"/>
      <sheetName val="INGRESOS ENERGIA &gt;&gt;"/>
      <sheetName val="Generacion"/>
      <sheetName val="Precios"/>
      <sheetName val="COSTO VENTAS&gt;&gt;"/>
      <sheetName val="Cargos MEM - Aportes"/>
      <sheetName val="Grls, Personales y otros"/>
      <sheetName val="Proyecciones Gas"/>
      <sheetName val="Combustible"/>
      <sheetName val="GASTOS ADMN&gt;&gt;"/>
      <sheetName val="Pensiones"/>
      <sheetName val="Otros Ingr.Gastos"/>
      <sheetName val="Deuda"/>
      <sheetName val="ImpoRenta"/>
      <sheetName val="DeprecContable"/>
      <sheetName val="DeprecFiscal"/>
      <sheetName val="BALANCE&gt;&gt;"/>
      <sheetName val="Soporte Balance"/>
      <sheetName val="Inversion y Mmto"/>
      <sheetName val="TESORERIA"/>
      <sheetName val="FCL"/>
      <sheetName val="ImpuestosValoracion"/>
      <sheetName val="RESUMEN VALORACION&gt;&gt;"/>
      <sheetName val="g"/>
      <sheetName val="beta"/>
      <sheetName val="WACC"/>
      <sheetName val="prima"/>
      <sheetName val="Prima compañia"/>
      <sheetName val="Valoracion FCL"/>
      <sheetName val="Prospecto"/>
      <sheetName val="Road Show"/>
      <sheetName val="Valoración FlujoDiv"/>
      <sheetName val="Valoracion Multiplos&gt;&gt;"/>
      <sheetName val="CostoCapital Damodaran"/>
      <sheetName val="S&amp;P V.S. IGBC"/>
      <sheetName val="EMBI"/>
      <sheetName val="Precio accion"/>
      <sheetName val="Indicadores Balance"/>
      <sheetName val="Indicadores P&amp;G"/>
      <sheetName val="Proyecciones Gas (nuevo)"/>
      <sheetName val="Graficas Presentacion"/>
      <sheetName val="Contingencias"/>
      <sheetName val="Acciones PrivSebastian"/>
      <sheetName val="PrimaMercado"/>
      <sheetName val="Generadoras Hídricas"/>
      <sheetName val="Generadoras Térmicas"/>
      <sheetName val="Transacciones Energia Electrica"/>
      <sheetName val="Múltliplos"/>
      <sheetName val="Mult Cias Emerg DAMODARAN"/>
      <sheetName val="IPC-IPP"/>
      <sheetName val="WACC (ISAGE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Modelo Proyecciones (Amoyá)"/>
      <sheetName val="Resumen-Energ"/>
      <sheetName val="Resumen-Energ (Amoyá)"/>
    </sheetNames>
    <sheetDataSet>
      <sheetData sheetId="0" refreshError="1"/>
      <sheetData sheetId="1" refreshError="1"/>
      <sheetData sheetId="2" refreshError="1">
        <row r="40">
          <cell r="B40">
            <v>13423</v>
          </cell>
          <cell r="C40">
            <v>13447</v>
          </cell>
          <cell r="D40">
            <v>13447</v>
          </cell>
          <cell r="E40">
            <v>13453.5</v>
          </cell>
          <cell r="F40">
            <v>13552</v>
          </cell>
          <cell r="G40">
            <v>13882</v>
          </cell>
          <cell r="H40">
            <v>14212</v>
          </cell>
          <cell r="I40">
            <v>14212</v>
          </cell>
          <cell r="J40">
            <v>14212</v>
          </cell>
          <cell r="K40">
            <v>14212</v>
          </cell>
          <cell r="L40">
            <v>14212</v>
          </cell>
          <cell r="M40">
            <v>14212</v>
          </cell>
        </row>
        <row r="180">
          <cell r="B180">
            <v>2241</v>
          </cell>
          <cell r="C180">
            <v>2265</v>
          </cell>
          <cell r="D180">
            <v>2265</v>
          </cell>
          <cell r="E180">
            <v>2271.5</v>
          </cell>
          <cell r="F180">
            <v>2370</v>
          </cell>
          <cell r="G180">
            <v>2370</v>
          </cell>
          <cell r="H180">
            <v>2370</v>
          </cell>
          <cell r="I180">
            <v>2370</v>
          </cell>
          <cell r="J180">
            <v>2370</v>
          </cell>
          <cell r="K180">
            <v>2370</v>
          </cell>
          <cell r="L180">
            <v>2370</v>
          </cell>
          <cell r="M180">
            <v>2370</v>
          </cell>
        </row>
        <row r="218">
          <cell r="B218">
            <v>7920.5621100022099</v>
          </cell>
          <cell r="C218">
            <v>7977.5090700000001</v>
          </cell>
          <cell r="D218">
            <v>7902.3887199999999</v>
          </cell>
          <cell r="E218">
            <v>8593.6005909999985</v>
          </cell>
          <cell r="F218">
            <v>9092.8063199999997</v>
          </cell>
          <cell r="G218">
            <v>9779.4384399999999</v>
          </cell>
          <cell r="H218">
            <v>9795.2497999999996</v>
          </cell>
          <cell r="I218">
            <v>9875.2988650000007</v>
          </cell>
          <cell r="J218">
            <v>10097.61637</v>
          </cell>
          <cell r="K218">
            <v>10097.61637</v>
          </cell>
          <cell r="L218">
            <v>10097.61637</v>
          </cell>
          <cell r="M218">
            <v>10097.61637</v>
          </cell>
        </row>
        <row r="250">
          <cell r="B250">
            <v>68.75166887723978</v>
          </cell>
          <cell r="C250">
            <v>74.586152994287033</v>
          </cell>
          <cell r="D250">
            <v>81.511019081090467</v>
          </cell>
          <cell r="E250">
            <v>87.223985201918879</v>
          </cell>
          <cell r="F250">
            <v>95.925527083936444</v>
          </cell>
          <cell r="G250">
            <v>96.45585233550112</v>
          </cell>
          <cell r="H250">
            <v>96.114349787974461</v>
          </cell>
          <cell r="I250">
            <v>95.798920018904255</v>
          </cell>
          <cell r="J250">
            <v>94.298274782188287</v>
          </cell>
          <cell r="K250">
            <v>91.549880556741655</v>
          </cell>
          <cell r="L250">
            <v>88.881583584955536</v>
          </cell>
          <cell r="M250">
            <v>86.916384896118103</v>
          </cell>
        </row>
        <row r="272">
          <cell r="B272">
            <v>77.257300000000001</v>
          </cell>
          <cell r="C272">
            <v>78.741000544716002</v>
          </cell>
          <cell r="D272">
            <v>76.771957361839455</v>
          </cell>
          <cell r="E272">
            <v>89.840704757976454</v>
          </cell>
          <cell r="F272">
            <v>98.803292896454536</v>
          </cell>
          <cell r="G272">
            <v>99.349527905566163</v>
          </cell>
          <cell r="H272">
            <v>98.9977802816137</v>
          </cell>
          <cell r="I272">
            <v>98.672887619471382</v>
          </cell>
          <cell r="J272">
            <v>97.127223025653933</v>
          </cell>
          <cell r="K272">
            <v>94.296376973443913</v>
          </cell>
          <cell r="L272">
            <v>91.548031092504203</v>
          </cell>
          <cell r="M272">
            <v>89.523876443001654</v>
          </cell>
        </row>
        <row r="292">
          <cell r="B292">
            <v>71.790000000000006</v>
          </cell>
          <cell r="C292">
            <v>73.787302432005518</v>
          </cell>
          <cell r="D292">
            <v>72.933359493747474</v>
          </cell>
          <cell r="E292">
            <v>80.856634282178817</v>
          </cell>
          <cell r="F292">
            <v>88.922963606809091</v>
          </cell>
          <cell r="G292">
            <v>89.414575115009555</v>
          </cell>
          <cell r="H292">
            <v>89.098002253452336</v>
          </cell>
          <cell r="I292">
            <v>88.805598857524245</v>
          </cell>
          <cell r="J292">
            <v>87.414500723088537</v>
          </cell>
          <cell r="K292">
            <v>84.866739276099523</v>
          </cell>
          <cell r="L292">
            <v>82.39322798325378</v>
          </cell>
          <cell r="M292">
            <v>80.571488798701495</v>
          </cell>
        </row>
        <row r="323">
          <cell r="B323">
            <v>72.189252321101776</v>
          </cell>
          <cell r="C323">
            <v>78.315460644001391</v>
          </cell>
          <cell r="D323">
            <v>85.586570035144987</v>
          </cell>
          <cell r="E323">
            <v>91.585184462014823</v>
          </cell>
          <cell r="F323">
            <v>100.72180343813326</v>
          </cell>
          <cell r="G323">
            <v>101.27864495227618</v>
          </cell>
          <cell r="H323">
            <v>100.92006727737319</v>
          </cell>
          <cell r="I323">
            <v>100.58886601984948</v>
          </cell>
          <cell r="J323">
            <v>99.013188521297707</v>
          </cell>
          <cell r="K323">
            <v>96.127374584578746</v>
          </cell>
          <cell r="L323">
            <v>93.325662764203315</v>
          </cell>
          <cell r="M323">
            <v>91.262204140924013</v>
          </cell>
        </row>
        <row r="324">
          <cell r="B324">
            <v>63.251535367060598</v>
          </cell>
          <cell r="C324">
            <v>68.619260754744076</v>
          </cell>
          <cell r="D324">
            <v>74.990137554603237</v>
          </cell>
          <cell r="E324">
            <v>80.246066385765374</v>
          </cell>
          <cell r="F324">
            <v>88.251484917221532</v>
          </cell>
          <cell r="G324">
            <v>88.739384148661031</v>
          </cell>
          <cell r="H324">
            <v>88.425201804936506</v>
          </cell>
          <cell r="I324">
            <v>88.135006417391921</v>
          </cell>
          <cell r="J324">
            <v>86.754412799613235</v>
          </cell>
          <cell r="K324">
            <v>84.225890112202322</v>
          </cell>
          <cell r="L324">
            <v>81.771056898159102</v>
          </cell>
          <cell r="M324">
            <v>79.963074104428657</v>
          </cell>
        </row>
        <row r="340">
          <cell r="B340">
            <v>8734.4266034676912</v>
          </cell>
          <cell r="C340">
            <v>9427.0588851075463</v>
          </cell>
          <cell r="D340">
            <v>9748.6697615792473</v>
          </cell>
          <cell r="E340">
            <v>10134.104289499888</v>
          </cell>
          <cell r="F340">
            <v>10499.185111309729</v>
          </cell>
          <cell r="G340">
            <v>10874.637547375531</v>
          </cell>
          <cell r="H340">
            <v>11261.498759122891</v>
          </cell>
          <cell r="I340">
            <v>11656.657262275021</v>
          </cell>
          <cell r="J340">
            <v>12063.224541108706</v>
          </cell>
          <cell r="K340">
            <v>12483.972296257261</v>
          </cell>
          <cell r="L340">
            <v>12919.395122143271</v>
          </cell>
          <cell r="M340">
            <v>13370.004863924582</v>
          </cell>
        </row>
        <row r="346">
          <cell r="B346">
            <v>31.910509111568839</v>
          </cell>
          <cell r="C346">
            <v>35.056223695254282</v>
          </cell>
          <cell r="D346">
            <v>35.478617330216075</v>
          </cell>
          <cell r="E346">
            <v>35.787744801967733</v>
          </cell>
          <cell r="F346">
            <v>36.101727446727217</v>
          </cell>
          <cell r="G346">
            <v>36.33873186742445</v>
          </cell>
          <cell r="H346">
            <v>36.570740673911772</v>
          </cell>
          <cell r="I346">
            <v>36.751440433530682</v>
          </cell>
          <cell r="J346">
            <v>37.068772909153786</v>
          </cell>
          <cell r="K346">
            <v>37.388845410715923</v>
          </cell>
          <cell r="L346">
            <v>37.711681597132362</v>
          </cell>
          <cell r="M346">
            <v>37.853550233382329</v>
          </cell>
        </row>
        <row r="347">
          <cell r="B347">
            <v>31.910509111568839</v>
          </cell>
          <cell r="C347">
            <v>33.708296966726465</v>
          </cell>
          <cell r="D347">
            <v>32.960820663345586</v>
          </cell>
          <cell r="E347">
            <v>32.123681556530663</v>
          </cell>
          <cell r="F347">
            <v>31.309678897135765</v>
          </cell>
          <cell r="G347">
            <v>30.449491761415942</v>
          </cell>
          <cell r="H347">
            <v>29.60763288711912</v>
          </cell>
          <cell r="I347">
            <v>28.74775576906012</v>
          </cell>
          <cell r="J347">
            <v>28.015439573283864</v>
          </cell>
          <cell r="K347">
            <v>27.301778294952442</v>
          </cell>
          <cell r="L347">
            <v>26.606296721381938</v>
          </cell>
          <cell r="M347">
            <v>25.80327313792235</v>
          </cell>
        </row>
        <row r="371">
          <cell r="B371">
            <v>1330.74</v>
          </cell>
          <cell r="C371">
            <v>1330.74</v>
          </cell>
          <cell r="D371">
            <v>1343.74</v>
          </cell>
          <cell r="E371">
            <v>1343.74</v>
          </cell>
          <cell r="F371">
            <v>1358.365</v>
          </cell>
          <cell r="G371">
            <v>1358.365</v>
          </cell>
          <cell r="H371">
            <v>1358.365</v>
          </cell>
          <cell r="I371">
            <v>1358.365</v>
          </cell>
          <cell r="J371">
            <v>1358.365</v>
          </cell>
          <cell r="K371">
            <v>1358.365</v>
          </cell>
          <cell r="L371">
            <v>1358.365</v>
          </cell>
          <cell r="M371">
            <v>1358.365</v>
          </cell>
        </row>
        <row r="395">
          <cell r="B395">
            <v>7368.0757835265094</v>
          </cell>
          <cell r="C395">
            <v>7073.0499567935312</v>
          </cell>
          <cell r="D395">
            <v>7139.8857446499815</v>
          </cell>
          <cell r="E395">
            <v>7112.5730780847416</v>
          </cell>
          <cell r="F395">
            <v>7351.8636352770272</v>
          </cell>
          <cell r="G395">
            <v>7339.3700247616844</v>
          </cell>
          <cell r="H395">
            <v>7328.2102348271837</v>
          </cell>
          <cell r="I395">
            <v>7327.5777618377906</v>
          </cell>
          <cell r="J395">
            <v>7300.1152528345865</v>
          </cell>
          <cell r="K395">
            <v>7272.755668621161</v>
          </cell>
          <cell r="L395">
            <v>7245.4986234530024</v>
          </cell>
          <cell r="M395">
            <v>7218.3437330312881</v>
          </cell>
        </row>
      </sheetData>
      <sheetData sheetId="3" refreshError="1">
        <row r="13">
          <cell r="C13">
            <v>160.2490249306322</v>
          </cell>
        </row>
      </sheetData>
      <sheetData sheetId="4" refreshError="1">
        <row r="154">
          <cell r="B154">
            <v>2.7214249464388574</v>
          </cell>
          <cell r="C154">
            <v>2.7214249464388574</v>
          </cell>
          <cell r="D154">
            <v>2.7214249464388574</v>
          </cell>
          <cell r="E154">
            <v>2.7214249464388574</v>
          </cell>
          <cell r="F154">
            <v>2.7214249464388574</v>
          </cell>
          <cell r="G154">
            <v>2.7214249464388574</v>
          </cell>
          <cell r="H154">
            <v>2.7214249464388574</v>
          </cell>
          <cell r="I154">
            <v>2.7214249464388574</v>
          </cell>
          <cell r="J154">
            <v>2.7214249464388574</v>
          </cell>
          <cell r="K154">
            <v>2.7214249464388574</v>
          </cell>
          <cell r="L154">
            <v>2.7214249464388574</v>
          </cell>
          <cell r="M154">
            <v>2.7214249464388574</v>
          </cell>
        </row>
      </sheetData>
      <sheetData sheetId="5" refreshError="1"/>
      <sheetData sheetId="6" refreshError="1">
        <row r="32">
          <cell r="B32">
            <v>1566.7416158839696</v>
          </cell>
          <cell r="C32">
            <v>2989.1659049999998</v>
          </cell>
          <cell r="D32">
            <v>2501.5665259000007</v>
          </cell>
          <cell r="E32">
            <v>3209.0894706999989</v>
          </cell>
          <cell r="F32">
            <v>3309.9388680000002</v>
          </cell>
          <cell r="G32">
            <v>3530.761004</v>
          </cell>
          <cell r="H32">
            <v>3540.9885429999995</v>
          </cell>
          <cell r="I32">
            <v>3560.1793105000002</v>
          </cell>
          <cell r="J32">
            <v>3625.8639089999988</v>
          </cell>
          <cell r="K32">
            <v>3625.8639089999988</v>
          </cell>
          <cell r="L32">
            <v>3625.8639089999988</v>
          </cell>
          <cell r="M32">
            <v>3625.8639089999988</v>
          </cell>
        </row>
        <row r="70">
          <cell r="B70">
            <v>1348.5212189686968</v>
          </cell>
          <cell r="C70">
            <v>1394.1439189999999</v>
          </cell>
          <cell r="D70">
            <v>1383.3731340000002</v>
          </cell>
          <cell r="E70">
            <v>1490.3693524999999</v>
          </cell>
          <cell r="F70">
            <v>1491.377604</v>
          </cell>
          <cell r="G70">
            <v>1574.8733159999999</v>
          </cell>
          <cell r="H70">
            <v>1581.9385829999999</v>
          </cell>
          <cell r="I70">
            <v>1585.1195375000002</v>
          </cell>
          <cell r="J70">
            <v>1606.3406349999998</v>
          </cell>
          <cell r="K70">
            <v>1606.3406349999998</v>
          </cell>
          <cell r="L70">
            <v>1606.3406349999998</v>
          </cell>
          <cell r="M70">
            <v>1606.3406349999998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Modelo Proyecciones (Amoyá)"/>
      <sheetName val="Resumen-Energ"/>
      <sheetName val="Resumen-Energ (Amoyá)"/>
      <sheetName val="Tablas para Calificadora"/>
      <sheetName val="Tablas"/>
    </sheetNames>
    <sheetDataSet>
      <sheetData sheetId="0"/>
      <sheetData sheetId="1">
        <row r="92">
          <cell r="B92">
            <v>3.3095107201759122E-2</v>
          </cell>
          <cell r="C92">
            <v>3.3095107201759122E-2</v>
          </cell>
          <cell r="D92">
            <v>3.6398467432950277E-2</v>
          </cell>
          <cell r="E92">
            <v>3.6968576709796697E-2</v>
          </cell>
          <cell r="F92">
            <v>3.5353535353535248E-2</v>
          </cell>
          <cell r="G92">
            <v>3.5485413677666111E-2</v>
          </cell>
          <cell r="H92">
            <v>3.6948087936449214E-2</v>
          </cell>
          <cell r="I92">
            <v>3.7769463744877996E-2</v>
          </cell>
          <cell r="J92">
            <v>3.7339055793991438E-2</v>
          </cell>
          <cell r="K92">
            <v>3.7339055793991438E-2</v>
          </cell>
          <cell r="L92">
            <v>3.7339055793991438E-2</v>
          </cell>
          <cell r="M92">
            <v>3.7339055793991438E-2</v>
          </cell>
        </row>
      </sheetData>
      <sheetData sheetId="2">
        <row r="468">
          <cell r="C468">
            <v>6782.2204200588712</v>
          </cell>
          <cell r="D468">
            <v>6782.2204200588712</v>
          </cell>
          <cell r="E468">
            <v>6782.2204200588712</v>
          </cell>
          <cell r="F468">
            <v>7451.9172837815331</v>
          </cell>
          <cell r="G468">
            <v>7451.9172837815331</v>
          </cell>
          <cell r="H468">
            <v>7451.9172837815331</v>
          </cell>
          <cell r="I468">
            <v>7451.9172837815331</v>
          </cell>
          <cell r="J468">
            <v>7451.9172837815331</v>
          </cell>
          <cell r="K468">
            <v>7451.9172837815331</v>
          </cell>
          <cell r="L468">
            <v>7451.9172837815331</v>
          </cell>
          <cell r="M468">
            <v>7451.9172837815331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"/>
      <sheetName val="GUIA"/>
      <sheetName val="Créditos"/>
      <sheetName val="ESCENARIOS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mpresion"/>
      <sheetName val="E R y Balance Hist."/>
      <sheetName val="Supuestos"/>
      <sheetName val="Supuestos Deuda"/>
      <sheetName val="Ventas y CMV"/>
      <sheetName val="Matriz Indicadores"/>
      <sheetName val="E R Proyectado"/>
      <sheetName val="B.G. Proyectado"/>
      <sheetName val="F.Caja"/>
      <sheetName val="FCL e Indices Proy."/>
      <sheetName val="Cto de Patrimonio y Capital"/>
      <sheetName val="Valoración"/>
      <sheetName val="Múltiplos"/>
      <sheetName val="Gráficos"/>
      <sheetName val="Betas"/>
      <sheetName val="Beta"/>
      <sheetName val="Datos"/>
      <sheetName val="Modelo PMX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>
        <row r="1">
          <cell r="C1" t="str">
            <v>C.I. PROMOT. DE MANUFACT. PARA LA EXPORTACIÓN S.A  -PMX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B4E4-F26B-422B-993A-396ACB988F64}">
  <dimension ref="F4:M19"/>
  <sheetViews>
    <sheetView showGridLines="0" showRowColHeaders="0" tabSelected="1" workbookViewId="0"/>
  </sheetViews>
  <sheetFormatPr baseColWidth="10" defaultRowHeight="15.75" x14ac:dyDescent="0.25"/>
  <cols>
    <col min="1" max="16384" width="11" style="177"/>
  </cols>
  <sheetData>
    <row r="4" spans="6:13" ht="21" x14ac:dyDescent="0.35">
      <c r="F4" s="178"/>
      <c r="G4" s="598" t="s">
        <v>856</v>
      </c>
      <c r="H4" s="598"/>
      <c r="I4" s="598"/>
      <c r="J4" s="178"/>
      <c r="K4" s="599" t="s">
        <v>860</v>
      </c>
      <c r="L4" s="599"/>
      <c r="M4" s="599"/>
    </row>
    <row r="5" spans="6:13" x14ac:dyDescent="0.25">
      <c r="G5" s="290"/>
      <c r="H5" s="290"/>
      <c r="I5" s="290"/>
      <c r="K5" s="271"/>
      <c r="L5" s="271"/>
      <c r="M5" s="271"/>
    </row>
    <row r="6" spans="6:13" x14ac:dyDescent="0.25">
      <c r="G6" s="290"/>
      <c r="H6" s="290"/>
      <c r="I6" s="290"/>
      <c r="K6" s="271"/>
      <c r="L6" s="271"/>
      <c r="M6" s="271"/>
    </row>
    <row r="7" spans="6:13" x14ac:dyDescent="0.25">
      <c r="G7" s="290"/>
      <c r="H7" s="290"/>
      <c r="I7" s="290"/>
      <c r="K7" s="271"/>
      <c r="L7" s="271"/>
      <c r="M7" s="271"/>
    </row>
    <row r="8" spans="6:13" x14ac:dyDescent="0.25">
      <c r="G8" s="290"/>
      <c r="H8" s="290"/>
      <c r="I8" s="290"/>
      <c r="K8" s="271"/>
      <c r="L8" s="271"/>
      <c r="M8" s="271"/>
    </row>
    <row r="9" spans="6:13" x14ac:dyDescent="0.25">
      <c r="G9" s="290"/>
      <c r="H9" s="290"/>
      <c r="I9" s="290"/>
      <c r="K9" s="271"/>
      <c r="L9" s="271"/>
      <c r="M9" s="271"/>
    </row>
    <row r="10" spans="6:13" x14ac:dyDescent="0.25">
      <c r="G10" s="290"/>
      <c r="H10" s="290"/>
      <c r="I10" s="290"/>
      <c r="K10" s="271"/>
      <c r="L10" s="271"/>
      <c r="M10" s="271"/>
    </row>
    <row r="11" spans="6:13" x14ac:dyDescent="0.25">
      <c r="G11" s="290"/>
      <c r="H11" s="290"/>
      <c r="I11" s="290"/>
      <c r="K11" s="271"/>
      <c r="L11" s="271"/>
      <c r="M11" s="271"/>
    </row>
    <row r="12" spans="6:13" x14ac:dyDescent="0.25">
      <c r="G12" s="290"/>
      <c r="H12" s="290"/>
      <c r="I12" s="290"/>
      <c r="K12" s="271"/>
      <c r="L12" s="271"/>
      <c r="M12" s="271"/>
    </row>
    <row r="13" spans="6:13" x14ac:dyDescent="0.25">
      <c r="G13" s="290"/>
      <c r="H13" s="290"/>
      <c r="I13" s="290"/>
      <c r="K13" s="271"/>
      <c r="L13" s="271"/>
      <c r="M13" s="271"/>
    </row>
    <row r="14" spans="6:13" x14ac:dyDescent="0.25">
      <c r="G14" s="290"/>
      <c r="H14" s="290"/>
      <c r="I14" s="290"/>
      <c r="K14" s="271"/>
      <c r="L14" s="271"/>
      <c r="M14" s="271"/>
    </row>
    <row r="15" spans="6:13" x14ac:dyDescent="0.25">
      <c r="G15" s="290"/>
      <c r="H15" s="290"/>
      <c r="I15" s="290"/>
      <c r="K15" s="271"/>
      <c r="L15" s="271"/>
      <c r="M15" s="271"/>
    </row>
    <row r="16" spans="6:13" x14ac:dyDescent="0.25">
      <c r="G16" s="290"/>
      <c r="H16" s="290"/>
      <c r="I16" s="290"/>
      <c r="K16" s="271"/>
      <c r="L16" s="271"/>
      <c r="M16" s="271"/>
    </row>
    <row r="17" spans="7:13" x14ac:dyDescent="0.25">
      <c r="G17" s="290"/>
      <c r="H17" s="290"/>
      <c r="I17" s="290"/>
      <c r="K17" s="271"/>
      <c r="L17" s="271"/>
      <c r="M17" s="271"/>
    </row>
    <row r="18" spans="7:13" x14ac:dyDescent="0.25">
      <c r="G18" s="290"/>
      <c r="H18" s="290"/>
      <c r="I18" s="290"/>
      <c r="K18" s="271"/>
      <c r="L18" s="271"/>
      <c r="M18" s="271"/>
    </row>
    <row r="19" spans="7:13" x14ac:dyDescent="0.25">
      <c r="G19" s="290"/>
      <c r="H19" s="290"/>
      <c r="I19" s="290"/>
      <c r="K19" s="271"/>
      <c r="L19" s="271"/>
      <c r="M19" s="271"/>
    </row>
  </sheetData>
  <mergeCells count="2">
    <mergeCell ref="G4:I4"/>
    <mergeCell ref="K4:M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D24E-D47B-4010-9FA2-7A8560CFEE2B}">
  <dimension ref="B1:I68"/>
  <sheetViews>
    <sheetView showGridLines="0" workbookViewId="0">
      <selection activeCell="K14" sqref="K14"/>
    </sheetView>
  </sheetViews>
  <sheetFormatPr baseColWidth="10" defaultRowHeight="15.75" x14ac:dyDescent="0.25"/>
  <cols>
    <col min="1" max="16384" width="11" style="3"/>
  </cols>
  <sheetData>
    <row r="1" spans="2:9" ht="16.5" thickBot="1" x14ac:dyDescent="0.3"/>
    <row r="2" spans="2:9" x14ac:dyDescent="0.25">
      <c r="B2" s="122"/>
      <c r="C2" s="123"/>
      <c r="D2" s="123"/>
      <c r="E2" s="123"/>
      <c r="F2" s="123"/>
      <c r="G2" s="123"/>
      <c r="H2" s="123"/>
      <c r="I2" s="124"/>
    </row>
    <row r="3" spans="2:9" x14ac:dyDescent="0.25">
      <c r="B3" s="22"/>
      <c r="C3" s="41"/>
      <c r="D3" s="41"/>
      <c r="E3" s="41"/>
      <c r="F3" s="41"/>
      <c r="G3" s="41"/>
      <c r="H3" s="41"/>
      <c r="I3" s="125"/>
    </row>
    <row r="4" spans="2:9" x14ac:dyDescent="0.25">
      <c r="B4" s="22"/>
      <c r="C4" s="778" t="s">
        <v>911</v>
      </c>
      <c r="D4" s="778"/>
      <c r="E4" s="778"/>
      <c r="F4" s="778"/>
      <c r="G4" s="778"/>
      <c r="H4" s="778"/>
      <c r="I4" s="125"/>
    </row>
    <row r="5" spans="2:9" x14ac:dyDescent="0.25">
      <c r="B5" s="22"/>
      <c r="C5" s="41"/>
      <c r="D5" s="41"/>
      <c r="E5" s="41"/>
      <c r="F5" s="41"/>
      <c r="G5" s="41"/>
      <c r="H5" s="41"/>
      <c r="I5" s="125"/>
    </row>
    <row r="6" spans="2:9" x14ac:dyDescent="0.25">
      <c r="B6" s="22"/>
      <c r="C6" s="41"/>
      <c r="D6" s="41"/>
      <c r="E6" s="41"/>
      <c r="F6" s="41"/>
      <c r="G6" s="41"/>
      <c r="H6" s="41"/>
      <c r="I6" s="125"/>
    </row>
    <row r="7" spans="2:9" x14ac:dyDescent="0.25">
      <c r="B7" s="22"/>
      <c r="C7" s="41"/>
      <c r="D7" s="41"/>
      <c r="E7" s="41"/>
      <c r="F7" s="41"/>
      <c r="G7" s="41"/>
      <c r="H7" s="41"/>
      <c r="I7" s="125"/>
    </row>
    <row r="8" spans="2:9" x14ac:dyDescent="0.25">
      <c r="B8" s="22"/>
      <c r="C8" s="41"/>
      <c r="D8" s="41"/>
      <c r="E8" s="41"/>
      <c r="F8" s="41"/>
      <c r="G8" s="41"/>
      <c r="H8" s="41"/>
      <c r="I8" s="125"/>
    </row>
    <row r="9" spans="2:9" x14ac:dyDescent="0.25">
      <c r="B9" s="22"/>
      <c r="C9" s="41"/>
      <c r="D9" s="41"/>
      <c r="E9" s="41"/>
      <c r="F9" s="41"/>
      <c r="G9" s="41"/>
      <c r="H9" s="41"/>
      <c r="I9" s="125"/>
    </row>
    <row r="10" spans="2:9" x14ac:dyDescent="0.25">
      <c r="B10" s="22"/>
      <c r="C10" s="41"/>
      <c r="D10" s="41"/>
      <c r="E10" s="41"/>
      <c r="F10" s="41"/>
      <c r="G10" s="41"/>
      <c r="H10" s="41"/>
      <c r="I10" s="125"/>
    </row>
    <row r="11" spans="2:9" x14ac:dyDescent="0.25">
      <c r="B11" s="22"/>
      <c r="C11" s="41"/>
      <c r="D11" s="41"/>
      <c r="E11" s="41"/>
      <c r="F11" s="41"/>
      <c r="G11" s="41"/>
      <c r="H11" s="41"/>
      <c r="I11" s="125"/>
    </row>
    <row r="12" spans="2:9" x14ac:dyDescent="0.25">
      <c r="B12" s="22"/>
      <c r="C12" s="41"/>
      <c r="D12" s="41"/>
      <c r="E12" s="41"/>
      <c r="F12" s="41"/>
      <c r="G12" s="41"/>
      <c r="H12" s="41"/>
      <c r="I12" s="125"/>
    </row>
    <row r="13" spans="2:9" x14ac:dyDescent="0.25">
      <c r="B13" s="22"/>
      <c r="C13" s="41"/>
      <c r="D13" s="41"/>
      <c r="E13" s="41"/>
      <c r="F13" s="41"/>
      <c r="G13" s="41"/>
      <c r="H13" s="41"/>
      <c r="I13" s="125"/>
    </row>
    <row r="14" spans="2:9" x14ac:dyDescent="0.25">
      <c r="B14" s="22"/>
      <c r="C14" s="41"/>
      <c r="D14" s="41"/>
      <c r="E14" s="41"/>
      <c r="F14" s="41"/>
      <c r="G14" s="41"/>
      <c r="H14" s="41"/>
      <c r="I14" s="125"/>
    </row>
    <row r="15" spans="2:9" x14ac:dyDescent="0.25">
      <c r="B15" s="22"/>
      <c r="C15" s="41"/>
      <c r="D15" s="41"/>
      <c r="E15" s="41"/>
      <c r="F15" s="41"/>
      <c r="G15" s="41"/>
      <c r="H15" s="41"/>
      <c r="I15" s="125"/>
    </row>
    <row r="16" spans="2:9" x14ac:dyDescent="0.25">
      <c r="B16" s="22"/>
      <c r="C16" s="41"/>
      <c r="D16" s="41"/>
      <c r="E16" s="41"/>
      <c r="F16" s="41"/>
      <c r="G16" s="41"/>
      <c r="H16" s="41"/>
      <c r="I16" s="125"/>
    </row>
    <row r="17" spans="2:9" x14ac:dyDescent="0.25">
      <c r="B17" s="22"/>
      <c r="C17" s="41"/>
      <c r="D17" s="41"/>
      <c r="E17" s="41"/>
      <c r="F17" s="41"/>
      <c r="G17" s="41"/>
      <c r="H17" s="41"/>
      <c r="I17" s="125"/>
    </row>
    <row r="18" spans="2:9" x14ac:dyDescent="0.25">
      <c r="B18" s="22"/>
      <c r="C18" s="41"/>
      <c r="D18" s="41"/>
      <c r="E18" s="41"/>
      <c r="F18" s="41"/>
      <c r="G18" s="41"/>
      <c r="H18" s="41"/>
      <c r="I18" s="125"/>
    </row>
    <row r="19" spans="2:9" x14ac:dyDescent="0.25">
      <c r="B19" s="22"/>
      <c r="C19" s="41"/>
      <c r="D19" s="41"/>
      <c r="E19" s="41"/>
      <c r="F19" s="41"/>
      <c r="G19" s="41"/>
      <c r="H19" s="41"/>
      <c r="I19" s="125"/>
    </row>
    <row r="20" spans="2:9" x14ac:dyDescent="0.25">
      <c r="B20" s="22"/>
      <c r="C20" s="41"/>
      <c r="D20" s="41"/>
      <c r="E20" s="41"/>
      <c r="F20" s="41"/>
      <c r="G20" s="41"/>
      <c r="H20" s="41"/>
      <c r="I20" s="125"/>
    </row>
    <row r="21" spans="2:9" x14ac:dyDescent="0.25">
      <c r="B21" s="22"/>
      <c r="C21" s="41"/>
      <c r="D21" s="41"/>
      <c r="E21" s="41"/>
      <c r="F21" s="41"/>
      <c r="G21" s="41"/>
      <c r="H21" s="41"/>
      <c r="I21" s="125"/>
    </row>
    <row r="22" spans="2:9" x14ac:dyDescent="0.25">
      <c r="B22" s="22"/>
      <c r="C22" s="41"/>
      <c r="D22" s="41"/>
      <c r="E22" s="41"/>
      <c r="F22" s="41"/>
      <c r="G22" s="41"/>
      <c r="H22" s="41"/>
      <c r="I22" s="125"/>
    </row>
    <row r="23" spans="2:9" x14ac:dyDescent="0.25">
      <c r="B23" s="22"/>
      <c r="C23" s="41"/>
      <c r="D23" s="41"/>
      <c r="E23" s="41"/>
      <c r="F23" s="41"/>
      <c r="G23" s="41"/>
      <c r="H23" s="41"/>
      <c r="I23" s="125"/>
    </row>
    <row r="24" spans="2:9" x14ac:dyDescent="0.25">
      <c r="B24" s="22"/>
      <c r="C24" s="41"/>
      <c r="D24" s="41"/>
      <c r="E24" s="41"/>
      <c r="F24" s="41"/>
      <c r="G24" s="41"/>
      <c r="H24" s="41"/>
      <c r="I24" s="125"/>
    </row>
    <row r="25" spans="2:9" x14ac:dyDescent="0.25">
      <c r="B25" s="22"/>
      <c r="C25" s="41"/>
      <c r="D25" s="41"/>
      <c r="E25" s="41"/>
      <c r="F25" s="41"/>
      <c r="G25" s="41"/>
      <c r="H25" s="41"/>
      <c r="I25" s="125"/>
    </row>
    <row r="26" spans="2:9" x14ac:dyDescent="0.25">
      <c r="B26" s="22"/>
      <c r="C26" s="41"/>
      <c r="D26" s="41"/>
      <c r="E26" s="41"/>
      <c r="F26" s="41"/>
      <c r="G26" s="41"/>
      <c r="H26" s="41"/>
      <c r="I26" s="125"/>
    </row>
    <row r="27" spans="2:9" x14ac:dyDescent="0.25">
      <c r="B27" s="22"/>
      <c r="C27" s="41"/>
      <c r="D27" s="41"/>
      <c r="E27" s="41"/>
      <c r="F27" s="41"/>
      <c r="G27" s="41"/>
      <c r="H27" s="41"/>
      <c r="I27" s="125"/>
    </row>
    <row r="28" spans="2:9" x14ac:dyDescent="0.25">
      <c r="B28" s="22"/>
      <c r="C28" s="41"/>
      <c r="D28" s="41"/>
      <c r="E28" s="41"/>
      <c r="F28" s="41"/>
      <c r="G28" s="41"/>
      <c r="H28" s="41"/>
      <c r="I28" s="125"/>
    </row>
    <row r="29" spans="2:9" x14ac:dyDescent="0.25">
      <c r="B29" s="22"/>
      <c r="C29" s="41"/>
      <c r="D29" s="41"/>
      <c r="E29" s="41"/>
      <c r="F29" s="41"/>
      <c r="G29" s="41"/>
      <c r="H29" s="41"/>
      <c r="I29" s="125"/>
    </row>
    <row r="30" spans="2:9" x14ac:dyDescent="0.25">
      <c r="B30" s="22"/>
      <c r="C30" s="41"/>
      <c r="D30" s="41"/>
      <c r="E30" s="41"/>
      <c r="F30" s="41"/>
      <c r="G30" s="41"/>
      <c r="H30" s="41"/>
      <c r="I30" s="125"/>
    </row>
    <row r="31" spans="2:9" x14ac:dyDescent="0.25">
      <c r="B31" s="22"/>
      <c r="C31" s="41"/>
      <c r="D31" s="41"/>
      <c r="E31" s="41"/>
      <c r="F31" s="41"/>
      <c r="G31" s="41"/>
      <c r="H31" s="41"/>
      <c r="I31" s="125"/>
    </row>
    <row r="32" spans="2:9" x14ac:dyDescent="0.25">
      <c r="B32" s="22"/>
      <c r="C32" s="41"/>
      <c r="D32" s="41"/>
      <c r="E32" s="41"/>
      <c r="F32" s="41"/>
      <c r="G32" s="41"/>
      <c r="H32" s="41"/>
      <c r="I32" s="125"/>
    </row>
    <row r="33" spans="2:9" x14ac:dyDescent="0.25">
      <c r="B33" s="22"/>
      <c r="C33" s="41"/>
      <c r="D33" s="41"/>
      <c r="E33" s="41"/>
      <c r="F33" s="41"/>
      <c r="G33" s="41"/>
      <c r="H33" s="41"/>
      <c r="I33" s="125"/>
    </row>
    <row r="34" spans="2:9" x14ac:dyDescent="0.25">
      <c r="B34" s="22"/>
      <c r="C34" s="41"/>
      <c r="D34" s="41"/>
      <c r="E34" s="41"/>
      <c r="F34" s="41"/>
      <c r="G34" s="41"/>
      <c r="H34" s="41"/>
      <c r="I34" s="125"/>
    </row>
    <row r="35" spans="2:9" x14ac:dyDescent="0.25">
      <c r="B35" s="22"/>
      <c r="C35" s="41"/>
      <c r="D35" s="41"/>
      <c r="E35" s="41"/>
      <c r="F35" s="41"/>
      <c r="G35" s="41"/>
      <c r="H35" s="41"/>
      <c r="I35" s="125"/>
    </row>
    <row r="36" spans="2:9" x14ac:dyDescent="0.25">
      <c r="B36" s="22"/>
      <c r="C36" s="41"/>
      <c r="D36" s="41"/>
      <c r="E36" s="41"/>
      <c r="F36" s="41"/>
      <c r="G36" s="41"/>
      <c r="H36" s="41"/>
      <c r="I36" s="125"/>
    </row>
    <row r="37" spans="2:9" x14ac:dyDescent="0.25">
      <c r="B37" s="22"/>
      <c r="C37" s="41"/>
      <c r="D37" s="41"/>
      <c r="E37" s="41"/>
      <c r="F37" s="41"/>
      <c r="G37" s="41"/>
      <c r="H37" s="41"/>
      <c r="I37" s="125"/>
    </row>
    <row r="38" spans="2:9" x14ac:dyDescent="0.25">
      <c r="B38" s="22"/>
      <c r="C38" s="41"/>
      <c r="D38" s="41"/>
      <c r="E38" s="41"/>
      <c r="F38" s="41"/>
      <c r="G38" s="41"/>
      <c r="H38" s="41"/>
      <c r="I38" s="125"/>
    </row>
    <row r="39" spans="2:9" x14ac:dyDescent="0.25">
      <c r="B39" s="22"/>
      <c r="C39" s="41"/>
      <c r="D39" s="41"/>
      <c r="E39" s="41"/>
      <c r="F39" s="41"/>
      <c r="G39" s="41"/>
      <c r="H39" s="41"/>
      <c r="I39" s="125"/>
    </row>
    <row r="40" spans="2:9" x14ac:dyDescent="0.25">
      <c r="B40" s="22"/>
      <c r="C40" s="41"/>
      <c r="D40" s="41"/>
      <c r="E40" s="41"/>
      <c r="F40" s="41"/>
      <c r="G40" s="41"/>
      <c r="H40" s="41"/>
      <c r="I40" s="125"/>
    </row>
    <row r="41" spans="2:9" x14ac:dyDescent="0.25">
      <c r="B41" s="22"/>
      <c r="C41" s="41"/>
      <c r="D41" s="41"/>
      <c r="E41" s="41"/>
      <c r="F41" s="41"/>
      <c r="G41" s="41"/>
      <c r="H41" s="41"/>
      <c r="I41" s="125"/>
    </row>
    <row r="42" spans="2:9" x14ac:dyDescent="0.25">
      <c r="B42" s="22"/>
      <c r="C42" s="41"/>
      <c r="D42" s="41"/>
      <c r="E42" s="41"/>
      <c r="F42" s="41"/>
      <c r="G42" s="41"/>
      <c r="H42" s="41"/>
      <c r="I42" s="125"/>
    </row>
    <row r="43" spans="2:9" x14ac:dyDescent="0.25">
      <c r="B43" s="22"/>
      <c r="C43" s="41"/>
      <c r="D43" s="41"/>
      <c r="E43" s="41"/>
      <c r="F43" s="41"/>
      <c r="G43" s="41"/>
      <c r="H43" s="41"/>
      <c r="I43" s="125"/>
    </row>
    <row r="44" spans="2:9" x14ac:dyDescent="0.25">
      <c r="B44" s="22"/>
      <c r="C44" s="41"/>
      <c r="D44" s="41"/>
      <c r="E44" s="41"/>
      <c r="F44" s="41"/>
      <c r="G44" s="41"/>
      <c r="H44" s="41"/>
      <c r="I44" s="125"/>
    </row>
    <row r="45" spans="2:9" x14ac:dyDescent="0.25">
      <c r="B45" s="22"/>
      <c r="C45" s="41"/>
      <c r="D45" s="41"/>
      <c r="E45" s="41"/>
      <c r="F45" s="41"/>
      <c r="G45" s="41"/>
      <c r="H45" s="41"/>
      <c r="I45" s="125"/>
    </row>
    <row r="46" spans="2:9" x14ac:dyDescent="0.25">
      <c r="B46" s="22"/>
      <c r="C46" s="41"/>
      <c r="D46" s="41"/>
      <c r="E46" s="41"/>
      <c r="F46" s="41"/>
      <c r="G46" s="41"/>
      <c r="H46" s="41"/>
      <c r="I46" s="125"/>
    </row>
    <row r="47" spans="2:9" x14ac:dyDescent="0.25">
      <c r="B47" s="22"/>
      <c r="C47" s="41"/>
      <c r="D47" s="41"/>
      <c r="E47" s="41"/>
      <c r="F47" s="41"/>
      <c r="G47" s="41"/>
      <c r="H47" s="41"/>
      <c r="I47" s="125"/>
    </row>
    <row r="48" spans="2:9" x14ac:dyDescent="0.25">
      <c r="B48" s="22"/>
      <c r="C48" s="41"/>
      <c r="D48" s="41"/>
      <c r="E48" s="41"/>
      <c r="F48" s="41"/>
      <c r="G48" s="41"/>
      <c r="H48" s="41"/>
      <c r="I48" s="125"/>
    </row>
    <row r="49" spans="2:9" x14ac:dyDescent="0.25">
      <c r="B49" s="22"/>
      <c r="C49" s="41"/>
      <c r="D49" s="41"/>
      <c r="E49" s="41"/>
      <c r="F49" s="41"/>
      <c r="G49" s="41"/>
      <c r="H49" s="41"/>
      <c r="I49" s="125"/>
    </row>
    <row r="50" spans="2:9" x14ac:dyDescent="0.25">
      <c r="B50" s="22"/>
      <c r="C50" s="41"/>
      <c r="D50" s="41"/>
      <c r="E50" s="41"/>
      <c r="F50" s="41"/>
      <c r="G50" s="41"/>
      <c r="H50" s="41"/>
      <c r="I50" s="125"/>
    </row>
    <row r="51" spans="2:9" x14ac:dyDescent="0.25">
      <c r="B51" s="22"/>
      <c r="C51" s="41"/>
      <c r="D51" s="41"/>
      <c r="E51" s="41"/>
      <c r="F51" s="41"/>
      <c r="G51" s="41"/>
      <c r="H51" s="41"/>
      <c r="I51" s="125"/>
    </row>
    <row r="52" spans="2:9" x14ac:dyDescent="0.25">
      <c r="B52" s="22"/>
      <c r="C52" s="41"/>
      <c r="D52" s="41"/>
      <c r="E52" s="41"/>
      <c r="F52" s="41"/>
      <c r="G52" s="41"/>
      <c r="H52" s="41"/>
      <c r="I52" s="125"/>
    </row>
    <row r="53" spans="2:9" x14ac:dyDescent="0.25">
      <c r="B53" s="22"/>
      <c r="C53" s="41"/>
      <c r="D53" s="41"/>
      <c r="E53" s="41"/>
      <c r="F53" s="41"/>
      <c r="G53" s="41"/>
      <c r="H53" s="41"/>
      <c r="I53" s="125"/>
    </row>
    <row r="54" spans="2:9" x14ac:dyDescent="0.25">
      <c r="B54" s="22"/>
      <c r="C54" s="41"/>
      <c r="D54" s="41"/>
      <c r="E54" s="41"/>
      <c r="F54" s="41"/>
      <c r="G54" s="41"/>
      <c r="H54" s="41"/>
      <c r="I54" s="125"/>
    </row>
    <row r="55" spans="2:9" x14ac:dyDescent="0.25">
      <c r="B55" s="22"/>
      <c r="C55" s="41"/>
      <c r="D55" s="41"/>
      <c r="E55" s="41"/>
      <c r="F55" s="41"/>
      <c r="G55" s="41"/>
      <c r="H55" s="41"/>
      <c r="I55" s="125"/>
    </row>
    <row r="56" spans="2:9" x14ac:dyDescent="0.25">
      <c r="B56" s="22"/>
      <c r="C56" s="41"/>
      <c r="D56" s="41"/>
      <c r="E56" s="41"/>
      <c r="F56" s="41"/>
      <c r="G56" s="41"/>
      <c r="H56" s="41"/>
      <c r="I56" s="125"/>
    </row>
    <row r="57" spans="2:9" x14ac:dyDescent="0.25">
      <c r="B57" s="22"/>
      <c r="C57" s="41"/>
      <c r="D57" s="41"/>
      <c r="E57" s="41"/>
      <c r="F57" s="41"/>
      <c r="G57" s="41"/>
      <c r="H57" s="41"/>
      <c r="I57" s="125"/>
    </row>
    <row r="58" spans="2:9" x14ac:dyDescent="0.25">
      <c r="B58" s="22"/>
      <c r="C58" s="41"/>
      <c r="D58" s="41"/>
      <c r="E58" s="41"/>
      <c r="F58" s="41"/>
      <c r="G58" s="41"/>
      <c r="H58" s="41"/>
      <c r="I58" s="125"/>
    </row>
    <row r="59" spans="2:9" x14ac:dyDescent="0.25">
      <c r="B59" s="22"/>
      <c r="C59" s="41"/>
      <c r="D59" s="41"/>
      <c r="E59" s="41"/>
      <c r="F59" s="41"/>
      <c r="G59" s="41"/>
      <c r="H59" s="41"/>
      <c r="I59" s="125"/>
    </row>
    <row r="60" spans="2:9" x14ac:dyDescent="0.25">
      <c r="B60" s="22"/>
      <c r="C60" s="41"/>
      <c r="D60" s="41"/>
      <c r="E60" s="41"/>
      <c r="F60" s="41"/>
      <c r="G60" s="41"/>
      <c r="H60" s="41"/>
      <c r="I60" s="125"/>
    </row>
    <row r="61" spans="2:9" x14ac:dyDescent="0.25">
      <c r="B61" s="22"/>
      <c r="C61" s="41"/>
      <c r="D61" s="41"/>
      <c r="E61" s="41"/>
      <c r="F61" s="41"/>
      <c r="G61" s="41"/>
      <c r="H61" s="41"/>
      <c r="I61" s="125"/>
    </row>
    <row r="62" spans="2:9" x14ac:dyDescent="0.25">
      <c r="B62" s="22"/>
      <c r="C62" s="41"/>
      <c r="D62" s="41"/>
      <c r="E62" s="41"/>
      <c r="F62" s="41"/>
      <c r="G62" s="41"/>
      <c r="H62" s="41"/>
      <c r="I62" s="125"/>
    </row>
    <row r="63" spans="2:9" x14ac:dyDescent="0.25">
      <c r="B63" s="22"/>
      <c r="C63" s="41"/>
      <c r="D63" s="41"/>
      <c r="E63" s="41"/>
      <c r="F63" s="41"/>
      <c r="G63" s="41"/>
      <c r="H63" s="41"/>
      <c r="I63" s="125"/>
    </row>
    <row r="64" spans="2:9" x14ac:dyDescent="0.25">
      <c r="B64" s="22"/>
      <c r="C64" s="41"/>
      <c r="D64" s="41"/>
      <c r="E64" s="41"/>
      <c r="F64" s="41"/>
      <c r="G64" s="41"/>
      <c r="H64" s="41"/>
      <c r="I64" s="125"/>
    </row>
    <row r="65" spans="2:9" x14ac:dyDescent="0.25">
      <c r="B65" s="22"/>
      <c r="C65" s="41"/>
      <c r="D65" s="41"/>
      <c r="E65" s="41"/>
      <c r="F65" s="41"/>
      <c r="G65" s="41"/>
      <c r="H65" s="41"/>
      <c r="I65" s="125"/>
    </row>
    <row r="66" spans="2:9" x14ac:dyDescent="0.25">
      <c r="B66" s="22"/>
      <c r="C66" s="41"/>
      <c r="D66" s="41"/>
      <c r="E66" s="41"/>
      <c r="F66" s="41"/>
      <c r="G66" s="41"/>
      <c r="H66" s="41"/>
      <c r="I66" s="125"/>
    </row>
    <row r="67" spans="2:9" x14ac:dyDescent="0.25">
      <c r="B67" s="22"/>
      <c r="C67" s="41"/>
      <c r="D67" s="41"/>
      <c r="E67" s="41"/>
      <c r="F67" s="41"/>
      <c r="G67" s="41"/>
      <c r="H67" s="41"/>
      <c r="I67" s="125"/>
    </row>
    <row r="68" spans="2:9" ht="16.5" thickBot="1" x14ac:dyDescent="0.3">
      <c r="B68" s="77"/>
      <c r="C68" s="129"/>
      <c r="D68" s="129"/>
      <c r="E68" s="129"/>
      <c r="F68" s="129"/>
      <c r="G68" s="129"/>
      <c r="H68" s="129"/>
      <c r="I68" s="130"/>
    </row>
  </sheetData>
  <mergeCells count="1">
    <mergeCell ref="C4:H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23C7-5CDA-43EE-941F-6784A6713D7A}">
  <sheetPr>
    <outlinePr summaryBelow="0"/>
  </sheetPr>
  <dimension ref="B1:G15"/>
  <sheetViews>
    <sheetView showGridLines="0" showRowColHeaders="0" workbookViewId="0">
      <selection activeCell="H11" sqref="H11"/>
    </sheetView>
  </sheetViews>
  <sheetFormatPr baseColWidth="10" defaultRowHeight="15.75" outlineLevelRow="1" outlineLevelCol="1" x14ac:dyDescent="0.25"/>
  <cols>
    <col min="1" max="2" width="11" style="3"/>
    <col min="3" max="3" width="9" style="3" customWidth="1"/>
    <col min="4" max="7" width="13.5" style="3" customWidth="1" outlineLevel="1"/>
    <col min="8" max="16384" width="11" style="3"/>
  </cols>
  <sheetData>
    <row r="1" spans="2:7" ht="16.5" thickBot="1" x14ac:dyDescent="0.3"/>
    <row r="2" spans="2:7" x14ac:dyDescent="0.25">
      <c r="B2" s="666" t="s">
        <v>861</v>
      </c>
      <c r="C2" s="666"/>
      <c r="D2" s="384"/>
      <c r="E2" s="384"/>
      <c r="F2" s="384"/>
      <c r="G2" s="384"/>
    </row>
    <row r="3" spans="2:7" collapsed="1" x14ac:dyDescent="0.25">
      <c r="B3" s="667"/>
      <c r="C3" s="667"/>
      <c r="D3" s="385" t="s">
        <v>862</v>
      </c>
      <c r="E3" s="385" t="s">
        <v>19</v>
      </c>
      <c r="F3" s="385" t="s">
        <v>20</v>
      </c>
      <c r="G3" s="385" t="s">
        <v>18</v>
      </c>
    </row>
    <row r="4" spans="2:7" ht="126" hidden="1" outlineLevel="1" x14ac:dyDescent="0.25">
      <c r="B4" s="372"/>
      <c r="C4" s="372"/>
      <c r="D4" s="373"/>
      <c r="E4" s="386" t="s">
        <v>868</v>
      </c>
      <c r="F4" s="386" t="s">
        <v>868</v>
      </c>
      <c r="G4" s="386" t="s">
        <v>868</v>
      </c>
    </row>
    <row r="5" spans="2:7" x14ac:dyDescent="0.25">
      <c r="B5" s="668" t="s">
        <v>875</v>
      </c>
      <c r="C5" s="668"/>
      <c r="D5" s="668"/>
      <c r="E5" s="668"/>
      <c r="F5" s="668"/>
      <c r="G5" s="668"/>
    </row>
    <row r="6" spans="2:7" outlineLevel="1" x14ac:dyDescent="0.25">
      <c r="B6" s="389" t="s">
        <v>869</v>
      </c>
      <c r="C6" s="389"/>
      <c r="D6" s="376">
        <v>500</v>
      </c>
      <c r="E6" s="377">
        <v>500</v>
      </c>
      <c r="F6" s="377">
        <v>400</v>
      </c>
      <c r="G6" s="377">
        <v>650</v>
      </c>
    </row>
    <row r="7" spans="2:7" outlineLevel="1" x14ac:dyDescent="0.25">
      <c r="B7" s="665" t="s">
        <v>870</v>
      </c>
      <c r="C7" s="665"/>
      <c r="D7" s="376">
        <v>200</v>
      </c>
      <c r="E7" s="377">
        <v>200</v>
      </c>
      <c r="F7" s="377">
        <v>150</v>
      </c>
      <c r="G7" s="377">
        <v>250</v>
      </c>
    </row>
    <row r="8" spans="2:7" outlineLevel="1" x14ac:dyDescent="0.25">
      <c r="B8" s="372" t="s">
        <v>871</v>
      </c>
      <c r="C8" s="372"/>
      <c r="D8" s="376">
        <v>525846</v>
      </c>
      <c r="E8" s="377">
        <v>525846</v>
      </c>
      <c r="F8" s="377">
        <v>475000</v>
      </c>
      <c r="G8" s="377">
        <v>620000</v>
      </c>
    </row>
    <row r="9" spans="2:7" outlineLevel="1" x14ac:dyDescent="0.25">
      <c r="B9" s="372" t="s">
        <v>872</v>
      </c>
      <c r="C9" s="372"/>
      <c r="D9" s="378">
        <v>0.01</v>
      </c>
      <c r="E9" s="379">
        <v>0.01</v>
      </c>
      <c r="F9" s="379">
        <v>0</v>
      </c>
      <c r="G9" s="379">
        <v>0.02</v>
      </c>
    </row>
    <row r="10" spans="2:7" outlineLevel="1" x14ac:dyDescent="0.25">
      <c r="B10" s="372" t="s">
        <v>873</v>
      </c>
      <c r="C10" s="372"/>
      <c r="D10" s="380">
        <v>2.5000000000000001E-2</v>
      </c>
      <c r="E10" s="381">
        <v>2.5000000000000001E-2</v>
      </c>
      <c r="F10" s="381">
        <v>0.02</v>
      </c>
      <c r="G10" s="381">
        <v>3.5000000000000003E-2</v>
      </c>
    </row>
    <row r="11" spans="2:7" collapsed="1" x14ac:dyDescent="0.25">
      <c r="B11" s="374" t="s">
        <v>874</v>
      </c>
      <c r="C11" s="374"/>
      <c r="D11" s="375"/>
      <c r="E11" s="387">
        <v>0.13684543019241557</v>
      </c>
      <c r="F11" s="388">
        <v>-6.3054056251296897E-2</v>
      </c>
      <c r="G11" s="388">
        <v>0.66641895260308925</v>
      </c>
    </row>
    <row r="12" spans="2:7" ht="16.5" hidden="1" outlineLevel="1" thickBot="1" x14ac:dyDescent="0.3">
      <c r="B12" s="382"/>
      <c r="C12" s="382"/>
      <c r="D12" s="383"/>
      <c r="E12" s="383"/>
      <c r="F12" s="383"/>
      <c r="G12" s="383"/>
    </row>
    <row r="13" spans="2:7" x14ac:dyDescent="0.25">
      <c r="B13" s="3" t="s">
        <v>863</v>
      </c>
    </row>
    <row r="14" spans="2:7" x14ac:dyDescent="0.25">
      <c r="B14" s="3" t="s">
        <v>864</v>
      </c>
    </row>
    <row r="15" spans="2:7" x14ac:dyDescent="0.25">
      <c r="B15" s="3" t="s">
        <v>865</v>
      </c>
    </row>
  </sheetData>
  <mergeCells count="3">
    <mergeCell ref="B7:C7"/>
    <mergeCell ref="B2:C3"/>
    <mergeCell ref="B5:G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5A5A-DB6B-419C-B955-5AD38CDE1ECE}">
  <dimension ref="B1:Q58"/>
  <sheetViews>
    <sheetView showGridLines="0" zoomScale="90" zoomScaleNormal="90" workbookViewId="0">
      <selection activeCell="E44" sqref="E44"/>
    </sheetView>
  </sheetViews>
  <sheetFormatPr baseColWidth="10" defaultRowHeight="15.75" x14ac:dyDescent="0.25"/>
  <cols>
    <col min="1" max="2" width="11" style="3"/>
    <col min="3" max="3" width="38.375" style="3" bestFit="1" customWidth="1"/>
    <col min="4" max="4" width="14.75" style="3" customWidth="1"/>
    <col min="5" max="9" width="16.25" style="3" bestFit="1" customWidth="1"/>
    <col min="10" max="10" width="11" style="3"/>
    <col min="11" max="11" width="13.125" style="3" bestFit="1" customWidth="1"/>
    <col min="12" max="12" width="14.625" style="3" bestFit="1" customWidth="1"/>
    <col min="13" max="15" width="12.125" style="3" bestFit="1" customWidth="1"/>
    <col min="16" max="16384" width="11" style="3"/>
  </cols>
  <sheetData>
    <row r="1" spans="2:12" ht="16.5" thickBot="1" x14ac:dyDescent="0.3"/>
    <row r="2" spans="2:12" x14ac:dyDescent="0.25">
      <c r="B2" s="122"/>
      <c r="C2" s="123"/>
      <c r="D2" s="123"/>
      <c r="E2" s="123"/>
      <c r="F2" s="123"/>
      <c r="G2" s="123"/>
      <c r="H2" s="123"/>
      <c r="I2" s="123"/>
      <c r="J2" s="124"/>
    </row>
    <row r="3" spans="2:12" ht="16.5" thickBot="1" x14ac:dyDescent="0.3">
      <c r="B3" s="22"/>
      <c r="C3" s="41"/>
      <c r="D3" s="41"/>
      <c r="E3" s="41"/>
      <c r="F3" s="41"/>
      <c r="G3" s="41"/>
      <c r="H3" s="41"/>
      <c r="I3" s="41"/>
      <c r="J3" s="125"/>
    </row>
    <row r="4" spans="2:12" ht="16.5" thickBot="1" x14ac:dyDescent="0.3">
      <c r="B4" s="22"/>
      <c r="C4" s="600" t="s">
        <v>876</v>
      </c>
      <c r="D4" s="672"/>
      <c r="E4" s="672"/>
      <c r="F4" s="672"/>
      <c r="G4" s="672"/>
      <c r="H4" s="672"/>
      <c r="I4" s="601"/>
      <c r="J4" s="125"/>
    </row>
    <row r="5" spans="2:12" x14ac:dyDescent="0.25">
      <c r="B5" s="22"/>
      <c r="C5" s="406"/>
      <c r="D5" s="405" t="s">
        <v>61</v>
      </c>
      <c r="E5" s="396" t="s">
        <v>26</v>
      </c>
      <c r="F5" s="396" t="s">
        <v>58</v>
      </c>
      <c r="G5" s="396" t="s">
        <v>28</v>
      </c>
      <c r="H5" s="396" t="s">
        <v>73</v>
      </c>
      <c r="I5" s="397" t="s">
        <v>30</v>
      </c>
      <c r="J5" s="458"/>
    </row>
    <row r="6" spans="2:12" x14ac:dyDescent="0.25">
      <c r="B6" s="22"/>
      <c r="C6" s="407" t="s">
        <v>60</v>
      </c>
      <c r="D6" s="392">
        <f>+'FLUJO DE CAJA '!F30</f>
        <v>0</v>
      </c>
      <c r="E6" s="392">
        <f>'FLUJO DE CAJA '!G30</f>
        <v>262923000</v>
      </c>
      <c r="F6" s="392">
        <f>+'FLUJO DE CAJA '!H30</f>
        <v>466245983.3448</v>
      </c>
      <c r="G6" s="392">
        <f>+'FLUJO DE CAJA '!I30</f>
        <v>601488584.42191029</v>
      </c>
      <c r="H6" s="392">
        <f>+'FLUJO DE CAJA '!J30</f>
        <v>749254279.99489295</v>
      </c>
      <c r="I6" s="401">
        <f>+'FLUJO DE CAJA '!K30</f>
        <v>909428061.76192927</v>
      </c>
      <c r="J6" s="458"/>
    </row>
    <row r="7" spans="2:12" x14ac:dyDescent="0.25">
      <c r="B7" s="22"/>
      <c r="C7" s="408" t="s">
        <v>80</v>
      </c>
      <c r="D7" s="175">
        <f>+'FLUJO DE CAJA '!F31</f>
        <v>0</v>
      </c>
      <c r="E7" s="175">
        <f>'FLUJO DE CAJA '!G31</f>
        <v>270312423.36000001</v>
      </c>
      <c r="F7" s="175">
        <f>+'FLUJO DE CAJA '!H31</f>
        <v>282277507.72800004</v>
      </c>
      <c r="G7" s="175">
        <f>+'FLUJO DE CAJA '!I31</f>
        <v>294892292.50320005</v>
      </c>
      <c r="H7" s="175">
        <f>+'FLUJO DE CAJA '!J31</f>
        <v>308257744.89787686</v>
      </c>
      <c r="I7" s="402">
        <f>+'FLUJO DE CAJA '!K31</f>
        <v>324442057.47041118</v>
      </c>
      <c r="J7" s="458"/>
    </row>
    <row r="8" spans="2:12" x14ac:dyDescent="0.25">
      <c r="B8" s="22"/>
      <c r="C8" s="408" t="s">
        <v>81</v>
      </c>
      <c r="D8" s="175">
        <f>+'FLUJO DE CAJA '!F32</f>
        <v>0</v>
      </c>
      <c r="E8" s="175">
        <f>'FLUJO DE CAJA '!G32</f>
        <v>15967100</v>
      </c>
      <c r="F8" s="175">
        <f>+'FLUJO DE CAJA '!H32</f>
        <v>15967100</v>
      </c>
      <c r="G8" s="175">
        <f>+'FLUJO DE CAJA '!I32</f>
        <v>15967100</v>
      </c>
      <c r="H8" s="175">
        <f>+'FLUJO DE CAJA '!J32</f>
        <v>15967100</v>
      </c>
      <c r="I8" s="402">
        <f>+'FLUJO DE CAJA '!K32</f>
        <v>15967100</v>
      </c>
      <c r="J8" s="458"/>
    </row>
    <row r="9" spans="2:12" x14ac:dyDescent="0.25">
      <c r="B9" s="22"/>
      <c r="C9" s="408" t="s">
        <v>83</v>
      </c>
      <c r="D9" s="175">
        <f>+'FLUJO DE CAJA '!F33</f>
        <v>0</v>
      </c>
      <c r="E9" s="175">
        <f>'FLUJO DE CAJA '!G33</f>
        <v>40000000</v>
      </c>
      <c r="F9" s="175">
        <f>+'FLUJO DE CAJA '!H33</f>
        <v>33448100.768210188</v>
      </c>
      <c r="G9" s="175">
        <f>+'FLUJO DE CAJA '!I33</f>
        <v>26241011.613241389</v>
      </c>
      <c r="H9" s="175">
        <f>+'FLUJO DE CAJA '!J33</f>
        <v>18313213.542775709</v>
      </c>
      <c r="I9" s="402">
        <f>+'FLUJO DE CAJA '!K33</f>
        <v>9592635.6652634647</v>
      </c>
      <c r="J9" s="458"/>
    </row>
    <row r="10" spans="2:12" x14ac:dyDescent="0.25">
      <c r="B10" s="22"/>
      <c r="C10" s="409" t="s">
        <v>84</v>
      </c>
      <c r="D10" s="400">
        <f>+'FLUJO DE CAJA '!F34</f>
        <v>0</v>
      </c>
      <c r="E10" s="400">
        <f>'FLUJO DE CAJA '!G34</f>
        <v>-63356523.360000014</v>
      </c>
      <c r="F10" s="400">
        <f>+'FLUJO DE CAJA '!H34</f>
        <v>134553274.84858978</v>
      </c>
      <c r="G10" s="400">
        <f>+'FLUJO DE CAJA '!I34</f>
        <v>264388180.30546886</v>
      </c>
      <c r="H10" s="400">
        <f>+'FLUJO DE CAJA '!J34</f>
        <v>406716221.55424041</v>
      </c>
      <c r="I10" s="403">
        <f>+'FLUJO DE CAJA '!K34</f>
        <v>559426268.62625468</v>
      </c>
      <c r="J10" s="458"/>
    </row>
    <row r="11" spans="2:12" x14ac:dyDescent="0.25">
      <c r="B11" s="22"/>
      <c r="C11" s="410" t="s">
        <v>85</v>
      </c>
      <c r="D11" s="391">
        <f>+'FLUJO DE CAJA '!F35</f>
        <v>0</v>
      </c>
      <c r="E11" s="391">
        <f>'FLUJO DE CAJA '!G35</f>
        <v>0</v>
      </c>
      <c r="F11" s="391">
        <f>+'FLUJO DE CAJA '!H35</f>
        <v>44402580.700034626</v>
      </c>
      <c r="G11" s="391">
        <f>+'FLUJO DE CAJA '!I35</f>
        <v>87248099.500804722</v>
      </c>
      <c r="H11" s="391">
        <f>+'FLUJO DE CAJA '!J35</f>
        <v>134216353.11289933</v>
      </c>
      <c r="I11" s="404">
        <f>+'FLUJO DE CAJA '!K35</f>
        <v>184610668.64666405</v>
      </c>
      <c r="J11" s="458"/>
    </row>
    <row r="12" spans="2:12" x14ac:dyDescent="0.25">
      <c r="B12" s="22"/>
      <c r="C12" s="409" t="s">
        <v>9</v>
      </c>
      <c r="D12" s="400">
        <f>+'FLUJO DE CAJA '!F36</f>
        <v>0</v>
      </c>
      <c r="E12" s="400">
        <f>'FLUJO DE CAJA '!G36</f>
        <v>-63356523.360000014</v>
      </c>
      <c r="F12" s="400">
        <f>+'FLUJO DE CAJA '!H36</f>
        <v>90150694.14855516</v>
      </c>
      <c r="G12" s="400">
        <f>+'FLUJO DE CAJA '!I36</f>
        <v>177140080.80466413</v>
      </c>
      <c r="H12" s="400">
        <f>+'FLUJO DE CAJA '!J36</f>
        <v>272499868.44134104</v>
      </c>
      <c r="I12" s="403">
        <f>+'FLUJO DE CAJA '!K36</f>
        <v>374815599.97959065</v>
      </c>
      <c r="J12" s="458"/>
    </row>
    <row r="13" spans="2:12" x14ac:dyDescent="0.25">
      <c r="B13" s="22"/>
      <c r="C13" s="173"/>
      <c r="D13" s="174"/>
      <c r="E13" s="159"/>
      <c r="F13" s="159"/>
      <c r="G13" s="159"/>
      <c r="H13" s="159"/>
      <c r="I13" s="159"/>
      <c r="J13" s="458"/>
      <c r="L13" s="146"/>
    </row>
    <row r="14" spans="2:12" x14ac:dyDescent="0.25">
      <c r="B14" s="22"/>
      <c r="C14" s="41"/>
      <c r="D14" s="41"/>
      <c r="E14" s="127"/>
      <c r="F14" s="41"/>
      <c r="G14" s="41"/>
      <c r="H14" s="41"/>
      <c r="I14" s="41"/>
      <c r="J14" s="125"/>
      <c r="L14" s="147"/>
    </row>
    <row r="15" spans="2:12" ht="16.5" thickBot="1" x14ac:dyDescent="0.3">
      <c r="B15" s="22"/>
      <c r="C15" s="41"/>
      <c r="D15" s="41"/>
      <c r="E15" s="453"/>
      <c r="F15" s="453"/>
      <c r="G15" s="453"/>
      <c r="H15" s="453"/>
      <c r="I15" s="453"/>
      <c r="J15" s="125"/>
    </row>
    <row r="16" spans="2:12" ht="16.5" thickBot="1" x14ac:dyDescent="0.3">
      <c r="B16" s="22"/>
      <c r="C16" s="669" t="s">
        <v>24</v>
      </c>
      <c r="D16" s="670"/>
      <c r="E16" s="670"/>
      <c r="F16" s="670"/>
      <c r="G16" s="670"/>
      <c r="H16" s="670"/>
      <c r="I16" s="671"/>
      <c r="J16" s="125"/>
      <c r="L16" s="146"/>
    </row>
    <row r="17" spans="2:17" x14ac:dyDescent="0.25">
      <c r="B17" s="22"/>
      <c r="C17" s="424" t="s">
        <v>215</v>
      </c>
      <c r="D17" s="405" t="s">
        <v>61</v>
      </c>
      <c r="E17" s="396" t="s">
        <v>26</v>
      </c>
      <c r="F17" s="396" t="s">
        <v>58</v>
      </c>
      <c r="G17" s="396" t="s">
        <v>28</v>
      </c>
      <c r="H17" s="396" t="s">
        <v>73</v>
      </c>
      <c r="I17" s="397" t="s">
        <v>30</v>
      </c>
      <c r="J17" s="125"/>
    </row>
    <row r="18" spans="2:17" x14ac:dyDescent="0.25">
      <c r="B18" s="22"/>
      <c r="C18" s="425" t="s">
        <v>94</v>
      </c>
      <c r="D18" s="420"/>
      <c r="E18" s="459">
        <f>+'FLUJO DE CAJA '!G45</f>
        <v>18129568.95789814</v>
      </c>
      <c r="F18" s="459">
        <f>+'FLUJO DE CAJA '!H45+E18</f>
        <v>151915673.95610663</v>
      </c>
      <c r="G18" s="459">
        <f>+'FLUJO DE CAJA '!I45+F18</f>
        <v>337052735.96462286</v>
      </c>
      <c r="H18" s="459">
        <f>+'FLUJO DE CAJA '!J45+G18</f>
        <v>578509130.068187</v>
      </c>
      <c r="I18" s="459">
        <f>+'FLUJO DE CAJA '!K45+H18</f>
        <v>880607518.05374837</v>
      </c>
      <c r="J18" s="125"/>
    </row>
    <row r="19" spans="2:17" x14ac:dyDescent="0.25">
      <c r="B19" s="22"/>
      <c r="C19" s="425" t="s">
        <v>855</v>
      </c>
      <c r="D19" s="420">
        <v>0</v>
      </c>
      <c r="E19" s="393"/>
      <c r="F19" s="393"/>
      <c r="G19" s="393"/>
      <c r="H19" s="393"/>
      <c r="I19" s="411"/>
      <c r="J19" s="125"/>
    </row>
    <row r="20" spans="2:17" x14ac:dyDescent="0.25">
      <c r="B20" s="22"/>
      <c r="C20" s="425" t="s">
        <v>216</v>
      </c>
      <c r="D20" s="420">
        <v>0</v>
      </c>
      <c r="E20" s="394"/>
      <c r="F20" s="394"/>
      <c r="G20" s="394"/>
      <c r="H20" s="394"/>
      <c r="I20" s="394"/>
      <c r="J20" s="125"/>
    </row>
    <row r="21" spans="2:17" ht="16.5" thickBot="1" x14ac:dyDescent="0.3">
      <c r="B21" s="22"/>
      <c r="C21" s="425" t="s">
        <v>217</v>
      </c>
      <c r="D21" s="421">
        <v>0</v>
      </c>
      <c r="E21" s="399">
        <f>+E19</f>
        <v>0</v>
      </c>
      <c r="F21" s="399"/>
      <c r="G21" s="399"/>
      <c r="H21" s="399"/>
      <c r="I21" s="413"/>
      <c r="J21" s="125"/>
      <c r="K21" s="41"/>
      <c r="L21" s="41"/>
      <c r="M21" s="41"/>
      <c r="N21" s="41"/>
      <c r="O21" s="41"/>
      <c r="P21" s="41"/>
      <c r="Q21" s="41"/>
    </row>
    <row r="22" spans="2:17" ht="16.5" thickTop="1" x14ac:dyDescent="0.25">
      <c r="B22" s="22"/>
      <c r="C22" s="426" t="s">
        <v>218</v>
      </c>
      <c r="D22" s="422">
        <f t="shared" ref="D22:I22" si="0">SUM(D18:D21)</f>
        <v>0</v>
      </c>
      <c r="E22" s="398">
        <f t="shared" si="0"/>
        <v>18129568.95789814</v>
      </c>
      <c r="F22" s="398">
        <f t="shared" si="0"/>
        <v>151915673.95610663</v>
      </c>
      <c r="G22" s="398">
        <f t="shared" si="0"/>
        <v>337052735.96462286</v>
      </c>
      <c r="H22" s="398">
        <f t="shared" si="0"/>
        <v>578509130.068187</v>
      </c>
      <c r="I22" s="414">
        <f t="shared" si="0"/>
        <v>880607518.05374837</v>
      </c>
      <c r="J22" s="125"/>
      <c r="K22" s="347"/>
      <c r="L22" s="347"/>
      <c r="M22" s="347"/>
      <c r="N22" s="347"/>
      <c r="O22" s="347"/>
      <c r="P22" s="41"/>
      <c r="Q22" s="41"/>
    </row>
    <row r="23" spans="2:17" x14ac:dyDescent="0.25">
      <c r="B23" s="22"/>
      <c r="C23" s="426" t="s">
        <v>219</v>
      </c>
      <c r="D23" s="423"/>
      <c r="E23" s="395"/>
      <c r="F23" s="395"/>
      <c r="G23" s="395"/>
      <c r="H23" s="395"/>
      <c r="I23" s="415"/>
      <c r="J23" s="125"/>
      <c r="K23" s="452"/>
      <c r="L23" s="452"/>
      <c r="M23" s="452"/>
      <c r="N23" s="452"/>
      <c r="O23" s="452"/>
      <c r="P23" s="41"/>
      <c r="Q23" s="41"/>
    </row>
    <row r="24" spans="2:17" x14ac:dyDescent="0.25">
      <c r="B24" s="22"/>
      <c r="C24" s="425" t="s">
        <v>262</v>
      </c>
      <c r="D24" s="420">
        <v>0</v>
      </c>
      <c r="E24" s="394">
        <f>+INVERSIONES!M33</f>
        <v>9190000</v>
      </c>
      <c r="F24" s="394">
        <f>+E24</f>
        <v>9190000</v>
      </c>
      <c r="G24" s="394">
        <f>+F24</f>
        <v>9190000</v>
      </c>
      <c r="H24" s="394">
        <f>+G24</f>
        <v>9190000</v>
      </c>
      <c r="I24" s="412">
        <f>+H24</f>
        <v>9190000</v>
      </c>
      <c r="J24" s="125"/>
      <c r="K24" s="453"/>
      <c r="L24" s="453"/>
      <c r="M24" s="453"/>
      <c r="N24" s="453"/>
      <c r="O24" s="453"/>
      <c r="P24" s="41"/>
      <c r="Q24" s="41"/>
    </row>
    <row r="25" spans="2:17" x14ac:dyDescent="0.25">
      <c r="B25" s="22"/>
      <c r="C25" s="425" t="s">
        <v>263</v>
      </c>
      <c r="D25" s="420">
        <v>0</v>
      </c>
      <c r="E25" s="394">
        <f>+INVERSIONES!M35</f>
        <v>15700000</v>
      </c>
      <c r="F25" s="394">
        <f t="shared" ref="F25:I26" si="1">+E25</f>
        <v>15700000</v>
      </c>
      <c r="G25" s="394">
        <f t="shared" si="1"/>
        <v>15700000</v>
      </c>
      <c r="H25" s="394">
        <f t="shared" si="1"/>
        <v>15700000</v>
      </c>
      <c r="I25" s="412">
        <f t="shared" si="1"/>
        <v>15700000</v>
      </c>
      <c r="J25" s="125"/>
      <c r="K25" s="41"/>
      <c r="L25" s="41"/>
      <c r="M25" s="41"/>
      <c r="N25" s="41"/>
      <c r="O25" s="41"/>
      <c r="P25" s="41"/>
      <c r="Q25" s="41"/>
    </row>
    <row r="26" spans="2:17" x14ac:dyDescent="0.25">
      <c r="B26" s="22"/>
      <c r="C26" s="425" t="s">
        <v>217</v>
      </c>
      <c r="D26" s="420">
        <v>0</v>
      </c>
      <c r="E26" s="394">
        <f>+INVERSIONES!M34+INVERSIONES!M36</f>
        <v>60000000</v>
      </c>
      <c r="F26" s="394">
        <f t="shared" si="1"/>
        <v>60000000</v>
      </c>
      <c r="G26" s="394">
        <f t="shared" si="1"/>
        <v>60000000</v>
      </c>
      <c r="H26" s="394">
        <f t="shared" si="1"/>
        <v>60000000</v>
      </c>
      <c r="I26" s="412">
        <f t="shared" si="1"/>
        <v>60000000</v>
      </c>
      <c r="J26" s="125"/>
    </row>
    <row r="27" spans="2:17" x14ac:dyDescent="0.25">
      <c r="B27" s="22"/>
      <c r="C27" s="426" t="s">
        <v>220</v>
      </c>
      <c r="D27" s="422">
        <f t="shared" ref="D27:I27" si="2">SUM(D24:D26)</f>
        <v>0</v>
      </c>
      <c r="E27" s="398">
        <f>SUM(E24:E26)</f>
        <v>84890000</v>
      </c>
      <c r="F27" s="398">
        <f t="shared" ref="F27:I27" si="3">SUM(F24:F26)</f>
        <v>84890000</v>
      </c>
      <c r="G27" s="398">
        <f t="shared" si="3"/>
        <v>84890000</v>
      </c>
      <c r="H27" s="398">
        <f t="shared" si="3"/>
        <v>84890000</v>
      </c>
      <c r="I27" s="398">
        <f t="shared" si="3"/>
        <v>84890000</v>
      </c>
      <c r="J27" s="125"/>
    </row>
    <row r="28" spans="2:17" ht="16.5" thickBot="1" x14ac:dyDescent="0.3">
      <c r="B28" s="22"/>
      <c r="C28" s="428" t="s">
        <v>221</v>
      </c>
      <c r="D28" s="429">
        <f>+'BALANCE  INICIAL'!D17</f>
        <v>400000000</v>
      </c>
      <c r="E28" s="418">
        <f t="shared" ref="D28:I28" si="4">+E22+E27</f>
        <v>103019568.95789814</v>
      </c>
      <c r="F28" s="418">
        <f t="shared" si="4"/>
        <v>236805673.95610663</v>
      </c>
      <c r="G28" s="418">
        <f t="shared" si="4"/>
        <v>421942735.96462286</v>
      </c>
      <c r="H28" s="418">
        <f t="shared" si="4"/>
        <v>663399130.068187</v>
      </c>
      <c r="I28" s="419">
        <f>+I22+I27</f>
        <v>965497518.05374837</v>
      </c>
      <c r="J28" s="125"/>
    </row>
    <row r="29" spans="2:17" ht="16.5" thickBot="1" x14ac:dyDescent="0.3">
      <c r="B29" s="22"/>
      <c r="C29" s="431"/>
      <c r="D29" s="432"/>
      <c r="E29" s="432"/>
      <c r="F29" s="432"/>
      <c r="G29" s="432"/>
      <c r="H29" s="432"/>
      <c r="I29" s="433"/>
      <c r="J29" s="125"/>
    </row>
    <row r="30" spans="2:17" x14ac:dyDescent="0.25">
      <c r="B30" s="22"/>
      <c r="C30" s="424" t="s">
        <v>222</v>
      </c>
      <c r="D30" s="675"/>
      <c r="E30" s="676"/>
      <c r="F30" s="676"/>
      <c r="G30" s="676"/>
      <c r="H30" s="676"/>
      <c r="I30" s="677"/>
      <c r="J30" s="125"/>
    </row>
    <row r="31" spans="2:17" x14ac:dyDescent="0.25">
      <c r="B31" s="22"/>
      <c r="C31" s="425" t="s">
        <v>223</v>
      </c>
      <c r="D31" s="420"/>
      <c r="E31" s="393"/>
      <c r="F31" s="393"/>
      <c r="G31" s="393"/>
      <c r="H31" s="393"/>
      <c r="I31" s="393"/>
      <c r="J31" s="125"/>
    </row>
    <row r="32" spans="2:17" x14ac:dyDescent="0.25">
      <c r="B32" s="22"/>
      <c r="C32" s="425" t="s">
        <v>96</v>
      </c>
      <c r="D32" s="420"/>
      <c r="E32" s="393"/>
      <c r="F32" s="393"/>
      <c r="G32" s="393"/>
      <c r="H32" s="393"/>
      <c r="I32" s="411"/>
      <c r="J32" s="125"/>
    </row>
    <row r="33" spans="2:10" x14ac:dyDescent="0.25">
      <c r="B33" s="22"/>
      <c r="C33" s="425" t="s">
        <v>867</v>
      </c>
      <c r="D33" s="420"/>
      <c r="E33" s="393"/>
      <c r="F33" s="393"/>
      <c r="G33" s="393"/>
      <c r="H33" s="393"/>
      <c r="I33" s="393"/>
      <c r="J33" s="125"/>
    </row>
    <row r="34" spans="2:10" ht="16.5" thickBot="1" x14ac:dyDescent="0.3">
      <c r="B34" s="22"/>
      <c r="C34" s="425" t="s">
        <v>98</v>
      </c>
      <c r="D34" s="421"/>
      <c r="E34" s="399"/>
      <c r="F34" s="399"/>
      <c r="G34" s="399"/>
      <c r="H34" s="399"/>
      <c r="I34" s="413"/>
      <c r="J34" s="125"/>
    </row>
    <row r="35" spans="2:10" ht="16.5" thickTop="1" x14ac:dyDescent="0.25">
      <c r="B35" s="22"/>
      <c r="C35" s="427" t="s">
        <v>225</v>
      </c>
      <c r="D35" s="422">
        <f t="shared" ref="D35:I35" si="5">SUM(D31:D34)</f>
        <v>0</v>
      </c>
      <c r="E35" s="398">
        <f t="shared" si="5"/>
        <v>0</v>
      </c>
      <c r="F35" s="398">
        <f t="shared" si="5"/>
        <v>0</v>
      </c>
      <c r="G35" s="398">
        <f t="shared" si="5"/>
        <v>0</v>
      </c>
      <c r="H35" s="398">
        <f t="shared" si="5"/>
        <v>0</v>
      </c>
      <c r="I35" s="414">
        <f t="shared" si="5"/>
        <v>0</v>
      </c>
      <c r="J35" s="125"/>
    </row>
    <row r="36" spans="2:10" x14ac:dyDescent="0.25">
      <c r="B36" s="22"/>
      <c r="C36" s="426" t="s">
        <v>226</v>
      </c>
      <c r="D36" s="423"/>
      <c r="E36" s="395"/>
      <c r="F36" s="395"/>
      <c r="G36" s="395"/>
      <c r="H36" s="395"/>
      <c r="I36" s="415"/>
      <c r="J36" s="125"/>
    </row>
    <row r="37" spans="2:10" x14ac:dyDescent="0.25">
      <c r="B37" s="22"/>
      <c r="C37" s="425" t="s">
        <v>227</v>
      </c>
      <c r="D37" s="420">
        <v>0</v>
      </c>
      <c r="E37" s="393"/>
      <c r="F37" s="393"/>
      <c r="G37" s="393"/>
      <c r="H37" s="393"/>
      <c r="I37" s="393"/>
      <c r="J37" s="125"/>
    </row>
    <row r="38" spans="2:10" ht="16.5" thickBot="1" x14ac:dyDescent="0.3">
      <c r="B38" s="22"/>
      <c r="C38" s="425" t="s">
        <v>228</v>
      </c>
      <c r="D38" s="421">
        <v>0</v>
      </c>
      <c r="E38" s="399"/>
      <c r="F38" s="399"/>
      <c r="G38" s="399"/>
      <c r="H38" s="399"/>
      <c r="I38" s="413">
        <v>0</v>
      </c>
      <c r="J38" s="125"/>
    </row>
    <row r="39" spans="2:10" ht="16.5" thickTop="1" x14ac:dyDescent="0.25">
      <c r="B39" s="22"/>
      <c r="C39" s="427" t="s">
        <v>229</v>
      </c>
      <c r="D39" s="422">
        <f>+D37+D38</f>
        <v>0</v>
      </c>
      <c r="E39" s="398">
        <f t="shared" ref="E39:I39" si="6">+E37+E38</f>
        <v>0</v>
      </c>
      <c r="F39" s="398">
        <f>+F37+F38</f>
        <v>0</v>
      </c>
      <c r="G39" s="398">
        <f>+G37+G38</f>
        <v>0</v>
      </c>
      <c r="H39" s="398">
        <f>+H37+H38</f>
        <v>0</v>
      </c>
      <c r="I39" s="414">
        <f t="shared" si="6"/>
        <v>0</v>
      </c>
      <c r="J39" s="125"/>
    </row>
    <row r="40" spans="2:10" x14ac:dyDescent="0.25">
      <c r="B40" s="22"/>
      <c r="C40" s="484" t="s">
        <v>230</v>
      </c>
      <c r="D40" s="485">
        <f t="shared" ref="D40:I40" si="7">+D35+D39</f>
        <v>0</v>
      </c>
      <c r="E40" s="486">
        <f t="shared" si="7"/>
        <v>0</v>
      </c>
      <c r="F40" s="486">
        <f t="shared" si="7"/>
        <v>0</v>
      </c>
      <c r="G40" s="486">
        <f t="shared" si="7"/>
        <v>0</v>
      </c>
      <c r="H40" s="486">
        <f t="shared" si="7"/>
        <v>0</v>
      </c>
      <c r="I40" s="487">
        <f t="shared" si="7"/>
        <v>0</v>
      </c>
      <c r="J40" s="125"/>
    </row>
    <row r="41" spans="2:10" ht="16.5" thickBot="1" x14ac:dyDescent="0.3">
      <c r="B41" s="22"/>
      <c r="C41" s="673"/>
      <c r="D41" s="673"/>
      <c r="E41" s="673"/>
      <c r="F41" s="673"/>
      <c r="G41" s="673"/>
      <c r="H41" s="673"/>
      <c r="I41" s="673"/>
      <c r="J41" s="125"/>
    </row>
    <row r="42" spans="2:10" ht="16.5" thickBot="1" x14ac:dyDescent="0.3">
      <c r="B42" s="22"/>
      <c r="C42" s="430" t="s">
        <v>34</v>
      </c>
      <c r="D42" s="674"/>
      <c r="E42" s="674"/>
      <c r="F42" s="674"/>
      <c r="G42" s="674"/>
      <c r="H42" s="674"/>
      <c r="I42" s="674"/>
      <c r="J42" s="125"/>
    </row>
    <row r="43" spans="2:10" ht="16.5" thickBot="1" x14ac:dyDescent="0.3">
      <c r="B43" s="22"/>
      <c r="C43" s="425" t="s">
        <v>231</v>
      </c>
      <c r="D43" s="482"/>
      <c r="E43" s="483">
        <f>'FLUJO DE CAJA '!G48+INVERSIONES!E42</f>
        <v>103019568.95789814</v>
      </c>
      <c r="F43" s="483">
        <f>+E43+'FLUJO DE CAJA '!H74</f>
        <v>236805673.95610663</v>
      </c>
      <c r="G43" s="483">
        <f>+F43+'FLUJO DE CAJA '!I74</f>
        <v>421942735.96462286</v>
      </c>
      <c r="H43" s="483">
        <f>+G43+'FLUJO DE CAJA '!J74</f>
        <v>663399130.068187</v>
      </c>
      <c r="I43" s="483">
        <f>+H43+'FLUJO DE CAJA '!K74</f>
        <v>965497518.05374837</v>
      </c>
      <c r="J43" s="125"/>
    </row>
    <row r="44" spans="2:10" ht="17.25" thickTop="1" thickBot="1" x14ac:dyDescent="0.3">
      <c r="B44" s="22"/>
      <c r="C44" s="488" t="s">
        <v>233</v>
      </c>
      <c r="D44" s="480">
        <f>+'BALANCE  INICIAL'!D34</f>
        <v>400000000</v>
      </c>
      <c r="E44" s="481">
        <f>+E43</f>
        <v>103019568.95789814</v>
      </c>
      <c r="F44" s="481">
        <f>+F43</f>
        <v>236805673.95610663</v>
      </c>
      <c r="G44" s="481">
        <f t="shared" ref="G44:I44" si="8">+G43</f>
        <v>421942735.96462286</v>
      </c>
      <c r="H44" s="481">
        <f t="shared" si="8"/>
        <v>663399130.068187</v>
      </c>
      <c r="I44" s="481">
        <f t="shared" si="8"/>
        <v>965497518.05374837</v>
      </c>
      <c r="J44" s="125"/>
    </row>
    <row r="45" spans="2:10" x14ac:dyDescent="0.25">
      <c r="B45" s="22"/>
      <c r="C45" s="454"/>
      <c r="D45" s="416"/>
      <c r="E45" s="416"/>
      <c r="F45" s="416"/>
      <c r="G45" s="416"/>
      <c r="H45" s="416"/>
      <c r="I45" s="416"/>
      <c r="J45" s="125"/>
    </row>
    <row r="46" spans="2:10" x14ac:dyDescent="0.25">
      <c r="B46" s="22"/>
      <c r="C46" s="434" t="s">
        <v>35</v>
      </c>
      <c r="D46" s="435">
        <f>+D44+D40</f>
        <v>400000000</v>
      </c>
      <c r="E46" s="435">
        <f>+E40+E44</f>
        <v>103019568.95789814</v>
      </c>
      <c r="F46" s="435">
        <f>+F40+F44</f>
        <v>236805673.95610663</v>
      </c>
      <c r="G46" s="435">
        <f>+G40+G44</f>
        <v>421942735.96462286</v>
      </c>
      <c r="H46" s="435">
        <f>+H40+H44</f>
        <v>663399130.068187</v>
      </c>
      <c r="I46" s="436">
        <f>+I40+I44</f>
        <v>965497518.05374837</v>
      </c>
      <c r="J46" s="125"/>
    </row>
    <row r="47" spans="2:10" x14ac:dyDescent="0.25">
      <c r="B47" s="22"/>
      <c r="C47" s="437" t="s">
        <v>31</v>
      </c>
      <c r="D47" s="438">
        <f t="shared" ref="D47:I47" si="9">+D28</f>
        <v>400000000</v>
      </c>
      <c r="E47" s="438">
        <f t="shared" si="9"/>
        <v>103019568.95789814</v>
      </c>
      <c r="F47" s="438">
        <f t="shared" si="9"/>
        <v>236805673.95610663</v>
      </c>
      <c r="G47" s="438">
        <f t="shared" si="9"/>
        <v>421942735.96462286</v>
      </c>
      <c r="H47" s="438">
        <f t="shared" si="9"/>
        <v>663399130.068187</v>
      </c>
      <c r="I47" s="439">
        <f t="shared" si="9"/>
        <v>965497518.05374837</v>
      </c>
      <c r="J47" s="125"/>
    </row>
    <row r="48" spans="2:10" x14ac:dyDescent="0.25">
      <c r="B48" s="22"/>
      <c r="C48" s="449" t="s">
        <v>234</v>
      </c>
      <c r="D48" s="450">
        <f>+D47-D46</f>
        <v>0</v>
      </c>
      <c r="E48" s="450">
        <f t="shared" ref="E48:I48" si="10">+E47-E46</f>
        <v>0</v>
      </c>
      <c r="F48" s="450">
        <f t="shared" si="10"/>
        <v>0</v>
      </c>
      <c r="G48" s="450">
        <f t="shared" si="10"/>
        <v>0</v>
      </c>
      <c r="H48" s="450">
        <f t="shared" si="10"/>
        <v>0</v>
      </c>
      <c r="I48" s="451">
        <f t="shared" si="10"/>
        <v>0</v>
      </c>
      <c r="J48" s="125"/>
    </row>
    <row r="49" spans="2:10" x14ac:dyDescent="0.25">
      <c r="B49" s="22"/>
      <c r="C49" s="440"/>
      <c r="D49" s="416"/>
      <c r="E49" s="441"/>
      <c r="F49" s="416"/>
      <c r="G49" s="416"/>
      <c r="H49" s="416"/>
      <c r="I49" s="442"/>
      <c r="J49" s="125"/>
    </row>
    <row r="50" spans="2:10" x14ac:dyDescent="0.25">
      <c r="B50" s="22"/>
      <c r="C50" s="443" t="s">
        <v>235</v>
      </c>
      <c r="D50" s="417"/>
      <c r="E50" s="417">
        <f>+E10</f>
        <v>-63356523.360000014</v>
      </c>
      <c r="F50" s="417">
        <f t="shared" ref="F50:I50" si="11">+F10</f>
        <v>134553274.84858978</v>
      </c>
      <c r="G50" s="417">
        <f t="shared" si="11"/>
        <v>264388180.30546886</v>
      </c>
      <c r="H50" s="417">
        <f t="shared" si="11"/>
        <v>406716221.55424041</v>
      </c>
      <c r="I50" s="444">
        <f t="shared" si="11"/>
        <v>559426268.62625468</v>
      </c>
      <c r="J50" s="125"/>
    </row>
    <row r="51" spans="2:10" x14ac:dyDescent="0.25">
      <c r="B51" s="22"/>
      <c r="C51" s="440"/>
      <c r="D51" s="416"/>
      <c r="E51" s="417"/>
      <c r="F51" s="417"/>
      <c r="G51" s="416"/>
      <c r="H51" s="416"/>
      <c r="I51" s="442"/>
      <c r="J51" s="125"/>
    </row>
    <row r="52" spans="2:10" x14ac:dyDescent="0.25">
      <c r="B52" s="22"/>
      <c r="C52" s="443" t="s">
        <v>236</v>
      </c>
      <c r="D52" s="416"/>
      <c r="E52" s="417" t="str">
        <f>IF(E50&gt;$C$62,"Si","No")</f>
        <v>No</v>
      </c>
      <c r="F52" s="417" t="str">
        <f>IF(F50&gt;$C$62,"Si","No")</f>
        <v>Si</v>
      </c>
      <c r="G52" s="417" t="str">
        <f>IF(G50&gt;$C$62,"Si","No")</f>
        <v>Si</v>
      </c>
      <c r="H52" s="417" t="str">
        <f>IF(H50&gt;$C$62,"Si","No")</f>
        <v>Si</v>
      </c>
      <c r="I52" s="444" t="str">
        <f>IF(I50&gt;$C$62,"Si","No")</f>
        <v>Si</v>
      </c>
      <c r="J52" s="125"/>
    </row>
    <row r="53" spans="2:10" x14ac:dyDescent="0.25">
      <c r="B53" s="22"/>
      <c r="C53" s="443" t="s">
        <v>237</v>
      </c>
      <c r="D53" s="416">
        <v>2</v>
      </c>
      <c r="E53" s="417"/>
      <c r="F53" s="416"/>
      <c r="G53" s="416"/>
      <c r="H53" s="416"/>
      <c r="I53" s="442"/>
      <c r="J53" s="125"/>
    </row>
    <row r="54" spans="2:10" x14ac:dyDescent="0.25">
      <c r="B54" s="22"/>
      <c r="C54" s="445"/>
      <c r="D54" s="446"/>
      <c r="E54" s="447"/>
      <c r="F54" s="447"/>
      <c r="G54" s="447"/>
      <c r="H54" s="447"/>
      <c r="I54" s="448"/>
      <c r="J54" s="125"/>
    </row>
    <row r="55" spans="2:10" x14ac:dyDescent="0.25">
      <c r="B55" s="22"/>
      <c r="C55" s="455"/>
      <c r="D55" s="455"/>
      <c r="E55" s="456"/>
      <c r="F55" s="456"/>
      <c r="G55" s="456"/>
      <c r="H55" s="456"/>
      <c r="I55" s="456"/>
      <c r="J55" s="125"/>
    </row>
    <row r="56" spans="2:10" x14ac:dyDescent="0.25">
      <c r="B56" s="22"/>
      <c r="C56" s="455"/>
      <c r="D56" s="455"/>
      <c r="E56" s="457"/>
      <c r="F56" s="457"/>
      <c r="G56" s="457"/>
      <c r="H56" s="457"/>
      <c r="I56" s="457"/>
      <c r="J56" s="125"/>
    </row>
    <row r="57" spans="2:10" x14ac:dyDescent="0.25">
      <c r="B57" s="22"/>
      <c r="C57" s="455"/>
      <c r="D57" s="455"/>
      <c r="E57" s="456"/>
      <c r="F57" s="455"/>
      <c r="G57" s="455"/>
      <c r="H57" s="455"/>
      <c r="I57" s="455"/>
      <c r="J57" s="125"/>
    </row>
    <row r="58" spans="2:10" ht="16.5" thickBot="1" x14ac:dyDescent="0.3">
      <c r="B58" s="77"/>
      <c r="C58" s="129"/>
      <c r="D58" s="129"/>
      <c r="E58" s="129"/>
      <c r="F58" s="129"/>
      <c r="G58" s="129"/>
      <c r="H58" s="129"/>
      <c r="I58" s="129"/>
      <c r="J58" s="130"/>
    </row>
  </sheetData>
  <mergeCells count="5">
    <mergeCell ref="C16:I16"/>
    <mergeCell ref="C4:I4"/>
    <mergeCell ref="C41:I41"/>
    <mergeCell ref="D42:I42"/>
    <mergeCell ref="D30:I30"/>
  </mergeCells>
  <pageMargins left="0.7" right="0.7" top="0.75" bottom="0.75" header="0.3" footer="0.3"/>
  <ignoredErrors>
    <ignoredError sqref="E50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4F2D-CD1D-4FA6-9103-F90042584C71}">
  <dimension ref="B2:AZ30"/>
  <sheetViews>
    <sheetView showGridLines="0" showRowColHeaders="0" zoomScale="90" zoomScaleNormal="90" workbookViewId="0"/>
  </sheetViews>
  <sheetFormatPr baseColWidth="10" defaultRowHeight="15.75" outlineLevelCol="1" x14ac:dyDescent="0.25"/>
  <cols>
    <col min="1" max="2" width="11" style="3"/>
    <col min="3" max="3" width="35.375" style="3" customWidth="1"/>
    <col min="4" max="4" width="12.375" style="3" bestFit="1" customWidth="1"/>
    <col min="5" max="5" width="13" style="3" bestFit="1" customWidth="1"/>
    <col min="6" max="8" width="13.875" style="3" bestFit="1" customWidth="1"/>
    <col min="9" max="9" width="11" style="3"/>
    <col min="10" max="10" width="11.125" style="3" hidden="1" customWidth="1" outlineLevel="1"/>
    <col min="11" max="11" width="11" style="3" hidden="1" customWidth="1" outlineLevel="1"/>
    <col min="12" max="12" width="11.125" style="3" hidden="1" customWidth="1" outlineLevel="1"/>
    <col min="13" max="13" width="11" style="3" hidden="1" customWidth="1" outlineLevel="1"/>
    <col min="14" max="14" width="11.125" style="3" hidden="1" customWidth="1" outlineLevel="1"/>
    <col min="15" max="15" width="11" style="3" hidden="1" customWidth="1" outlineLevel="1"/>
    <col min="16" max="16" width="11.125" style="3" hidden="1" customWidth="1" outlineLevel="1"/>
    <col min="17" max="17" width="11" style="3" hidden="1" customWidth="1" outlineLevel="1"/>
    <col min="18" max="18" width="11.125" style="3" hidden="1" customWidth="1" outlineLevel="1"/>
    <col min="19" max="19" width="11" style="3" hidden="1" customWidth="1" outlineLevel="1"/>
    <col min="20" max="20" width="11.125" style="3" hidden="1" customWidth="1" outlineLevel="1"/>
    <col min="21" max="21" width="11" style="3" hidden="1" customWidth="1" outlineLevel="1"/>
    <col min="22" max="22" width="11.125" style="3" hidden="1" customWidth="1" outlineLevel="1"/>
    <col min="23" max="23" width="11" style="3" hidden="1" customWidth="1" outlineLevel="1"/>
    <col min="24" max="24" width="11.125" style="3" hidden="1" customWidth="1" outlineLevel="1"/>
    <col min="25" max="25" width="11" style="3" hidden="1" customWidth="1" outlineLevel="1"/>
    <col min="26" max="26" width="11.125" style="3" hidden="1" customWidth="1" outlineLevel="1"/>
    <col min="27" max="27" width="11" style="3" hidden="1" customWidth="1" outlineLevel="1"/>
    <col min="28" max="28" width="11.125" style="3" hidden="1" customWidth="1" outlineLevel="1"/>
    <col min="29" max="29" width="11" style="3" hidden="1" customWidth="1" outlineLevel="1"/>
    <col min="30" max="30" width="11.125" style="3" hidden="1" customWidth="1" outlineLevel="1"/>
    <col min="31" max="31" width="11" style="3" hidden="1" customWidth="1" outlineLevel="1"/>
    <col min="32" max="32" width="11.125" style="3" hidden="1" customWidth="1" outlineLevel="1"/>
    <col min="33" max="33" width="11" style="3" hidden="1" customWidth="1" outlineLevel="1"/>
    <col min="34" max="34" width="11.125" style="3" hidden="1" customWidth="1" outlineLevel="1"/>
    <col min="35" max="35" width="11" style="3" hidden="1" customWidth="1" outlineLevel="1"/>
    <col min="36" max="36" width="11.125" style="3" hidden="1" customWidth="1" outlineLevel="1"/>
    <col min="37" max="37" width="11" style="3" hidden="1" customWidth="1" outlineLevel="1"/>
    <col min="38" max="38" width="11.125" style="3" hidden="1" customWidth="1" outlineLevel="1"/>
    <col min="39" max="39" width="11" style="3" hidden="1" customWidth="1" outlineLevel="1"/>
    <col min="40" max="40" width="11.125" style="3" hidden="1" customWidth="1" outlineLevel="1"/>
    <col min="41" max="41" width="11" style="3" hidden="1" customWidth="1" outlineLevel="1"/>
    <col min="42" max="42" width="11.125" style="3" hidden="1" customWidth="1" outlineLevel="1"/>
    <col min="43" max="43" width="11" style="3" hidden="1" customWidth="1" outlineLevel="1"/>
    <col min="44" max="44" width="11.125" style="3" hidden="1" customWidth="1" outlineLevel="1"/>
    <col min="45" max="45" width="11" style="3" hidden="1" customWidth="1" outlineLevel="1"/>
    <col min="46" max="46" width="11.125" style="3" hidden="1" customWidth="1" outlineLevel="1"/>
    <col min="47" max="47" width="11" style="3" hidden="1" customWidth="1" outlineLevel="1"/>
    <col min="48" max="48" width="11.125" style="3" hidden="1" customWidth="1" outlineLevel="1"/>
    <col min="49" max="49" width="11" style="3" hidden="1" customWidth="1" outlineLevel="1"/>
    <col min="50" max="50" width="11" style="3" collapsed="1"/>
    <col min="51" max="16384" width="11" style="3"/>
  </cols>
  <sheetData>
    <row r="2" spans="2:52" ht="16.5" thickBot="1" x14ac:dyDescent="0.3"/>
    <row r="3" spans="2:52" x14ac:dyDescent="0.25"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4"/>
    </row>
    <row r="4" spans="2:52" ht="16.5" thickBot="1" x14ac:dyDescent="0.3">
      <c r="B4" s="2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125"/>
    </row>
    <row r="5" spans="2:52" x14ac:dyDescent="0.25">
      <c r="B5" s="22"/>
      <c r="C5" s="517" t="s">
        <v>238</v>
      </c>
      <c r="D5" s="559" t="s">
        <v>26</v>
      </c>
      <c r="E5" s="559" t="s">
        <v>58</v>
      </c>
      <c r="F5" s="559" t="s">
        <v>28</v>
      </c>
      <c r="G5" s="559" t="s">
        <v>73</v>
      </c>
      <c r="H5" s="559" t="s">
        <v>30</v>
      </c>
      <c r="I5" s="41"/>
      <c r="J5" s="681" t="s">
        <v>239</v>
      </c>
      <c r="K5" s="681"/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1"/>
      <c r="X5" s="681"/>
      <c r="Y5" s="681"/>
      <c r="Z5" s="681"/>
      <c r="AA5" s="681"/>
      <c r="AB5" s="681"/>
      <c r="AC5" s="681"/>
      <c r="AD5" s="681"/>
      <c r="AE5" s="681"/>
      <c r="AF5" s="681"/>
      <c r="AG5" s="681"/>
      <c r="AH5" s="681"/>
      <c r="AI5" s="681"/>
      <c r="AJ5" s="681"/>
      <c r="AK5" s="681"/>
      <c r="AL5" s="681"/>
      <c r="AM5" s="681"/>
      <c r="AN5" s="681"/>
      <c r="AO5" s="681"/>
      <c r="AP5" s="681"/>
      <c r="AQ5" s="681"/>
      <c r="AR5" s="681"/>
      <c r="AS5" s="681"/>
      <c r="AT5" s="681"/>
      <c r="AU5" s="681"/>
      <c r="AV5" s="681"/>
      <c r="AW5" s="41"/>
      <c r="AX5" s="41"/>
      <c r="AY5" s="41"/>
      <c r="AZ5" s="125"/>
    </row>
    <row r="6" spans="2:52" x14ac:dyDescent="0.25">
      <c r="B6" s="22"/>
      <c r="C6" s="562" t="s">
        <v>240</v>
      </c>
      <c r="D6" s="230">
        <f>+'ESTADOS R. -  BALANCE'!E28</f>
        <v>103019568.95789814</v>
      </c>
      <c r="E6" s="230">
        <f>+'ESTADOS R. -  BALANCE'!F28</f>
        <v>236805673.95610663</v>
      </c>
      <c r="F6" s="230">
        <f>+'ESTADOS R. -  BALANCE'!G28</f>
        <v>421942735.96462286</v>
      </c>
      <c r="G6" s="230">
        <f>+'ESTADOS R. -  BALANCE'!H28</f>
        <v>663399130.068187</v>
      </c>
      <c r="H6" s="230">
        <f>+'ESTADOS R. -  BALANCE'!I28</f>
        <v>965497518.05374837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125"/>
    </row>
    <row r="7" spans="2:52" x14ac:dyDescent="0.25">
      <c r="B7" s="22"/>
      <c r="C7" s="562" t="s">
        <v>34</v>
      </c>
      <c r="D7" s="230">
        <f>+'ESTADOS R. -  BALANCE'!E44</f>
        <v>103019568.95789814</v>
      </c>
      <c r="E7" s="230">
        <f>+'ESTADOS R. -  BALANCE'!F44</f>
        <v>236805673.95610663</v>
      </c>
      <c r="F7" s="230">
        <f>+'ESTADOS R. -  BALANCE'!G44</f>
        <v>421942735.96462286</v>
      </c>
      <c r="G7" s="230">
        <f>+'ESTADOS R. -  BALANCE'!H44</f>
        <v>663399130.068187</v>
      </c>
      <c r="H7" s="230">
        <f>+'ESTADOS R. -  BALANCE'!I44</f>
        <v>965497518.05374837</v>
      </c>
      <c r="I7" s="41"/>
      <c r="J7" s="694" t="s">
        <v>26</v>
      </c>
      <c r="K7" s="695"/>
      <c r="L7" s="695"/>
      <c r="M7" s="695"/>
      <c r="N7" s="695"/>
      <c r="O7" s="695"/>
      <c r="P7" s="696"/>
      <c r="Q7" s="41"/>
      <c r="R7" s="694" t="s">
        <v>58</v>
      </c>
      <c r="S7" s="695"/>
      <c r="T7" s="695"/>
      <c r="U7" s="695"/>
      <c r="V7" s="695"/>
      <c r="W7" s="695"/>
      <c r="X7" s="696"/>
      <c r="Y7" s="41"/>
      <c r="Z7" s="694" t="s">
        <v>28</v>
      </c>
      <c r="AA7" s="695"/>
      <c r="AB7" s="695"/>
      <c r="AC7" s="695"/>
      <c r="AD7" s="695"/>
      <c r="AE7" s="695"/>
      <c r="AF7" s="696"/>
      <c r="AG7" s="41"/>
      <c r="AH7" s="694" t="s">
        <v>73</v>
      </c>
      <c r="AI7" s="695"/>
      <c r="AJ7" s="695"/>
      <c r="AK7" s="695"/>
      <c r="AL7" s="695"/>
      <c r="AM7" s="695"/>
      <c r="AN7" s="696"/>
      <c r="AO7" s="41"/>
      <c r="AP7" s="694" t="s">
        <v>30</v>
      </c>
      <c r="AQ7" s="695"/>
      <c r="AR7" s="695"/>
      <c r="AS7" s="695"/>
      <c r="AT7" s="695"/>
      <c r="AU7" s="695"/>
      <c r="AV7" s="696"/>
      <c r="AW7" s="41"/>
      <c r="AX7" s="41"/>
      <c r="AY7" s="41"/>
      <c r="AZ7" s="125"/>
    </row>
    <row r="8" spans="2:52" ht="15.75" customHeight="1" x14ac:dyDescent="0.25">
      <c r="B8" s="22"/>
      <c r="C8" s="562" t="s">
        <v>241</v>
      </c>
      <c r="D8" s="231">
        <f>+'DATOS '!E24</f>
        <v>0.33</v>
      </c>
      <c r="E8" s="231">
        <f>+D8</f>
        <v>0.33</v>
      </c>
      <c r="F8" s="231">
        <f t="shared" ref="F8:H11" si="0">+E8</f>
        <v>0.33</v>
      </c>
      <c r="G8" s="231">
        <f t="shared" si="0"/>
        <v>0.33</v>
      </c>
      <c r="H8" s="231">
        <f t="shared" si="0"/>
        <v>0.33</v>
      </c>
      <c r="I8" s="41"/>
      <c r="J8" s="566" t="s">
        <v>242</v>
      </c>
      <c r="K8" s="41"/>
      <c r="L8" s="567" t="s">
        <v>243</v>
      </c>
      <c r="M8" s="41"/>
      <c r="N8" s="567" t="s">
        <v>244</v>
      </c>
      <c r="O8" s="41"/>
      <c r="P8" s="568" t="s">
        <v>245</v>
      </c>
      <c r="Q8" s="41"/>
      <c r="R8" s="566" t="s">
        <v>242</v>
      </c>
      <c r="S8" s="41"/>
      <c r="T8" s="567" t="s">
        <v>243</v>
      </c>
      <c r="U8" s="41"/>
      <c r="V8" s="567" t="s">
        <v>244</v>
      </c>
      <c r="W8" s="41"/>
      <c r="X8" s="568" t="s">
        <v>245</v>
      </c>
      <c r="Y8" s="41"/>
      <c r="Z8" s="566" t="s">
        <v>242</v>
      </c>
      <c r="AA8" s="41"/>
      <c r="AB8" s="567" t="s">
        <v>243</v>
      </c>
      <c r="AC8" s="41"/>
      <c r="AD8" s="567" t="s">
        <v>244</v>
      </c>
      <c r="AE8" s="41"/>
      <c r="AF8" s="568" t="s">
        <v>245</v>
      </c>
      <c r="AG8" s="41"/>
      <c r="AH8" s="566" t="s">
        <v>242</v>
      </c>
      <c r="AI8" s="41"/>
      <c r="AJ8" s="567" t="s">
        <v>243</v>
      </c>
      <c r="AK8" s="41"/>
      <c r="AL8" s="567" t="s">
        <v>244</v>
      </c>
      <c r="AM8" s="41"/>
      <c r="AN8" s="568" t="s">
        <v>245</v>
      </c>
      <c r="AO8" s="41"/>
      <c r="AP8" s="566" t="s">
        <v>242</v>
      </c>
      <c r="AQ8" s="41"/>
      <c r="AR8" s="567" t="s">
        <v>243</v>
      </c>
      <c r="AS8" s="41"/>
      <c r="AT8" s="567" t="s">
        <v>244</v>
      </c>
      <c r="AU8" s="41"/>
      <c r="AV8" s="568" t="s">
        <v>245</v>
      </c>
      <c r="AW8" s="41"/>
      <c r="AX8" s="41"/>
      <c r="AY8" s="41"/>
      <c r="AZ8" s="125"/>
    </row>
    <row r="9" spans="2:52" x14ac:dyDescent="0.25">
      <c r="B9" s="22"/>
      <c r="C9" s="562" t="s">
        <v>246</v>
      </c>
      <c r="D9" s="232">
        <v>0.74</v>
      </c>
      <c r="E9" s="232">
        <f>+D9</f>
        <v>0.74</v>
      </c>
      <c r="F9" s="232">
        <f t="shared" si="0"/>
        <v>0.74</v>
      </c>
      <c r="G9" s="232">
        <f t="shared" si="0"/>
        <v>0.74</v>
      </c>
      <c r="H9" s="232">
        <f t="shared" si="0"/>
        <v>0.74</v>
      </c>
      <c r="I9" s="41"/>
      <c r="J9" s="569">
        <f>+D14</f>
        <v>3.5000000000000003E-2</v>
      </c>
      <c r="K9" s="41"/>
      <c r="L9" s="570">
        <f>+D10</f>
        <v>1.8100000000000002E-2</v>
      </c>
      <c r="M9" s="41"/>
      <c r="N9" s="570">
        <f>+D13</f>
        <v>4.4999999999999998E-2</v>
      </c>
      <c r="O9" s="41"/>
      <c r="P9" s="571">
        <f>+D20</f>
        <v>0.74</v>
      </c>
      <c r="Q9" s="41"/>
      <c r="R9" s="569">
        <f>+E14</f>
        <v>3.5000000000000003E-2</v>
      </c>
      <c r="S9" s="41"/>
      <c r="T9" s="570">
        <f>+E10</f>
        <v>1.8100000000000002E-2</v>
      </c>
      <c r="U9" s="41"/>
      <c r="V9" s="570">
        <f>+E13</f>
        <v>4.4999999999999998E-2</v>
      </c>
      <c r="W9" s="41"/>
      <c r="X9" s="571">
        <f>+E20</f>
        <v>0.74</v>
      </c>
      <c r="Y9" s="41"/>
      <c r="Z9" s="569">
        <f>+F14</f>
        <v>3.5000000000000003E-2</v>
      </c>
      <c r="AA9" s="41"/>
      <c r="AB9" s="570">
        <f>+F10</f>
        <v>1.8100000000000002E-2</v>
      </c>
      <c r="AC9" s="41"/>
      <c r="AD9" s="570">
        <f>+F13</f>
        <v>4.4999999999999998E-2</v>
      </c>
      <c r="AE9" s="41"/>
      <c r="AF9" s="571">
        <f>+F20</f>
        <v>0.74</v>
      </c>
      <c r="AG9" s="41"/>
      <c r="AH9" s="569">
        <f>+G14</f>
        <v>3.5000000000000003E-2</v>
      </c>
      <c r="AI9" s="41"/>
      <c r="AJ9" s="570">
        <f>+G10</f>
        <v>1.8100000000000002E-2</v>
      </c>
      <c r="AK9" s="41"/>
      <c r="AL9" s="570">
        <f>+G13</f>
        <v>4.4999999999999998E-2</v>
      </c>
      <c r="AM9" s="41"/>
      <c r="AN9" s="571">
        <f>+G20</f>
        <v>0.74</v>
      </c>
      <c r="AO9" s="41"/>
      <c r="AP9" s="569">
        <f>+H14</f>
        <v>3.5000000000000003E-2</v>
      </c>
      <c r="AQ9" s="41"/>
      <c r="AR9" s="570">
        <f>+H10</f>
        <v>1.8100000000000002E-2</v>
      </c>
      <c r="AS9" s="41"/>
      <c r="AT9" s="570">
        <f>+H13</f>
        <v>4.4999999999999998E-2</v>
      </c>
      <c r="AU9" s="41"/>
      <c r="AV9" s="571">
        <f>+H20</f>
        <v>0.74</v>
      </c>
      <c r="AW9" s="41"/>
      <c r="AX9" s="41"/>
      <c r="AY9" s="41"/>
      <c r="AZ9" s="125"/>
    </row>
    <row r="10" spans="2:52" x14ac:dyDescent="0.25">
      <c r="B10" s="22"/>
      <c r="C10" s="562" t="s">
        <v>243</v>
      </c>
      <c r="D10" s="233">
        <v>1.8100000000000002E-2</v>
      </c>
      <c r="E10" s="233">
        <f>+D10</f>
        <v>1.8100000000000002E-2</v>
      </c>
      <c r="F10" s="233">
        <f t="shared" si="0"/>
        <v>1.8100000000000002E-2</v>
      </c>
      <c r="G10" s="233">
        <f t="shared" si="0"/>
        <v>1.8100000000000002E-2</v>
      </c>
      <c r="H10" s="233">
        <f t="shared" si="0"/>
        <v>1.8100000000000002E-2</v>
      </c>
      <c r="I10" s="41"/>
      <c r="J10" s="572"/>
      <c r="K10" s="573" t="s">
        <v>879</v>
      </c>
      <c r="L10" s="574"/>
      <c r="M10" s="573"/>
      <c r="N10" s="574"/>
      <c r="O10" s="573" t="s">
        <v>880</v>
      </c>
      <c r="P10" s="575"/>
      <c r="Q10" s="574"/>
      <c r="R10" s="584"/>
      <c r="S10" s="585" t="s">
        <v>879</v>
      </c>
      <c r="T10" s="574"/>
      <c r="U10" s="574"/>
      <c r="V10" s="574"/>
      <c r="W10" s="573" t="s">
        <v>880</v>
      </c>
      <c r="X10" s="575"/>
      <c r="Y10" s="574"/>
      <c r="Z10" s="584"/>
      <c r="AA10" s="585" t="s">
        <v>879</v>
      </c>
      <c r="AB10" s="574"/>
      <c r="AC10" s="574"/>
      <c r="AD10" s="574"/>
      <c r="AE10" s="573" t="s">
        <v>880</v>
      </c>
      <c r="AF10" s="575"/>
      <c r="AG10" s="574"/>
      <c r="AH10" s="584"/>
      <c r="AI10" s="573" t="s">
        <v>879</v>
      </c>
      <c r="AJ10" s="574"/>
      <c r="AK10" s="574"/>
      <c r="AL10" s="574"/>
      <c r="AM10" s="573" t="s">
        <v>880</v>
      </c>
      <c r="AN10" s="575"/>
      <c r="AO10" s="574"/>
      <c r="AP10" s="584"/>
      <c r="AQ10" s="585" t="s">
        <v>879</v>
      </c>
      <c r="AR10" s="574"/>
      <c r="AS10" s="574"/>
      <c r="AT10" s="574"/>
      <c r="AU10" s="573" t="s">
        <v>880</v>
      </c>
      <c r="AV10" s="575"/>
      <c r="AW10" s="574"/>
      <c r="AX10" s="41"/>
      <c r="AY10" s="41"/>
      <c r="AZ10" s="125"/>
    </row>
    <row r="11" spans="2:52" x14ac:dyDescent="0.25">
      <c r="B11" s="22"/>
      <c r="C11" s="562" t="s">
        <v>247</v>
      </c>
      <c r="D11" s="234">
        <v>0.01</v>
      </c>
      <c r="E11" s="234">
        <f>+D11</f>
        <v>0.01</v>
      </c>
      <c r="F11" s="234">
        <f t="shared" si="0"/>
        <v>0.01</v>
      </c>
      <c r="G11" s="234">
        <f t="shared" si="0"/>
        <v>0.01</v>
      </c>
      <c r="H11" s="234">
        <f t="shared" si="0"/>
        <v>0.01</v>
      </c>
      <c r="I11" s="41"/>
      <c r="J11" s="693" t="s">
        <v>248</v>
      </c>
      <c r="K11" s="688"/>
      <c r="L11" s="688"/>
      <c r="M11" s="41"/>
      <c r="N11" s="688" t="s">
        <v>249</v>
      </c>
      <c r="O11" s="688"/>
      <c r="P11" s="689"/>
      <c r="Q11" s="41"/>
      <c r="R11" s="693" t="s">
        <v>248</v>
      </c>
      <c r="S11" s="688"/>
      <c r="T11" s="688"/>
      <c r="U11" s="41"/>
      <c r="V11" s="688" t="s">
        <v>249</v>
      </c>
      <c r="W11" s="688"/>
      <c r="X11" s="689"/>
      <c r="Y11" s="41"/>
      <c r="Z11" s="693" t="s">
        <v>248</v>
      </c>
      <c r="AA11" s="688"/>
      <c r="AB11" s="688"/>
      <c r="AC11" s="41"/>
      <c r="AD11" s="688" t="s">
        <v>249</v>
      </c>
      <c r="AE11" s="688"/>
      <c r="AF11" s="689"/>
      <c r="AG11" s="41"/>
      <c r="AH11" s="693" t="s">
        <v>248</v>
      </c>
      <c r="AI11" s="688"/>
      <c r="AJ11" s="688"/>
      <c r="AK11" s="41"/>
      <c r="AL11" s="688" t="s">
        <v>249</v>
      </c>
      <c r="AM11" s="688"/>
      <c r="AN11" s="689"/>
      <c r="AO11" s="41"/>
      <c r="AP11" s="693" t="s">
        <v>248</v>
      </c>
      <c r="AQ11" s="688"/>
      <c r="AR11" s="688"/>
      <c r="AS11" s="41"/>
      <c r="AT11" s="688" t="s">
        <v>249</v>
      </c>
      <c r="AU11" s="688"/>
      <c r="AV11" s="689"/>
      <c r="AW11" s="41"/>
      <c r="AX11" s="41"/>
      <c r="AY11" s="41"/>
      <c r="AZ11" s="125"/>
    </row>
    <row r="12" spans="2:52" x14ac:dyDescent="0.25">
      <c r="B12" s="22"/>
      <c r="C12" s="562" t="s">
        <v>250</v>
      </c>
      <c r="D12" s="233">
        <f>+'DATOS '!E18</f>
        <v>2.46E-2</v>
      </c>
      <c r="E12" s="233">
        <f>+'DATOS '!F18</f>
        <v>3.2800000000000003E-2</v>
      </c>
      <c r="F12" s="233">
        <f>+'DATOS '!G18</f>
        <v>3.4000000000000002E-2</v>
      </c>
      <c r="G12" s="233">
        <f>+'DATOS '!H18</f>
        <v>3.5999999999999997E-2</v>
      </c>
      <c r="H12" s="233">
        <f>+'DATOS '!I18</f>
        <v>3.5999999999999997E-2</v>
      </c>
      <c r="I12" s="41"/>
      <c r="J12" s="692">
        <f>+J9+L9</f>
        <v>5.3100000000000008E-2</v>
      </c>
      <c r="K12" s="683"/>
      <c r="L12" s="683"/>
      <c r="M12" s="41"/>
      <c r="N12" s="690">
        <f>+N9*P9</f>
        <v>3.3299999999999996E-2</v>
      </c>
      <c r="O12" s="690"/>
      <c r="P12" s="691"/>
      <c r="Q12" s="41"/>
      <c r="R12" s="692">
        <f>+R9+T9</f>
        <v>5.3100000000000008E-2</v>
      </c>
      <c r="S12" s="683"/>
      <c r="T12" s="683"/>
      <c r="U12" s="41"/>
      <c r="V12" s="690">
        <f>+V9*X9</f>
        <v>3.3299999999999996E-2</v>
      </c>
      <c r="W12" s="690"/>
      <c r="X12" s="691"/>
      <c r="Y12" s="41"/>
      <c r="Z12" s="692">
        <f>+Z9+AB9</f>
        <v>5.3100000000000008E-2</v>
      </c>
      <c r="AA12" s="683"/>
      <c r="AB12" s="683"/>
      <c r="AC12" s="41"/>
      <c r="AD12" s="690">
        <f>+AD9*AF9</f>
        <v>3.3299999999999996E-2</v>
      </c>
      <c r="AE12" s="690"/>
      <c r="AF12" s="691"/>
      <c r="AG12" s="41"/>
      <c r="AH12" s="692">
        <f>+AH9+AJ9</f>
        <v>5.3100000000000008E-2</v>
      </c>
      <c r="AI12" s="683"/>
      <c r="AJ12" s="683"/>
      <c r="AK12" s="41"/>
      <c r="AL12" s="690">
        <f>+AL9*AN9</f>
        <v>3.3299999999999996E-2</v>
      </c>
      <c r="AM12" s="690"/>
      <c r="AN12" s="691"/>
      <c r="AO12" s="41"/>
      <c r="AP12" s="692">
        <f>+AP9+AR9</f>
        <v>5.3100000000000008E-2</v>
      </c>
      <c r="AQ12" s="683"/>
      <c r="AR12" s="683"/>
      <c r="AS12" s="41"/>
      <c r="AT12" s="690">
        <f>+AT9*AV9</f>
        <v>3.3299999999999996E-2</v>
      </c>
      <c r="AU12" s="690"/>
      <c r="AV12" s="691"/>
      <c r="AW12" s="41"/>
      <c r="AX12" s="41"/>
      <c r="AY12" s="41"/>
      <c r="AZ12" s="125"/>
    </row>
    <row r="13" spans="2:52" x14ac:dyDescent="0.25">
      <c r="B13" s="22"/>
      <c r="C13" s="562" t="s">
        <v>244</v>
      </c>
      <c r="D13" s="233">
        <v>4.4999999999999998E-2</v>
      </c>
      <c r="E13" s="233">
        <f>+D13</f>
        <v>4.4999999999999998E-2</v>
      </c>
      <c r="F13" s="233">
        <f t="shared" ref="F13:H13" si="1">+E13</f>
        <v>4.4999999999999998E-2</v>
      </c>
      <c r="G13" s="233">
        <f t="shared" si="1"/>
        <v>4.4999999999999998E-2</v>
      </c>
      <c r="H13" s="233">
        <f t="shared" si="1"/>
        <v>4.4999999999999998E-2</v>
      </c>
      <c r="I13" s="41"/>
      <c r="J13" s="572"/>
      <c r="K13" s="41"/>
      <c r="L13" s="574"/>
      <c r="M13" s="573" t="s">
        <v>879</v>
      </c>
      <c r="N13" s="574"/>
      <c r="O13" s="574"/>
      <c r="P13" s="575"/>
      <c r="Q13" s="574"/>
      <c r="R13" s="584"/>
      <c r="S13" s="574"/>
      <c r="T13" s="574"/>
      <c r="U13" s="573" t="s">
        <v>879</v>
      </c>
      <c r="V13" s="574"/>
      <c r="W13" s="574"/>
      <c r="X13" s="575"/>
      <c r="Y13" s="574"/>
      <c r="Z13" s="584"/>
      <c r="AA13" s="574"/>
      <c r="AB13" s="574"/>
      <c r="AC13" s="573" t="s">
        <v>879</v>
      </c>
      <c r="AD13" s="574"/>
      <c r="AE13" s="574"/>
      <c r="AF13" s="575"/>
      <c r="AG13" s="574"/>
      <c r="AH13" s="584"/>
      <c r="AI13" s="574"/>
      <c r="AJ13" s="574"/>
      <c r="AK13" s="573" t="s">
        <v>879</v>
      </c>
      <c r="AL13" s="574"/>
      <c r="AM13" s="574"/>
      <c r="AN13" s="575"/>
      <c r="AO13" s="574"/>
      <c r="AP13" s="584"/>
      <c r="AQ13" s="574"/>
      <c r="AR13" s="574"/>
      <c r="AS13" s="573" t="s">
        <v>879</v>
      </c>
      <c r="AT13" s="574"/>
      <c r="AU13" s="574"/>
      <c r="AV13" s="575"/>
      <c r="AW13" s="574"/>
      <c r="AX13" s="574"/>
      <c r="AY13" s="41"/>
      <c r="AZ13" s="125"/>
    </row>
    <row r="14" spans="2:52" x14ac:dyDescent="0.25">
      <c r="B14" s="22"/>
      <c r="C14" s="562" t="s">
        <v>242</v>
      </c>
      <c r="D14" s="233">
        <v>3.5000000000000003E-2</v>
      </c>
      <c r="E14" s="233">
        <f t="shared" ref="E14:H15" si="2">+D14</f>
        <v>3.5000000000000003E-2</v>
      </c>
      <c r="F14" s="233">
        <f t="shared" si="2"/>
        <v>3.5000000000000003E-2</v>
      </c>
      <c r="G14" s="233">
        <f t="shared" si="2"/>
        <v>3.5000000000000003E-2</v>
      </c>
      <c r="H14" s="233">
        <f t="shared" si="2"/>
        <v>3.5000000000000003E-2</v>
      </c>
      <c r="I14" s="41"/>
      <c r="J14" s="572"/>
      <c r="K14" s="41"/>
      <c r="L14" s="688" t="s">
        <v>251</v>
      </c>
      <c r="M14" s="688"/>
      <c r="N14" s="688"/>
      <c r="O14" s="41"/>
      <c r="P14" s="576" t="s">
        <v>252</v>
      </c>
      <c r="Q14" s="41"/>
      <c r="R14" s="572"/>
      <c r="S14" s="41"/>
      <c r="T14" s="688" t="s">
        <v>251</v>
      </c>
      <c r="U14" s="688"/>
      <c r="V14" s="688"/>
      <c r="W14" s="41"/>
      <c r="X14" s="576" t="s">
        <v>252</v>
      </c>
      <c r="Y14" s="41"/>
      <c r="Z14" s="572"/>
      <c r="AA14" s="41"/>
      <c r="AB14" s="688" t="s">
        <v>251</v>
      </c>
      <c r="AC14" s="688"/>
      <c r="AD14" s="688"/>
      <c r="AE14" s="41"/>
      <c r="AF14" s="576" t="s">
        <v>252</v>
      </c>
      <c r="AG14" s="41"/>
      <c r="AH14" s="572"/>
      <c r="AI14" s="41"/>
      <c r="AJ14" s="688" t="s">
        <v>251</v>
      </c>
      <c r="AK14" s="688"/>
      <c r="AL14" s="688"/>
      <c r="AM14" s="41"/>
      <c r="AN14" s="576" t="s">
        <v>252</v>
      </c>
      <c r="AO14" s="41"/>
      <c r="AP14" s="572"/>
      <c r="AQ14" s="41"/>
      <c r="AR14" s="688" t="s">
        <v>251</v>
      </c>
      <c r="AS14" s="688"/>
      <c r="AT14" s="688"/>
      <c r="AU14" s="41"/>
      <c r="AV14" s="576" t="s">
        <v>252</v>
      </c>
      <c r="AW14" s="41"/>
      <c r="AX14" s="41"/>
      <c r="AY14" s="41"/>
      <c r="AZ14" s="125"/>
    </row>
    <row r="15" spans="2:52" x14ac:dyDescent="0.25">
      <c r="B15" s="22"/>
      <c r="C15" s="562" t="s">
        <v>253</v>
      </c>
      <c r="D15" s="233">
        <v>2.8299999999999999E-2</v>
      </c>
      <c r="E15" s="233">
        <f t="shared" si="2"/>
        <v>2.8299999999999999E-2</v>
      </c>
      <c r="F15" s="233">
        <f t="shared" si="2"/>
        <v>2.8299999999999999E-2</v>
      </c>
      <c r="G15" s="233">
        <f t="shared" si="2"/>
        <v>2.8299999999999999E-2</v>
      </c>
      <c r="H15" s="233">
        <f t="shared" si="2"/>
        <v>2.8299999999999999E-2</v>
      </c>
      <c r="I15" s="41"/>
      <c r="J15" s="572"/>
      <c r="K15" s="41"/>
      <c r="L15" s="682">
        <f>+J12+N12</f>
        <v>8.6400000000000005E-2</v>
      </c>
      <c r="M15" s="683"/>
      <c r="N15" s="683"/>
      <c r="O15" s="41"/>
      <c r="P15" s="577">
        <f>((1+D12)/(1+D11))-1</f>
        <v>1.4455445544554468E-2</v>
      </c>
      <c r="Q15" s="41"/>
      <c r="R15" s="572"/>
      <c r="S15" s="41"/>
      <c r="T15" s="682">
        <f>+R12+V12</f>
        <v>8.6400000000000005E-2</v>
      </c>
      <c r="U15" s="683"/>
      <c r="V15" s="683"/>
      <c r="W15" s="41"/>
      <c r="X15" s="577">
        <f>((1+E12)/(1+E11))-1</f>
        <v>2.2574257425742594E-2</v>
      </c>
      <c r="Y15" s="41"/>
      <c r="Z15" s="572"/>
      <c r="AA15" s="41"/>
      <c r="AB15" s="682">
        <f>+Z12+AD12</f>
        <v>8.6400000000000005E-2</v>
      </c>
      <c r="AC15" s="683"/>
      <c r="AD15" s="683"/>
      <c r="AE15" s="41"/>
      <c r="AF15" s="577">
        <f>((1+F12)/(1+F11))-1</f>
        <v>2.3762376237623783E-2</v>
      </c>
      <c r="AG15" s="41"/>
      <c r="AH15" s="572"/>
      <c r="AI15" s="41"/>
      <c r="AJ15" s="682">
        <f>+AH12+AL12</f>
        <v>8.6400000000000005E-2</v>
      </c>
      <c r="AK15" s="683"/>
      <c r="AL15" s="683"/>
      <c r="AM15" s="41"/>
      <c r="AN15" s="577">
        <f>((1+G12)/(1+G11))-1</f>
        <v>2.5742574257425765E-2</v>
      </c>
      <c r="AO15" s="41"/>
      <c r="AP15" s="572"/>
      <c r="AQ15" s="41"/>
      <c r="AR15" s="682">
        <f>+AP12+AT12</f>
        <v>8.6400000000000005E-2</v>
      </c>
      <c r="AS15" s="683"/>
      <c r="AT15" s="683"/>
      <c r="AU15" s="41"/>
      <c r="AV15" s="577">
        <f>((1+H12)/(1+H11))-1</f>
        <v>2.5742574257425765E-2</v>
      </c>
      <c r="AW15" s="41"/>
      <c r="AX15" s="41"/>
      <c r="AY15" s="41"/>
      <c r="AZ15" s="125"/>
    </row>
    <row r="16" spans="2:52" x14ac:dyDescent="0.25">
      <c r="B16" s="22"/>
      <c r="C16" s="562"/>
      <c r="D16" s="235"/>
      <c r="E16" s="235"/>
      <c r="F16" s="235"/>
      <c r="G16" s="235"/>
      <c r="H16" s="235"/>
      <c r="I16" s="41"/>
      <c r="J16" s="572"/>
      <c r="K16" s="41"/>
      <c r="L16" s="41"/>
      <c r="M16" s="41"/>
      <c r="N16" s="578"/>
      <c r="O16" s="573" t="s">
        <v>879</v>
      </c>
      <c r="P16" s="579"/>
      <c r="Q16" s="578"/>
      <c r="R16" s="586"/>
      <c r="S16" s="578"/>
      <c r="T16" s="578"/>
      <c r="U16" s="578"/>
      <c r="V16" s="578"/>
      <c r="W16" s="573" t="s">
        <v>879</v>
      </c>
      <c r="X16" s="579"/>
      <c r="Y16" s="578"/>
      <c r="Z16" s="586"/>
      <c r="AA16" s="578"/>
      <c r="AB16" s="578"/>
      <c r="AC16" s="578"/>
      <c r="AD16" s="578"/>
      <c r="AE16" s="573" t="s">
        <v>879</v>
      </c>
      <c r="AF16" s="579"/>
      <c r="AG16" s="578"/>
      <c r="AH16" s="586"/>
      <c r="AI16" s="578"/>
      <c r="AJ16" s="578"/>
      <c r="AK16" s="578"/>
      <c r="AL16" s="578"/>
      <c r="AM16" s="573" t="s">
        <v>879</v>
      </c>
      <c r="AN16" s="579"/>
      <c r="AO16" s="578"/>
      <c r="AP16" s="586"/>
      <c r="AQ16" s="578"/>
      <c r="AR16" s="578"/>
      <c r="AS16" s="578"/>
      <c r="AT16" s="578"/>
      <c r="AU16" s="573" t="s">
        <v>879</v>
      </c>
      <c r="AV16" s="579"/>
      <c r="AW16" s="41"/>
      <c r="AX16" s="41"/>
      <c r="AY16" s="41"/>
      <c r="AZ16" s="125"/>
    </row>
    <row r="17" spans="2:52" x14ac:dyDescent="0.25">
      <c r="B17" s="22"/>
      <c r="C17" s="563" t="s">
        <v>254</v>
      </c>
      <c r="D17" s="236">
        <f>+D14+D10</f>
        <v>5.3100000000000008E-2</v>
      </c>
      <c r="E17" s="236">
        <f>+E14+E10</f>
        <v>5.3100000000000008E-2</v>
      </c>
      <c r="F17" s="236">
        <f>+F14+F10</f>
        <v>5.3100000000000008E-2</v>
      </c>
      <c r="G17" s="236">
        <f>+G14+G10</f>
        <v>5.3100000000000008E-2</v>
      </c>
      <c r="H17" s="236">
        <f>+H14+H10</f>
        <v>5.3100000000000008E-2</v>
      </c>
      <c r="I17" s="41"/>
      <c r="J17" s="572"/>
      <c r="K17" s="41"/>
      <c r="L17" s="41"/>
      <c r="M17" s="41"/>
      <c r="N17" s="688" t="s">
        <v>255</v>
      </c>
      <c r="O17" s="688"/>
      <c r="P17" s="689"/>
      <c r="Q17" s="41"/>
      <c r="R17" s="572"/>
      <c r="S17" s="41"/>
      <c r="T17" s="41"/>
      <c r="U17" s="41"/>
      <c r="V17" s="688" t="s">
        <v>255</v>
      </c>
      <c r="W17" s="688"/>
      <c r="X17" s="689"/>
      <c r="Y17" s="41"/>
      <c r="Z17" s="572"/>
      <c r="AA17" s="41"/>
      <c r="AB17" s="41"/>
      <c r="AC17" s="41"/>
      <c r="AD17" s="688" t="s">
        <v>255</v>
      </c>
      <c r="AE17" s="688"/>
      <c r="AF17" s="689"/>
      <c r="AG17" s="41"/>
      <c r="AH17" s="572"/>
      <c r="AI17" s="41"/>
      <c r="AJ17" s="41"/>
      <c r="AK17" s="41"/>
      <c r="AL17" s="688" t="s">
        <v>255</v>
      </c>
      <c r="AM17" s="688"/>
      <c r="AN17" s="689"/>
      <c r="AO17" s="41"/>
      <c r="AP17" s="572"/>
      <c r="AQ17" s="41"/>
      <c r="AR17" s="41"/>
      <c r="AS17" s="41"/>
      <c r="AT17" s="688" t="s">
        <v>260</v>
      </c>
      <c r="AU17" s="688"/>
      <c r="AV17" s="689"/>
      <c r="AW17" s="41"/>
      <c r="AX17" s="41"/>
      <c r="AY17" s="41"/>
      <c r="AZ17" s="125"/>
    </row>
    <row r="18" spans="2:52" x14ac:dyDescent="0.25">
      <c r="B18" s="22"/>
      <c r="C18" s="562" t="s">
        <v>256</v>
      </c>
      <c r="D18" s="237">
        <f>+(D6-D7)/D6</f>
        <v>0</v>
      </c>
      <c r="E18" s="237">
        <f>+(E6-E7)/E6</f>
        <v>0</v>
      </c>
      <c r="F18" s="237">
        <f>+(F6-F7)/F6</f>
        <v>0</v>
      </c>
      <c r="G18" s="237">
        <f>+(G6-G7)/G6</f>
        <v>0</v>
      </c>
      <c r="H18" s="237">
        <f>+(H6-H7)/H6</f>
        <v>0</v>
      </c>
      <c r="I18" s="41"/>
      <c r="J18" s="572"/>
      <c r="K18" s="41"/>
      <c r="L18" s="41"/>
      <c r="M18" s="41"/>
      <c r="N18" s="682">
        <f>+L15+P15</f>
        <v>0.10085544554455447</v>
      </c>
      <c r="O18" s="683"/>
      <c r="P18" s="684"/>
      <c r="Q18" s="41"/>
      <c r="R18" s="572"/>
      <c r="S18" s="41"/>
      <c r="T18" s="41"/>
      <c r="U18" s="41"/>
      <c r="V18" s="682">
        <f>+T15+X15</f>
        <v>0.1089742574257426</v>
      </c>
      <c r="W18" s="683"/>
      <c r="X18" s="684"/>
      <c r="Y18" s="41"/>
      <c r="Z18" s="572"/>
      <c r="AA18" s="41"/>
      <c r="AB18" s="41"/>
      <c r="AC18" s="41"/>
      <c r="AD18" s="682">
        <f>+AB15+AF15</f>
        <v>0.11016237623762379</v>
      </c>
      <c r="AE18" s="683"/>
      <c r="AF18" s="684"/>
      <c r="AG18" s="41"/>
      <c r="AH18" s="580"/>
      <c r="AI18" s="581"/>
      <c r="AJ18" s="581"/>
      <c r="AK18" s="581"/>
      <c r="AL18" s="685">
        <f>+AJ15+AN15</f>
        <v>0.11214257425742577</v>
      </c>
      <c r="AM18" s="686"/>
      <c r="AN18" s="687"/>
      <c r="AO18" s="41"/>
      <c r="AP18" s="580"/>
      <c r="AQ18" s="581"/>
      <c r="AR18" s="581"/>
      <c r="AS18" s="581"/>
      <c r="AT18" s="685">
        <f>+AR15+AV15</f>
        <v>0.11214257425742577</v>
      </c>
      <c r="AU18" s="686"/>
      <c r="AV18" s="687"/>
      <c r="AW18" s="41"/>
      <c r="AX18" s="41"/>
      <c r="AY18" s="41"/>
      <c r="AZ18" s="125"/>
    </row>
    <row r="19" spans="2:52" x14ac:dyDescent="0.25">
      <c r="B19" s="22"/>
      <c r="C19" s="562" t="s">
        <v>257</v>
      </c>
      <c r="D19" s="237">
        <f>+D7/D6</f>
        <v>1</v>
      </c>
      <c r="E19" s="237">
        <f>+E7/E6</f>
        <v>1</v>
      </c>
      <c r="F19" s="237">
        <f>+F7/F6</f>
        <v>1</v>
      </c>
      <c r="G19" s="237">
        <f>+G7/G6</f>
        <v>1</v>
      </c>
      <c r="H19" s="237">
        <f>+H7/H6</f>
        <v>1</v>
      </c>
      <c r="I19" s="41"/>
      <c r="J19" s="580"/>
      <c r="K19" s="581"/>
      <c r="L19" s="581"/>
      <c r="M19" s="581"/>
      <c r="N19" s="582"/>
      <c r="O19" s="581"/>
      <c r="P19" s="583"/>
      <c r="Q19" s="41"/>
      <c r="R19" s="580"/>
      <c r="S19" s="581"/>
      <c r="T19" s="581"/>
      <c r="U19" s="581"/>
      <c r="V19" s="582"/>
      <c r="W19" s="581"/>
      <c r="X19" s="583"/>
      <c r="Y19" s="41"/>
      <c r="Z19" s="580"/>
      <c r="AA19" s="581"/>
      <c r="AB19" s="581"/>
      <c r="AC19" s="581"/>
      <c r="AD19" s="581"/>
      <c r="AE19" s="581"/>
      <c r="AF19" s="583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125"/>
    </row>
    <row r="20" spans="2:52" x14ac:dyDescent="0.25">
      <c r="B20" s="22"/>
      <c r="C20" s="562" t="s">
        <v>245</v>
      </c>
      <c r="D20" s="238">
        <f>D9*(1+(D18/D19)*(1-D8))</f>
        <v>0.74</v>
      </c>
      <c r="E20" s="238">
        <f>E9*(1+(E18/E19)*(1-E8))</f>
        <v>0.74</v>
      </c>
      <c r="F20" s="238">
        <f>F9*(1+(F18/F19)*(1-F8))</f>
        <v>0.74</v>
      </c>
      <c r="G20" s="238">
        <f>G9*(1+(G18/G19)*(1-G8))</f>
        <v>0.74</v>
      </c>
      <c r="H20" s="238">
        <f>H9*(1+(H18/H19)*(1-H8))</f>
        <v>0.74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125"/>
    </row>
    <row r="21" spans="2:52" x14ac:dyDescent="0.25">
      <c r="B21" s="22"/>
      <c r="C21" s="563" t="s">
        <v>258</v>
      </c>
      <c r="D21" s="239">
        <f>+D13*D20</f>
        <v>3.3299999999999996E-2</v>
      </c>
      <c r="E21" s="239">
        <f>+E13*E20</f>
        <v>3.3299999999999996E-2</v>
      </c>
      <c r="F21" s="239">
        <f>+F13*F20</f>
        <v>3.3299999999999996E-2</v>
      </c>
      <c r="G21" s="239">
        <f>+G13*G20</f>
        <v>3.3299999999999996E-2</v>
      </c>
      <c r="H21" s="239">
        <f>+H13*H20</f>
        <v>3.3299999999999996E-2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125"/>
    </row>
    <row r="22" spans="2:52" x14ac:dyDescent="0.25">
      <c r="B22" s="22"/>
      <c r="C22" s="562"/>
      <c r="D22" s="235"/>
      <c r="E22" s="235"/>
      <c r="F22" s="235"/>
      <c r="G22" s="235"/>
      <c r="H22" s="235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125"/>
    </row>
    <row r="23" spans="2:52" x14ac:dyDescent="0.25">
      <c r="B23" s="22"/>
      <c r="C23" s="563" t="s">
        <v>259</v>
      </c>
      <c r="D23" s="236">
        <f>+D17+D21</f>
        <v>8.6400000000000005E-2</v>
      </c>
      <c r="E23" s="236">
        <f>+E17+E21</f>
        <v>8.6400000000000005E-2</v>
      </c>
      <c r="F23" s="236">
        <f>+F17+F21</f>
        <v>8.6400000000000005E-2</v>
      </c>
      <c r="G23" s="236">
        <f>+G17+G21</f>
        <v>8.6400000000000005E-2</v>
      </c>
      <c r="H23" s="236">
        <f>+H17+H21</f>
        <v>8.6400000000000005E-2</v>
      </c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125"/>
    </row>
    <row r="24" spans="2:52" x14ac:dyDescent="0.25">
      <c r="B24" s="22"/>
      <c r="C24" s="562"/>
      <c r="D24" s="235"/>
      <c r="E24" s="235"/>
      <c r="F24" s="235"/>
      <c r="G24" s="235"/>
      <c r="H24" s="235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125"/>
    </row>
    <row r="25" spans="2:52" x14ac:dyDescent="0.25">
      <c r="B25" s="22"/>
      <c r="C25" s="563" t="s">
        <v>252</v>
      </c>
      <c r="D25" s="239">
        <f>((1+D12)/(1+D11))-1</f>
        <v>1.4455445544554468E-2</v>
      </c>
      <c r="E25" s="239">
        <f>((1+E12)/(1+E11))-1</f>
        <v>2.2574257425742594E-2</v>
      </c>
      <c r="F25" s="239">
        <f>((1+F12)/(1+F11))-1</f>
        <v>2.3762376237623783E-2</v>
      </c>
      <c r="G25" s="239">
        <f>((1+G12)/(1+G11))-1</f>
        <v>2.5742574257425765E-2</v>
      </c>
      <c r="H25" s="239">
        <f>((1+H12)/(1+H11))-1</f>
        <v>2.5742574257425765E-2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125"/>
    </row>
    <row r="26" spans="2:52" ht="16.5" thickBot="1" x14ac:dyDescent="0.3">
      <c r="B26" s="22"/>
      <c r="C26" s="562"/>
      <c r="D26" s="235"/>
      <c r="E26" s="235"/>
      <c r="F26" s="235"/>
      <c r="G26" s="235"/>
      <c r="H26" s="235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125"/>
    </row>
    <row r="27" spans="2:52" ht="16.5" thickBot="1" x14ac:dyDescent="0.3">
      <c r="B27" s="22"/>
      <c r="C27" s="564" t="s">
        <v>260</v>
      </c>
      <c r="D27" s="565">
        <f>+D23+D25</f>
        <v>0.10085544554455447</v>
      </c>
      <c r="E27" s="565">
        <f>+E23+E25</f>
        <v>0.1089742574257426</v>
      </c>
      <c r="F27" s="565">
        <f>+F23+F25</f>
        <v>0.11016237623762379</v>
      </c>
      <c r="G27" s="565">
        <f>+G23+G25</f>
        <v>0.11214257425742577</v>
      </c>
      <c r="H27" s="565">
        <f>+H23+H25</f>
        <v>0.11214257425742577</v>
      </c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125"/>
    </row>
    <row r="28" spans="2:52" x14ac:dyDescent="0.25">
      <c r="B28" s="22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125"/>
    </row>
    <row r="29" spans="2:52" x14ac:dyDescent="0.25">
      <c r="B29" s="22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125"/>
    </row>
    <row r="30" spans="2:52" ht="16.5" thickBot="1" x14ac:dyDescent="0.3">
      <c r="B30" s="77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30"/>
    </row>
  </sheetData>
  <mergeCells count="46">
    <mergeCell ref="J11:L11"/>
    <mergeCell ref="N11:P11"/>
    <mergeCell ref="R11:T11"/>
    <mergeCell ref="V11:X11"/>
    <mergeCell ref="Z11:AB11"/>
    <mergeCell ref="J7:P7"/>
    <mergeCell ref="R7:X7"/>
    <mergeCell ref="Z7:AF7"/>
    <mergeCell ref="AH7:AN7"/>
    <mergeCell ref="AP7:AV7"/>
    <mergeCell ref="J12:L12"/>
    <mergeCell ref="N12:P12"/>
    <mergeCell ref="R12:T12"/>
    <mergeCell ref="V12:X12"/>
    <mergeCell ref="Z12:AB12"/>
    <mergeCell ref="AD11:AF11"/>
    <mergeCell ref="AH11:AJ11"/>
    <mergeCell ref="AL11:AN11"/>
    <mergeCell ref="AP11:AR11"/>
    <mergeCell ref="AT11:AV11"/>
    <mergeCell ref="L14:N14"/>
    <mergeCell ref="T14:V14"/>
    <mergeCell ref="AB14:AD14"/>
    <mergeCell ref="AJ14:AL14"/>
    <mergeCell ref="AR14:AT14"/>
    <mergeCell ref="AD12:AF12"/>
    <mergeCell ref="AH12:AJ12"/>
    <mergeCell ref="AL12:AN12"/>
    <mergeCell ref="AP12:AR12"/>
    <mergeCell ref="AT12:AV12"/>
    <mergeCell ref="J5:AV5"/>
    <mergeCell ref="N18:P18"/>
    <mergeCell ref="V18:X18"/>
    <mergeCell ref="AD18:AF18"/>
    <mergeCell ref="AL18:AN18"/>
    <mergeCell ref="AT18:AV18"/>
    <mergeCell ref="L15:N15"/>
    <mergeCell ref="T15:V15"/>
    <mergeCell ref="AB15:AD15"/>
    <mergeCell ref="AJ15:AL15"/>
    <mergeCell ref="AR15:AT15"/>
    <mergeCell ref="N17:P17"/>
    <mergeCell ref="V17:X17"/>
    <mergeCell ref="AD17:AF17"/>
    <mergeCell ref="AL17:AN17"/>
    <mergeCell ref="AT17:AV17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5A57-FF67-484E-974B-8CC356D9AB0C}">
  <dimension ref="B1:L53"/>
  <sheetViews>
    <sheetView showGridLines="0" zoomScale="90" zoomScaleNormal="90" workbookViewId="0"/>
  </sheetViews>
  <sheetFormatPr baseColWidth="10" defaultRowHeight="15.75" x14ac:dyDescent="0.25"/>
  <cols>
    <col min="1" max="2" width="11" style="3"/>
    <col min="3" max="3" width="33.875" style="3" customWidth="1"/>
    <col min="4" max="4" width="13.75" style="3" bestFit="1" customWidth="1"/>
    <col min="5" max="5" width="15.125" style="3" bestFit="1" customWidth="1"/>
    <col min="6" max="6" width="13.875" style="3" bestFit="1" customWidth="1"/>
    <col min="7" max="8" width="14.5" style="3" bestFit="1" customWidth="1"/>
    <col min="9" max="9" width="15.125" style="3" bestFit="1" customWidth="1"/>
    <col min="10" max="10" width="13.625" style="3" bestFit="1" customWidth="1"/>
    <col min="11" max="11" width="12.875" style="3" bestFit="1" customWidth="1"/>
    <col min="12" max="12" width="12.125" style="3" bestFit="1" customWidth="1"/>
    <col min="13" max="16384" width="11" style="3"/>
  </cols>
  <sheetData>
    <row r="1" spans="2:12" ht="16.5" thickBot="1" x14ac:dyDescent="0.3"/>
    <row r="2" spans="2:12" x14ac:dyDescent="0.25">
      <c r="B2" s="122"/>
      <c r="C2" s="123"/>
      <c r="D2" s="123"/>
      <c r="E2" s="123"/>
      <c r="F2" s="123"/>
      <c r="G2" s="123"/>
      <c r="H2" s="123"/>
      <c r="I2" s="123"/>
      <c r="J2" s="123"/>
      <c r="K2" s="124"/>
    </row>
    <row r="3" spans="2:12" ht="16.5" thickBot="1" x14ac:dyDescent="0.3">
      <c r="B3" s="22"/>
      <c r="C3" s="41"/>
      <c r="D3" s="41"/>
      <c r="E3" s="41"/>
      <c r="F3" s="41"/>
      <c r="G3" s="41"/>
      <c r="H3" s="41"/>
      <c r="I3" s="41"/>
      <c r="J3" s="41"/>
      <c r="K3" s="125"/>
    </row>
    <row r="4" spans="2:12" ht="19.5" thickBot="1" x14ac:dyDescent="0.35">
      <c r="B4" s="22"/>
      <c r="C4" s="678" t="s">
        <v>23</v>
      </c>
      <c r="D4" s="679"/>
      <c r="E4" s="679"/>
      <c r="F4" s="679"/>
      <c r="G4" s="679"/>
      <c r="H4" s="679"/>
      <c r="I4" s="680"/>
      <c r="J4" s="41"/>
      <c r="K4" s="125"/>
    </row>
    <row r="5" spans="2:12" ht="16.5" thickBot="1" x14ac:dyDescent="0.3">
      <c r="B5" s="22"/>
      <c r="C5" s="41"/>
      <c r="D5" s="41"/>
      <c r="E5" s="41"/>
      <c r="F5" s="41"/>
      <c r="G5" s="41"/>
      <c r="H5" s="41"/>
      <c r="I5" s="41"/>
      <c r="J5" s="41"/>
      <c r="K5" s="125"/>
    </row>
    <row r="6" spans="2:12" x14ac:dyDescent="0.25">
      <c r="B6" s="22"/>
      <c r="C6" s="513" t="s">
        <v>24</v>
      </c>
      <c r="D6" s="514" t="s">
        <v>25</v>
      </c>
      <c r="E6" s="515" t="s">
        <v>26</v>
      </c>
      <c r="F6" s="515" t="s">
        <v>27</v>
      </c>
      <c r="G6" s="515" t="s">
        <v>28</v>
      </c>
      <c r="H6" s="515" t="s">
        <v>29</v>
      </c>
      <c r="I6" s="516" t="s">
        <v>30</v>
      </c>
      <c r="J6" s="41"/>
      <c r="K6" s="125"/>
    </row>
    <row r="7" spans="2:12" x14ac:dyDescent="0.25">
      <c r="B7" s="22"/>
      <c r="C7" s="489" t="s">
        <v>94</v>
      </c>
      <c r="D7" s="478">
        <f>+'ESTADOS R. -  BALANCE'!D18</f>
        <v>0</v>
      </c>
      <c r="E7" s="240">
        <f>+'ESTADOS R. -  BALANCE'!E18</f>
        <v>18129568.95789814</v>
      </c>
      <c r="F7" s="240">
        <f>+'ESTADOS R. -  BALANCE'!F18</f>
        <v>151915673.95610663</v>
      </c>
      <c r="G7" s="240">
        <f>+'ESTADOS R. -  BALANCE'!G18</f>
        <v>337052735.96462286</v>
      </c>
      <c r="H7" s="240">
        <f>+'ESTADOS R. -  BALANCE'!H18</f>
        <v>578509130.068187</v>
      </c>
      <c r="I7" s="476">
        <f>+'ESTADOS R. -  BALANCE'!I18</f>
        <v>880607518.05374837</v>
      </c>
      <c r="J7" s="41"/>
      <c r="K7" s="125"/>
    </row>
    <row r="8" spans="2:12" x14ac:dyDescent="0.25">
      <c r="B8" s="22"/>
      <c r="C8" s="489" t="s">
        <v>855</v>
      </c>
      <c r="D8" s="478"/>
      <c r="E8" s="240"/>
      <c r="F8" s="240"/>
      <c r="G8" s="240"/>
      <c r="H8" s="240"/>
      <c r="I8" s="476"/>
      <c r="J8" s="41"/>
      <c r="K8" s="125"/>
    </row>
    <row r="9" spans="2:12" x14ac:dyDescent="0.25">
      <c r="B9" s="22"/>
      <c r="C9" s="489" t="s">
        <v>216</v>
      </c>
      <c r="D9" s="478"/>
      <c r="E9" s="240"/>
      <c r="F9" s="240"/>
      <c r="G9" s="240"/>
      <c r="H9" s="240"/>
      <c r="I9" s="476"/>
      <c r="J9" s="41"/>
      <c r="K9" s="464"/>
    </row>
    <row r="10" spans="2:12" x14ac:dyDescent="0.25">
      <c r="B10" s="22"/>
      <c r="C10" s="489" t="s">
        <v>878</v>
      </c>
      <c r="D10" s="478">
        <f>+'ESTADOS R. -  BALANCE'!D27</f>
        <v>0</v>
      </c>
      <c r="E10" s="240">
        <f>+'ESTADOS R. -  BALANCE'!E27</f>
        <v>84890000</v>
      </c>
      <c r="F10" s="240">
        <f>+'ESTADOS R. -  BALANCE'!F27</f>
        <v>84890000</v>
      </c>
      <c r="G10" s="240">
        <f>+'ESTADOS R. -  BALANCE'!G27</f>
        <v>84890000</v>
      </c>
      <c r="H10" s="240">
        <f>+'ESTADOS R. -  BALANCE'!H27</f>
        <v>84890000</v>
      </c>
      <c r="I10" s="476">
        <f>+'ESTADOS R. -  BALANCE'!I27</f>
        <v>84890000</v>
      </c>
      <c r="J10" s="31"/>
      <c r="K10" s="125"/>
    </row>
    <row r="11" spans="2:12" x14ac:dyDescent="0.25">
      <c r="B11" s="22"/>
      <c r="C11" s="505" t="s">
        <v>31</v>
      </c>
      <c r="D11" s="506">
        <f>+'BALANCE  INICIAL'!D17</f>
        <v>400000000</v>
      </c>
      <c r="E11" s="507">
        <f>+'ESTADOS R. -  BALANCE'!E28</f>
        <v>103019568.95789814</v>
      </c>
      <c r="F11" s="507">
        <f>+'ESTADOS R. -  BALANCE'!F28</f>
        <v>236805673.95610663</v>
      </c>
      <c r="G11" s="507">
        <f>+'ESTADOS R. -  BALANCE'!G28</f>
        <v>421942735.96462286</v>
      </c>
      <c r="H11" s="507">
        <f>+'ESTADOS R. -  BALANCE'!H28</f>
        <v>663399130.068187</v>
      </c>
      <c r="I11" s="508">
        <f>+'ESTADOS R. -  BALANCE'!I28</f>
        <v>965497518.05374837</v>
      </c>
      <c r="J11" s="41"/>
      <c r="K11" s="125"/>
    </row>
    <row r="12" spans="2:12" x14ac:dyDescent="0.25">
      <c r="B12" s="22"/>
      <c r="C12" s="490" t="s">
        <v>877</v>
      </c>
      <c r="D12" s="479"/>
      <c r="E12" s="475">
        <f>+'ESTADOS R. -  BALANCE'!E33</f>
        <v>0</v>
      </c>
      <c r="F12" s="475">
        <f>+'ESTADOS R. -  BALANCE'!F33</f>
        <v>0</v>
      </c>
      <c r="G12" s="475">
        <f>+'ESTADOS R. -  BALANCE'!G33</f>
        <v>0</v>
      </c>
      <c r="H12" s="475">
        <f>+'ESTADOS R. -  BALANCE'!H33</f>
        <v>0</v>
      </c>
      <c r="I12" s="477">
        <f>+'ESTADOS R. -  BALANCE'!I33</f>
        <v>0</v>
      </c>
      <c r="J12" s="41"/>
      <c r="K12" s="125"/>
    </row>
    <row r="13" spans="2:12" x14ac:dyDescent="0.25">
      <c r="B13" s="22"/>
      <c r="C13" s="490" t="s">
        <v>32</v>
      </c>
      <c r="D13" s="478"/>
      <c r="E13" s="240">
        <f>+'ESTADOS R. -  BALANCE'!E31</f>
        <v>0</v>
      </c>
      <c r="F13" s="240">
        <f>+'ESTADOS R. -  BALANCE'!F31</f>
        <v>0</v>
      </c>
      <c r="G13" s="240">
        <f>+'ESTADOS R. -  BALANCE'!G31</f>
        <v>0</v>
      </c>
      <c r="H13" s="240">
        <f>+'ESTADOS R. -  BALANCE'!H31</f>
        <v>0</v>
      </c>
      <c r="I13" s="476">
        <f>+'ESTADOS R. -  BALANCE'!I31</f>
        <v>0</v>
      </c>
      <c r="J13" s="41"/>
      <c r="K13" s="125"/>
    </row>
    <row r="14" spans="2:12" x14ac:dyDescent="0.25">
      <c r="B14" s="22"/>
      <c r="C14" s="490" t="s">
        <v>33</v>
      </c>
      <c r="D14" s="478"/>
      <c r="E14" s="240">
        <f>+'ESTADOS R. -  BALANCE'!E37</f>
        <v>0</v>
      </c>
      <c r="F14" s="240">
        <f>+'ESTADOS R. -  BALANCE'!F37</f>
        <v>0</v>
      </c>
      <c r="G14" s="240">
        <f>+'ESTADOS R. -  BALANCE'!G37</f>
        <v>0</v>
      </c>
      <c r="H14" s="240">
        <f>+'ESTADOS R. -  BALANCE'!H37</f>
        <v>0</v>
      </c>
      <c r="I14" s="476">
        <f>+'ESTADOS R. -  BALANCE'!I37</f>
        <v>0</v>
      </c>
      <c r="J14" s="41"/>
      <c r="K14" s="125"/>
    </row>
    <row r="15" spans="2:12" x14ac:dyDescent="0.25">
      <c r="B15" s="22"/>
      <c r="C15" s="490" t="s">
        <v>34</v>
      </c>
      <c r="D15" s="478"/>
      <c r="E15" s="240">
        <f>+'ESTADOS R. -  BALANCE'!E43</f>
        <v>103019568.95789814</v>
      </c>
      <c r="F15" s="240">
        <f>+'ESTADOS R. -  BALANCE'!F43</f>
        <v>236805673.95610663</v>
      </c>
      <c r="G15" s="240">
        <f>+'ESTADOS R. -  BALANCE'!G43</f>
        <v>421942735.96462286</v>
      </c>
      <c r="H15" s="240">
        <f>+'ESTADOS R. -  BALANCE'!H43</f>
        <v>663399130.068187</v>
      </c>
      <c r="I15" s="476">
        <f>+'ESTADOS R. -  BALANCE'!I43</f>
        <v>965497518.05374837</v>
      </c>
      <c r="J15" s="474"/>
      <c r="K15" s="464"/>
      <c r="L15" s="460"/>
    </row>
    <row r="16" spans="2:12" ht="16.5" thickBot="1" x14ac:dyDescent="0.3">
      <c r="B16" s="22"/>
      <c r="C16" s="509" t="s">
        <v>35</v>
      </c>
      <c r="D16" s="510">
        <f>+'BALANCE  INICIAL'!D31</f>
        <v>400000000</v>
      </c>
      <c r="E16" s="511">
        <f>SUM(E12:E15)</f>
        <v>103019568.95789814</v>
      </c>
      <c r="F16" s="511">
        <f t="shared" ref="F16:I16" si="0">SUM(F12:F15)</f>
        <v>236805673.95610663</v>
      </c>
      <c r="G16" s="511">
        <f t="shared" si="0"/>
        <v>421942735.96462286</v>
      </c>
      <c r="H16" s="511">
        <f t="shared" si="0"/>
        <v>663399130.068187</v>
      </c>
      <c r="I16" s="512">
        <f t="shared" si="0"/>
        <v>965497518.05374837</v>
      </c>
      <c r="J16" s="41"/>
      <c r="K16" s="125"/>
    </row>
    <row r="17" spans="2:11" ht="16.5" thickBot="1" x14ac:dyDescent="0.3">
      <c r="B17" s="22"/>
      <c r="C17" s="41"/>
      <c r="D17" s="41"/>
      <c r="E17" s="31"/>
      <c r="F17" s="31"/>
      <c r="G17" s="31"/>
      <c r="H17" s="31"/>
      <c r="I17" s="31"/>
      <c r="J17" s="41"/>
      <c r="K17" s="464"/>
    </row>
    <row r="18" spans="2:11" x14ac:dyDescent="0.25">
      <c r="B18" s="22"/>
      <c r="C18" s="513" t="s">
        <v>36</v>
      </c>
      <c r="D18" s="514" t="s">
        <v>25</v>
      </c>
      <c r="E18" s="515" t="s">
        <v>26</v>
      </c>
      <c r="F18" s="515" t="s">
        <v>27</v>
      </c>
      <c r="G18" s="515" t="s">
        <v>28</v>
      </c>
      <c r="H18" s="515" t="s">
        <v>29</v>
      </c>
      <c r="I18" s="516" t="s">
        <v>30</v>
      </c>
      <c r="J18" s="41"/>
      <c r="K18" s="125"/>
    </row>
    <row r="19" spans="2:11" x14ac:dyDescent="0.25">
      <c r="B19" s="22"/>
      <c r="C19" s="522" t="s">
        <v>1</v>
      </c>
      <c r="D19" s="493">
        <f>+'ESTADOS R. -  BALANCE'!D6</f>
        <v>0</v>
      </c>
      <c r="E19" s="493">
        <f>+'FLUJO DE CAJA '!G30</f>
        <v>262923000</v>
      </c>
      <c r="F19" s="493">
        <f>+'FLUJO DE CAJA '!H30</f>
        <v>466245983.3448</v>
      </c>
      <c r="G19" s="493">
        <f>+'FLUJO DE CAJA '!I30</f>
        <v>601488584.42191029</v>
      </c>
      <c r="H19" s="493">
        <f>+'FLUJO DE CAJA '!J30</f>
        <v>749254279.99489295</v>
      </c>
      <c r="I19" s="496">
        <f>+'FLUJO DE CAJA '!K30</f>
        <v>909428061.76192927</v>
      </c>
      <c r="J19" s="41"/>
      <c r="K19" s="125"/>
    </row>
    <row r="20" spans="2:11" x14ac:dyDescent="0.25">
      <c r="B20" s="22"/>
      <c r="C20" s="490" t="s">
        <v>37</v>
      </c>
      <c r="D20" s="494">
        <v>0</v>
      </c>
      <c r="E20" s="494">
        <f>+'FLUJO DE CAJA '!G31</f>
        <v>270312423.36000001</v>
      </c>
      <c r="F20" s="494">
        <f>+'FLUJO DE CAJA '!H31</f>
        <v>282277507.72800004</v>
      </c>
      <c r="G20" s="494">
        <f>+'FLUJO DE CAJA '!I31</f>
        <v>294892292.50320005</v>
      </c>
      <c r="H20" s="494">
        <f>+'FLUJO DE CAJA '!J31</f>
        <v>308257744.89787686</v>
      </c>
      <c r="I20" s="497">
        <f>+'FLUJO DE CAJA '!K31</f>
        <v>324442057.47041118</v>
      </c>
      <c r="J20" s="41"/>
      <c r="K20" s="125"/>
    </row>
    <row r="21" spans="2:11" x14ac:dyDescent="0.25">
      <c r="B21" s="22"/>
      <c r="C21" s="409" t="s">
        <v>38</v>
      </c>
      <c r="D21" s="495">
        <f>+D19-D20</f>
        <v>0</v>
      </c>
      <c r="E21" s="495">
        <f t="shared" ref="E21:I21" si="1">+E19-E20</f>
        <v>-7389423.3600000143</v>
      </c>
      <c r="F21" s="495">
        <f t="shared" si="1"/>
        <v>183968475.61679995</v>
      </c>
      <c r="G21" s="495">
        <f t="shared" si="1"/>
        <v>306596291.91871023</v>
      </c>
      <c r="H21" s="495">
        <f t="shared" si="1"/>
        <v>440996535.0970161</v>
      </c>
      <c r="I21" s="498">
        <f t="shared" si="1"/>
        <v>584986004.29151809</v>
      </c>
      <c r="J21" s="41"/>
      <c r="K21" s="125"/>
    </row>
    <row r="22" spans="2:11" x14ac:dyDescent="0.25">
      <c r="B22" s="22"/>
      <c r="C22" s="523" t="s">
        <v>39</v>
      </c>
      <c r="D22" s="494">
        <v>0</v>
      </c>
      <c r="E22" s="494">
        <f>+INVERSIONES!E37</f>
        <v>15967100</v>
      </c>
      <c r="F22" s="494">
        <f>+INVERSIONES!F37</f>
        <v>15967100</v>
      </c>
      <c r="G22" s="494">
        <f>+INVERSIONES!G37</f>
        <v>15967100</v>
      </c>
      <c r="H22" s="494">
        <f>+INVERSIONES!H37</f>
        <v>15967100</v>
      </c>
      <c r="I22" s="497">
        <f>+INVERSIONES!I37</f>
        <v>15967100</v>
      </c>
      <c r="J22" s="41"/>
      <c r="K22" s="125"/>
    </row>
    <row r="23" spans="2:11" x14ac:dyDescent="0.25">
      <c r="B23" s="22"/>
      <c r="C23" s="524" t="s">
        <v>40</v>
      </c>
      <c r="D23" s="493">
        <f t="shared" ref="D23:I23" si="2">+D24</f>
        <v>0</v>
      </c>
      <c r="E23" s="493">
        <f t="shared" si="2"/>
        <v>40000000</v>
      </c>
      <c r="F23" s="493">
        <f t="shared" si="2"/>
        <v>33448100.768210188</v>
      </c>
      <c r="G23" s="493">
        <f t="shared" si="2"/>
        <v>26241011.613241389</v>
      </c>
      <c r="H23" s="493">
        <f t="shared" si="2"/>
        <v>18313213.542775709</v>
      </c>
      <c r="I23" s="496">
        <f t="shared" si="2"/>
        <v>9592635.6652634647</v>
      </c>
      <c r="J23" s="41"/>
      <c r="K23" s="125"/>
    </row>
    <row r="24" spans="2:11" x14ac:dyDescent="0.25">
      <c r="B24" s="22"/>
      <c r="C24" s="490" t="s">
        <v>41</v>
      </c>
      <c r="D24" s="494">
        <v>0</v>
      </c>
      <c r="E24" s="494">
        <f>+'FLUJO DE CAJA '!G23</f>
        <v>40000000</v>
      </c>
      <c r="F24" s="494">
        <f>+'FLUJO DE CAJA '!H23</f>
        <v>33448100.768210188</v>
      </c>
      <c r="G24" s="494">
        <f>+'FLUJO DE CAJA '!I23</f>
        <v>26241011.613241389</v>
      </c>
      <c r="H24" s="494">
        <f>+'FLUJO DE CAJA '!J23</f>
        <v>18313213.542775709</v>
      </c>
      <c r="I24" s="494">
        <f>+'FLUJO DE CAJA '!K23</f>
        <v>9592635.6652634647</v>
      </c>
      <c r="J24" s="41"/>
      <c r="K24" s="125"/>
    </row>
    <row r="25" spans="2:11" x14ac:dyDescent="0.25">
      <c r="B25" s="22"/>
      <c r="C25" s="409" t="s">
        <v>42</v>
      </c>
      <c r="D25" s="495">
        <f>+D22+D23</f>
        <v>0</v>
      </c>
      <c r="E25" s="495">
        <f>+E21-E23-E22</f>
        <v>-63356523.360000014</v>
      </c>
      <c r="F25" s="495">
        <f>+F21-F23-F22</f>
        <v>134553274.84858978</v>
      </c>
      <c r="G25" s="495">
        <f>+G21-G23-G22</f>
        <v>264388180.30546886</v>
      </c>
      <c r="H25" s="495">
        <f>+H21-H23-H22</f>
        <v>406716221.55424041</v>
      </c>
      <c r="I25" s="498">
        <f>+I21-I23-I22</f>
        <v>559426268.62625468</v>
      </c>
      <c r="J25" s="41"/>
      <c r="K25" s="125"/>
    </row>
    <row r="26" spans="2:11" ht="16.5" thickBot="1" x14ac:dyDescent="0.3">
      <c r="B26" s="22"/>
      <c r="C26" s="522" t="s">
        <v>43</v>
      </c>
      <c r="D26" s="502">
        <v>0</v>
      </c>
      <c r="E26" s="503">
        <f>+IF(E25&gt;0,E25*'DATOS '!E24,0)</f>
        <v>0</v>
      </c>
      <c r="F26" s="503">
        <f>+IF(F25&gt;0,F25*'DATOS '!F24,0)</f>
        <v>44402580.700034626</v>
      </c>
      <c r="G26" s="503">
        <f>+IF(G25&gt;0,G25*'DATOS '!G24,0)</f>
        <v>87248099.500804722</v>
      </c>
      <c r="H26" s="503">
        <f>+IF(H25&gt;0,H25*'DATOS '!H24,0)</f>
        <v>134216353.11289933</v>
      </c>
      <c r="I26" s="504">
        <f>+IF(I25&gt;0,I25*'DATOS '!I24,0)</f>
        <v>184610668.64666405</v>
      </c>
      <c r="J26" s="41"/>
      <c r="K26" s="125"/>
    </row>
    <row r="27" spans="2:11" ht="17.25" thickTop="1" thickBot="1" x14ac:dyDescent="0.3">
      <c r="B27" s="22"/>
      <c r="C27" s="492" t="s">
        <v>44</v>
      </c>
      <c r="D27" s="499">
        <v>0</v>
      </c>
      <c r="E27" s="500">
        <f>+E25-E26</f>
        <v>-63356523.360000014</v>
      </c>
      <c r="F27" s="500">
        <f t="shared" ref="F27:I27" si="3">+F25-F26</f>
        <v>90150694.14855516</v>
      </c>
      <c r="G27" s="500">
        <f t="shared" si="3"/>
        <v>177140080.80466413</v>
      </c>
      <c r="H27" s="500">
        <f t="shared" si="3"/>
        <v>272499868.44134104</v>
      </c>
      <c r="I27" s="501">
        <f t="shared" si="3"/>
        <v>374815599.97959065</v>
      </c>
      <c r="J27" s="41"/>
      <c r="K27" s="125"/>
    </row>
    <row r="28" spans="2:11" x14ac:dyDescent="0.25">
      <c r="B28" s="22"/>
      <c r="C28" s="41"/>
      <c r="D28" s="41"/>
      <c r="E28" s="41"/>
      <c r="F28" s="41"/>
      <c r="G28" s="41"/>
      <c r="H28" s="41"/>
      <c r="I28" s="41"/>
      <c r="J28" s="41"/>
      <c r="K28" s="125"/>
    </row>
    <row r="29" spans="2:11" ht="16.5" thickBot="1" x14ac:dyDescent="0.3">
      <c r="B29" s="22"/>
      <c r="C29" s="41"/>
      <c r="D29" s="41"/>
      <c r="E29" s="41"/>
      <c r="F29" s="41"/>
      <c r="G29" s="41"/>
      <c r="H29" s="41"/>
      <c r="I29" s="41"/>
      <c r="J29" s="41"/>
      <c r="K29" s="125"/>
    </row>
    <row r="30" spans="2:11" x14ac:dyDescent="0.25">
      <c r="B30" s="22"/>
      <c r="C30" s="517" t="s">
        <v>45</v>
      </c>
      <c r="D30" s="518" t="s">
        <v>25</v>
      </c>
      <c r="E30" s="519" t="s">
        <v>26</v>
      </c>
      <c r="F30" s="519" t="s">
        <v>27</v>
      </c>
      <c r="G30" s="519" t="s">
        <v>28</v>
      </c>
      <c r="H30" s="519" t="s">
        <v>29</v>
      </c>
      <c r="I30" s="390" t="s">
        <v>30</v>
      </c>
      <c r="J30" s="41"/>
      <c r="K30" s="125"/>
    </row>
    <row r="31" spans="2:11" ht="16.5" thickBot="1" x14ac:dyDescent="0.3">
      <c r="B31" s="22"/>
      <c r="C31" s="521" t="s">
        <v>45</v>
      </c>
      <c r="D31" s="520"/>
      <c r="E31" s="540">
        <f>+'FLUJO DE CAJA '!G48</f>
        <v>18129568.95789814</v>
      </c>
      <c r="F31" s="540">
        <f>+'FLUJO DE CAJA '!H48</f>
        <v>133786104.99820849</v>
      </c>
      <c r="G31" s="540">
        <f>+'FLUJO DE CAJA '!I48</f>
        <v>185137062.00851619</v>
      </c>
      <c r="H31" s="540">
        <f>+'FLUJO DE CAJA '!J48</f>
        <v>241456394.10356414</v>
      </c>
      <c r="I31" s="540">
        <f>+'FLUJO DE CAJA '!K48</f>
        <v>302098387.98556131</v>
      </c>
      <c r="J31" s="41"/>
      <c r="K31" s="125"/>
    </row>
    <row r="32" spans="2:11" ht="16.5" thickBot="1" x14ac:dyDescent="0.3">
      <c r="B32" s="22"/>
      <c r="C32" s="41"/>
      <c r="D32" s="590">
        <f>-D34</f>
        <v>0</v>
      </c>
      <c r="E32" s="540">
        <f>-E31</f>
        <v>-18129568.95789814</v>
      </c>
      <c r="F32" s="540">
        <f t="shared" ref="F32:H32" si="4">+F31</f>
        <v>133786104.99820849</v>
      </c>
      <c r="G32" s="540">
        <f t="shared" si="4"/>
        <v>185137062.00851619</v>
      </c>
      <c r="H32" s="540">
        <f t="shared" si="4"/>
        <v>241456394.10356414</v>
      </c>
      <c r="I32" s="540">
        <f>+I31+J50</f>
        <v>1094717855.3657401</v>
      </c>
      <c r="J32" s="591"/>
      <c r="K32" s="560"/>
    </row>
    <row r="33" spans="2:11" ht="16.5" thickBot="1" x14ac:dyDescent="0.3">
      <c r="B33" s="22"/>
      <c r="C33" s="41"/>
      <c r="D33" s="41"/>
      <c r="E33" s="41"/>
      <c r="F33" s="41"/>
      <c r="G33" s="41"/>
      <c r="H33" s="41"/>
      <c r="I33" s="41"/>
      <c r="J33" s="41"/>
      <c r="K33" s="125"/>
    </row>
    <row r="34" spans="2:11" x14ac:dyDescent="0.25">
      <c r="B34" s="22"/>
      <c r="C34" s="550" t="s">
        <v>10</v>
      </c>
      <c r="D34" s="547">
        <f>+D7+D8+D9</f>
        <v>0</v>
      </c>
      <c r="E34" s="542">
        <f>+E7+E8+E9-E12</f>
        <v>18129568.95789814</v>
      </c>
      <c r="F34" s="553">
        <f t="shared" ref="F34:I34" si="5">+F7+F8+F9-F12</f>
        <v>151915673.95610663</v>
      </c>
      <c r="G34" s="541">
        <f t="shared" si="5"/>
        <v>337052735.96462286</v>
      </c>
      <c r="H34" s="553">
        <f t="shared" si="5"/>
        <v>578509130.068187</v>
      </c>
      <c r="I34" s="556">
        <f t="shared" si="5"/>
        <v>880607518.05374837</v>
      </c>
      <c r="K34" s="125"/>
    </row>
    <row r="35" spans="2:11" x14ac:dyDescent="0.25">
      <c r="B35" s="22"/>
      <c r="C35" s="551" t="s">
        <v>46</v>
      </c>
      <c r="D35" s="548">
        <f>+D22</f>
        <v>0</v>
      </c>
      <c r="E35" s="493">
        <f>+E22+D22</f>
        <v>15967100</v>
      </c>
      <c r="F35" s="555">
        <f>+F22+E35</f>
        <v>31934200</v>
      </c>
      <c r="G35" s="543">
        <f>+G22+F35</f>
        <v>47901300</v>
      </c>
      <c r="H35" s="555">
        <f>+H22+G35</f>
        <v>63868400</v>
      </c>
      <c r="I35" s="557">
        <f>+I22+H35</f>
        <v>79835500</v>
      </c>
      <c r="J35" s="41"/>
      <c r="K35" s="125"/>
    </row>
    <row r="36" spans="2:11" ht="16.5" thickBot="1" x14ac:dyDescent="0.3">
      <c r="B36" s="22"/>
      <c r="C36" s="552" t="s">
        <v>47</v>
      </c>
      <c r="D36" s="549">
        <f>D35</f>
        <v>0</v>
      </c>
      <c r="E36" s="545">
        <f>+E10+E35</f>
        <v>100857100</v>
      </c>
      <c r="F36" s="554">
        <f t="shared" ref="F36:I36" si="6">+F10+F35</f>
        <v>116824200</v>
      </c>
      <c r="G36" s="544">
        <f t="shared" si="6"/>
        <v>132791300</v>
      </c>
      <c r="H36" s="554">
        <f t="shared" si="6"/>
        <v>148758400</v>
      </c>
      <c r="I36" s="558">
        <f t="shared" si="6"/>
        <v>164725500</v>
      </c>
      <c r="J36" s="41"/>
      <c r="K36" s="125"/>
    </row>
    <row r="37" spans="2:11" x14ac:dyDescent="0.25">
      <c r="B37" s="22"/>
      <c r="C37" s="41"/>
      <c r="D37" s="41"/>
      <c r="E37" s="41"/>
      <c r="F37" s="41"/>
      <c r="G37" s="41"/>
      <c r="H37" s="41"/>
      <c r="I37" s="41"/>
      <c r="J37" s="41"/>
      <c r="K37" s="125"/>
    </row>
    <row r="38" spans="2:11" ht="16.5" thickBot="1" x14ac:dyDescent="0.3">
      <c r="B38" s="22"/>
      <c r="C38" s="491"/>
      <c r="D38" s="41"/>
      <c r="E38" s="41"/>
      <c r="F38" s="41"/>
      <c r="G38" s="41"/>
      <c r="H38" s="41"/>
      <c r="I38" s="41"/>
      <c r="J38" s="41"/>
      <c r="K38" s="125"/>
    </row>
    <row r="39" spans="2:11" x14ac:dyDescent="0.25">
      <c r="B39" s="22"/>
      <c r="C39" s="531" t="s">
        <v>48</v>
      </c>
      <c r="D39" s="533">
        <f t="shared" ref="D39" si="7">+D13+D14+D15</f>
        <v>0</v>
      </c>
      <c r="E39" s="542">
        <f>+E16</f>
        <v>103019568.95789814</v>
      </c>
      <c r="F39" s="553">
        <f t="shared" ref="F39:I39" si="8">+F16</f>
        <v>236805673.95610663</v>
      </c>
      <c r="G39" s="553">
        <f t="shared" si="8"/>
        <v>421942735.96462286</v>
      </c>
      <c r="H39" s="553">
        <f t="shared" si="8"/>
        <v>663399130.068187</v>
      </c>
      <c r="I39" s="556">
        <f t="shared" si="8"/>
        <v>965497518.05374837</v>
      </c>
      <c r="J39" s="41"/>
      <c r="K39" s="125"/>
    </row>
    <row r="40" spans="2:11" x14ac:dyDescent="0.25">
      <c r="B40" s="22"/>
      <c r="C40" s="532" t="s">
        <v>49</v>
      </c>
      <c r="D40" s="528">
        <v>0</v>
      </c>
      <c r="E40" s="462">
        <f>+E15/E39</f>
        <v>1</v>
      </c>
      <c r="F40" s="525">
        <f>+F15/F39</f>
        <v>1</v>
      </c>
      <c r="G40" s="462">
        <f>+G15/G39</f>
        <v>1</v>
      </c>
      <c r="H40" s="525">
        <f>+H15/H39</f>
        <v>1</v>
      </c>
      <c r="I40" s="463">
        <f>+I15/I39</f>
        <v>1</v>
      </c>
      <c r="J40" s="41"/>
      <c r="K40" s="125"/>
    </row>
    <row r="41" spans="2:11" x14ac:dyDescent="0.25">
      <c r="B41" s="22"/>
      <c r="C41" s="532" t="s">
        <v>50</v>
      </c>
      <c r="D41" s="528">
        <v>0</v>
      </c>
      <c r="E41" s="462">
        <f>+(E13+E14)/E39</f>
        <v>0</v>
      </c>
      <c r="F41" s="525">
        <f>+(F13+F14)/F39</f>
        <v>0</v>
      </c>
      <c r="G41" s="462">
        <f>+(G13+G14)/G39</f>
        <v>0</v>
      </c>
      <c r="H41" s="525">
        <f>+(H13+H14)/H39</f>
        <v>0</v>
      </c>
      <c r="I41" s="463">
        <f>+(I13+I14)/I39</f>
        <v>0</v>
      </c>
      <c r="J41" s="41"/>
      <c r="K41" s="125"/>
    </row>
    <row r="42" spans="2:11" x14ac:dyDescent="0.25">
      <c r="B42" s="22"/>
      <c r="C42" s="532" t="s">
        <v>51</v>
      </c>
      <c r="D42" s="529"/>
      <c r="E42" s="465">
        <f>+'FLUJO DE CAJA '!G23/'FLUJO DE CAJA '!G21</f>
        <v>0.1</v>
      </c>
      <c r="F42" s="697">
        <f>+'FLUJO DE CAJA '!H23/'FLUJO DE CAJA '!H21</f>
        <v>0.1</v>
      </c>
      <c r="G42" s="697">
        <f>+'FLUJO DE CAJA '!I23/'FLUJO DE CAJA '!I21</f>
        <v>0.1</v>
      </c>
      <c r="H42" s="527">
        <f>+'FLUJO DE CAJA '!J23/'FLUJO DE CAJA '!J21</f>
        <v>0.1</v>
      </c>
      <c r="I42" s="698">
        <f>+'FLUJO DE CAJA '!K23/'FLUJO DE CAJA '!K21</f>
        <v>0.1</v>
      </c>
      <c r="J42" s="41"/>
      <c r="K42" s="125"/>
    </row>
    <row r="43" spans="2:11" ht="16.5" thickBot="1" x14ac:dyDescent="0.3">
      <c r="B43" s="22"/>
      <c r="C43" s="534" t="s">
        <v>52</v>
      </c>
      <c r="D43" s="530"/>
      <c r="E43" s="466">
        <f>+'KE - CAMP'!D27</f>
        <v>0.10085544554455447</v>
      </c>
      <c r="F43" s="526">
        <f>+'KE - CAMP'!E27</f>
        <v>0.1089742574257426</v>
      </c>
      <c r="G43" s="466">
        <f>+'KE - CAMP'!F27</f>
        <v>0.11016237623762379</v>
      </c>
      <c r="H43" s="526">
        <f>+'KE - CAMP'!G27</f>
        <v>0.11214257425742577</v>
      </c>
      <c r="I43" s="78">
        <f>+'KE - CAMP'!H27</f>
        <v>0.11214257425742577</v>
      </c>
      <c r="J43" s="41"/>
      <c r="K43" s="125"/>
    </row>
    <row r="44" spans="2:11" ht="16.5" thickBot="1" x14ac:dyDescent="0.3">
      <c r="B44" s="22"/>
      <c r="C44" s="535" t="s">
        <v>53</v>
      </c>
      <c r="D44" s="536"/>
      <c r="E44" s="537">
        <f>+(E40*E43)+(E41*E42)*(1-$D$35)</f>
        <v>0.10085544554455447</v>
      </c>
      <c r="F44" s="538">
        <f>+(F40*F43)+(F41*F42)*(1-$D$35)</f>
        <v>0.1089742574257426</v>
      </c>
      <c r="G44" s="537">
        <f>+(G40*G43)+(G41*G42)*(1-$D$35)</f>
        <v>0.11016237623762379</v>
      </c>
      <c r="H44" s="538">
        <f>+(H40*H43)+(H41*H42)*(1-$D$35)</f>
        <v>0.11214257425742577</v>
      </c>
      <c r="I44" s="539">
        <f>+(I40*I43)+(I41*I42)*(1-$D$35)</f>
        <v>0.11214257425742577</v>
      </c>
      <c r="J44" s="41"/>
      <c r="K44" s="125"/>
    </row>
    <row r="45" spans="2:11" x14ac:dyDescent="0.25">
      <c r="B45" s="22"/>
      <c r="C45" s="41"/>
      <c r="D45" s="41"/>
      <c r="E45" s="41"/>
      <c r="F45" s="41"/>
      <c r="G45" s="41"/>
      <c r="H45" s="41"/>
      <c r="I45" s="41"/>
      <c r="J45" s="41"/>
      <c r="K45" s="125"/>
    </row>
    <row r="46" spans="2:11" x14ac:dyDescent="0.25">
      <c r="B46" s="22"/>
      <c r="C46" s="41"/>
      <c r="D46" s="41"/>
      <c r="E46" s="41"/>
      <c r="F46" s="41"/>
      <c r="G46" s="41"/>
      <c r="H46" s="41"/>
      <c r="I46" s="41"/>
      <c r="J46" s="41"/>
      <c r="K46" s="125"/>
    </row>
    <row r="47" spans="2:11" ht="16.5" thickBot="1" x14ac:dyDescent="0.3">
      <c r="B47" s="22"/>
      <c r="C47" s="491"/>
      <c r="D47" s="561"/>
      <c r="E47" s="41"/>
      <c r="F47" s="41"/>
      <c r="G47" s="41"/>
      <c r="H47" s="41"/>
      <c r="I47" s="41"/>
      <c r="J47" s="41"/>
      <c r="K47" s="125"/>
    </row>
    <row r="48" spans="2:11" x14ac:dyDescent="0.25">
      <c r="B48" s="22"/>
      <c r="C48" s="470" t="s">
        <v>54</v>
      </c>
      <c r="D48" s="123"/>
      <c r="E48" s="467">
        <f>+(1+E44)</f>
        <v>1.1008554455445545</v>
      </c>
      <c r="F48" s="467">
        <f t="shared" ref="F48:I48" si="9">+(1+F44)</f>
        <v>1.1089742574257426</v>
      </c>
      <c r="G48" s="467">
        <f t="shared" si="9"/>
        <v>1.1101623762376238</v>
      </c>
      <c r="H48" s="467">
        <f t="shared" si="9"/>
        <v>1.1121425742574258</v>
      </c>
      <c r="I48" s="467">
        <f t="shared" si="9"/>
        <v>1.1121425742574258</v>
      </c>
      <c r="J48" s="41"/>
      <c r="K48" s="125"/>
    </row>
    <row r="49" spans="2:11" ht="16.5" thickBot="1" x14ac:dyDescent="0.3">
      <c r="B49" s="22"/>
      <c r="C49" s="471" t="s">
        <v>55</v>
      </c>
      <c r="D49" s="41"/>
      <c r="E49" s="461">
        <f>+E31</f>
        <v>18129568.95789814</v>
      </c>
      <c r="F49" s="461">
        <f t="shared" ref="F49:I49" si="10">+F31</f>
        <v>133786104.99820849</v>
      </c>
      <c r="G49" s="461">
        <f t="shared" si="10"/>
        <v>185137062.00851619</v>
      </c>
      <c r="H49" s="461">
        <f t="shared" si="10"/>
        <v>241456394.10356414</v>
      </c>
      <c r="I49" s="461">
        <f t="shared" si="10"/>
        <v>302098387.98556131</v>
      </c>
      <c r="J49" s="41"/>
      <c r="K49" s="125"/>
    </row>
    <row r="50" spans="2:11" ht="16.5" thickBot="1" x14ac:dyDescent="0.3">
      <c r="B50" s="22"/>
      <c r="C50" s="472" t="s">
        <v>56</v>
      </c>
      <c r="D50" s="129"/>
      <c r="E50" s="468">
        <f>+E49/E48</f>
        <v>16468619.046463525</v>
      </c>
      <c r="F50" s="468">
        <f t="shared" ref="F50:I50" si="11">+F49/F48</f>
        <v>120639504.57133751</v>
      </c>
      <c r="G50" s="468">
        <f t="shared" si="11"/>
        <v>166765750.64266875</v>
      </c>
      <c r="H50" s="468">
        <f t="shared" si="11"/>
        <v>217109208.56058753</v>
      </c>
      <c r="I50" s="468">
        <f t="shared" si="11"/>
        <v>271636384.55912137</v>
      </c>
      <c r="J50" s="546">
        <f>SUM(E50:I50)</f>
        <v>792619467.38017869</v>
      </c>
      <c r="K50" s="125"/>
    </row>
    <row r="51" spans="2:11" ht="16.5" thickBot="1" x14ac:dyDescent="0.3">
      <c r="B51" s="22"/>
      <c r="C51" s="473" t="s">
        <v>57</v>
      </c>
      <c r="D51" s="469">
        <f>+I31/I44</f>
        <v>2693877771.0959954</v>
      </c>
      <c r="E51" s="41"/>
      <c r="F51" s="41"/>
      <c r="G51" s="41"/>
      <c r="H51" s="41"/>
      <c r="I51" s="41"/>
      <c r="J51" s="41"/>
      <c r="K51" s="125"/>
    </row>
    <row r="52" spans="2:11" x14ac:dyDescent="0.25">
      <c r="B52" s="22"/>
      <c r="C52" s="41"/>
      <c r="D52" s="41"/>
      <c r="E52" s="590"/>
      <c r="F52" s="41"/>
      <c r="G52" s="41"/>
      <c r="H52" s="41"/>
      <c r="I52" s="41"/>
      <c r="J52" s="41"/>
      <c r="K52" s="125"/>
    </row>
    <row r="53" spans="2:11" ht="16.5" thickBot="1" x14ac:dyDescent="0.3">
      <c r="B53" s="77"/>
      <c r="C53" s="129"/>
      <c r="D53" s="129"/>
      <c r="E53" s="129"/>
      <c r="F53" s="129"/>
      <c r="G53" s="129"/>
      <c r="H53" s="129"/>
      <c r="I53" s="129"/>
      <c r="J53" s="129"/>
      <c r="K53" s="130"/>
    </row>
  </sheetData>
  <mergeCells count="1">
    <mergeCell ref="C4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BF1-C4B1-436B-9354-6C40077D6111}">
  <dimension ref="B1:J1096"/>
  <sheetViews>
    <sheetView showGridLines="0" showRowColHeaders="0" topLeftCell="A16" zoomScale="91" zoomScaleNormal="91" workbookViewId="0">
      <selection activeCell="C1" sqref="C1"/>
    </sheetView>
  </sheetViews>
  <sheetFormatPr baseColWidth="10" defaultRowHeight="15.75" x14ac:dyDescent="0.25"/>
  <cols>
    <col min="1" max="1" width="15.375" style="3" customWidth="1"/>
    <col min="2" max="2" width="10.375" style="176" hidden="1" customWidth="1"/>
    <col min="3" max="3" width="11" style="3"/>
    <col min="4" max="4" width="54" style="3" bestFit="1" customWidth="1"/>
    <col min="5" max="5" width="17.25" style="3" bestFit="1" customWidth="1"/>
    <col min="6" max="16384" width="11" style="3"/>
  </cols>
  <sheetData>
    <row r="1" spans="2:10" ht="16.5" thickBot="1" x14ac:dyDescent="0.3"/>
    <row r="2" spans="2:10" ht="19.5" thickBot="1" x14ac:dyDescent="0.35">
      <c r="C2" s="602" t="s">
        <v>858</v>
      </c>
      <c r="D2" s="603"/>
      <c r="E2" s="603"/>
      <c r="F2" s="603"/>
      <c r="G2" s="603"/>
      <c r="H2" s="603"/>
      <c r="I2" s="603"/>
      <c r="J2" s="604"/>
    </row>
    <row r="3" spans="2:10" ht="16.5" thickBot="1" x14ac:dyDescent="0.3">
      <c r="B3" s="176">
        <v>1215110</v>
      </c>
      <c r="C3" s="22"/>
      <c r="D3" s="41"/>
      <c r="E3" s="41"/>
      <c r="F3" s="41"/>
      <c r="G3" s="41"/>
      <c r="H3" s="41"/>
      <c r="I3" s="41"/>
      <c r="J3" s="125"/>
    </row>
    <row r="4" spans="2:10" ht="16.5" thickBot="1" x14ac:dyDescent="0.3">
      <c r="B4" s="176">
        <v>772572</v>
      </c>
      <c r="C4" s="22"/>
      <c r="D4" s="600" t="s">
        <v>857</v>
      </c>
      <c r="E4" s="601"/>
      <c r="F4" s="41"/>
      <c r="G4" s="41"/>
      <c r="H4" s="41"/>
      <c r="I4" s="41"/>
      <c r="J4" s="125"/>
    </row>
    <row r="5" spans="2:10" x14ac:dyDescent="0.25">
      <c r="B5" s="176">
        <v>919441</v>
      </c>
      <c r="C5" s="22"/>
      <c r="D5" s="179" t="s">
        <v>161</v>
      </c>
      <c r="E5" s="196">
        <v>1139788</v>
      </c>
      <c r="F5" s="180"/>
      <c r="G5" s="181"/>
      <c r="H5" s="181"/>
      <c r="I5" s="181"/>
      <c r="J5" s="125"/>
    </row>
    <row r="6" spans="2:10" x14ac:dyDescent="0.25">
      <c r="B6" s="176">
        <v>1066690</v>
      </c>
      <c r="C6" s="22"/>
      <c r="D6" s="182" t="s">
        <v>162</v>
      </c>
      <c r="E6" s="197">
        <v>1.4999999999999999E-2</v>
      </c>
      <c r="F6" s="183"/>
      <c r="G6" s="184"/>
      <c r="H6" s="184"/>
      <c r="I6" s="184"/>
      <c r="J6" s="125"/>
    </row>
    <row r="7" spans="2:10" x14ac:dyDescent="0.25">
      <c r="B7" s="176">
        <v>726317</v>
      </c>
      <c r="C7" s="22"/>
      <c r="D7" s="185" t="s">
        <v>212</v>
      </c>
      <c r="E7" s="198">
        <f>+E5*E6</f>
        <v>17096.82</v>
      </c>
      <c r="F7" s="183"/>
      <c r="G7" s="184"/>
      <c r="H7" s="184"/>
      <c r="I7" s="184"/>
      <c r="J7" s="125"/>
    </row>
    <row r="8" spans="2:10" x14ac:dyDescent="0.25">
      <c r="B8" s="176">
        <v>902724</v>
      </c>
      <c r="C8" s="22"/>
      <c r="D8" s="182" t="s">
        <v>214</v>
      </c>
      <c r="E8" s="199">
        <f>+AVERAGE(B3:B1096)*F9</f>
        <v>525846.1421389397</v>
      </c>
      <c r="F8" s="219"/>
      <c r="G8" s="186"/>
      <c r="H8" s="186"/>
      <c r="I8" s="186"/>
      <c r="J8" s="125"/>
    </row>
    <row r="9" spans="2:10" x14ac:dyDescent="0.25">
      <c r="B9" s="176">
        <v>1141461</v>
      </c>
      <c r="C9" s="22"/>
      <c r="D9" s="185" t="s">
        <v>163</v>
      </c>
      <c r="E9" s="200">
        <f>+(E7*E8)*F9</f>
        <v>4495148419.9219332</v>
      </c>
      <c r="F9" s="187">
        <v>0.5</v>
      </c>
      <c r="G9" s="184"/>
      <c r="H9" s="184"/>
      <c r="I9" s="184"/>
      <c r="J9" s="125"/>
    </row>
    <row r="10" spans="2:10" x14ac:dyDescent="0.25">
      <c r="B10" s="176">
        <v>683408</v>
      </c>
      <c r="C10" s="22"/>
      <c r="D10" s="182" t="s">
        <v>164</v>
      </c>
      <c r="E10" s="201">
        <v>0.13</v>
      </c>
      <c r="F10" s="183"/>
      <c r="G10" s="184"/>
      <c r="H10" s="184"/>
      <c r="I10" s="184"/>
      <c r="J10" s="125"/>
    </row>
    <row r="11" spans="2:10" x14ac:dyDescent="0.25">
      <c r="B11" s="176">
        <v>603451</v>
      </c>
      <c r="C11" s="22"/>
      <c r="D11" s="185" t="s">
        <v>165</v>
      </c>
      <c r="E11" s="198">
        <f>+E9*E10</f>
        <v>584369294.58985138</v>
      </c>
      <c r="F11" s="183"/>
      <c r="G11" s="188"/>
      <c r="H11" s="189"/>
      <c r="I11" s="188"/>
      <c r="J11" s="125"/>
    </row>
    <row r="12" spans="2:10" ht="16.5" thickBot="1" x14ac:dyDescent="0.3">
      <c r="B12" s="176">
        <v>1033067</v>
      </c>
      <c r="C12" s="22"/>
      <c r="D12" s="190" t="s">
        <v>213</v>
      </c>
      <c r="E12" s="202">
        <f>+(E11/E8)/2</f>
        <v>555.64665000000002</v>
      </c>
      <c r="F12" s="191"/>
      <c r="G12" s="188"/>
      <c r="H12" s="188"/>
      <c r="I12" s="188"/>
      <c r="J12" s="125"/>
    </row>
    <row r="13" spans="2:10" x14ac:dyDescent="0.25">
      <c r="B13" s="176">
        <v>673907</v>
      </c>
      <c r="C13" s="22"/>
      <c r="D13" s="41"/>
      <c r="E13" s="41"/>
      <c r="F13" s="188"/>
      <c r="G13" s="41"/>
      <c r="H13" s="41"/>
      <c r="I13" s="41"/>
      <c r="J13" s="125"/>
    </row>
    <row r="14" spans="2:10" x14ac:dyDescent="0.25">
      <c r="B14" s="176">
        <v>1429600</v>
      </c>
      <c r="C14" s="22"/>
      <c r="D14" s="41"/>
      <c r="E14" s="41"/>
      <c r="F14" s="41"/>
      <c r="G14" s="41"/>
      <c r="H14" s="41"/>
      <c r="I14" s="41"/>
      <c r="J14" s="125"/>
    </row>
    <row r="15" spans="2:10" x14ac:dyDescent="0.25">
      <c r="B15" s="176">
        <v>1203739</v>
      </c>
      <c r="C15" s="22"/>
      <c r="D15" s="41"/>
      <c r="E15" s="41"/>
      <c r="F15" s="41"/>
      <c r="G15" s="41"/>
      <c r="H15" s="41"/>
      <c r="I15" s="41"/>
      <c r="J15" s="125"/>
    </row>
    <row r="16" spans="2:10" ht="16.5" thickBot="1" x14ac:dyDescent="0.3">
      <c r="B16" s="176">
        <v>1331234</v>
      </c>
      <c r="C16" s="22"/>
      <c r="D16" s="41"/>
      <c r="E16" s="41"/>
      <c r="F16" s="41"/>
      <c r="G16" s="41"/>
      <c r="H16" s="41"/>
      <c r="I16" s="41"/>
      <c r="J16" s="125"/>
    </row>
    <row r="17" spans="2:10" ht="16.5" thickBot="1" x14ac:dyDescent="0.3">
      <c r="B17" s="176">
        <v>828857</v>
      </c>
      <c r="C17" s="22"/>
      <c r="D17" s="216" t="s">
        <v>193</v>
      </c>
      <c r="E17" s="217">
        <v>2021</v>
      </c>
      <c r="F17" s="217">
        <f>+E17+1</f>
        <v>2022</v>
      </c>
      <c r="G17" s="217">
        <f t="shared" ref="G17:I17" si="0">+F17+1</f>
        <v>2023</v>
      </c>
      <c r="H17" s="217">
        <f t="shared" si="0"/>
        <v>2024</v>
      </c>
      <c r="I17" s="218">
        <f t="shared" si="0"/>
        <v>2025</v>
      </c>
      <c r="J17" s="125"/>
    </row>
    <row r="18" spans="2:10" x14ac:dyDescent="0.25">
      <c r="B18" s="176">
        <v>1381477</v>
      </c>
      <c r="C18" s="22"/>
      <c r="D18" s="213" t="s">
        <v>194</v>
      </c>
      <c r="E18" s="214">
        <v>2.46E-2</v>
      </c>
      <c r="F18" s="214">
        <v>3.2800000000000003E-2</v>
      </c>
      <c r="G18" s="214">
        <v>3.4000000000000002E-2</v>
      </c>
      <c r="H18" s="214">
        <v>3.5999999999999997E-2</v>
      </c>
      <c r="I18" s="215">
        <v>3.5999999999999997E-2</v>
      </c>
      <c r="J18" s="125"/>
    </row>
    <row r="19" spans="2:10" x14ac:dyDescent="0.25">
      <c r="B19" s="176">
        <v>740815</v>
      </c>
      <c r="C19" s="22"/>
      <c r="D19" s="206" t="s">
        <v>195</v>
      </c>
      <c r="E19" s="192">
        <v>5.5E-2</v>
      </c>
      <c r="F19" s="192">
        <v>4.4999999999999998E-2</v>
      </c>
      <c r="G19" s="192">
        <v>4.4999999999999998E-2</v>
      </c>
      <c r="H19" s="192">
        <v>0.04</v>
      </c>
      <c r="I19" s="201">
        <v>0.04</v>
      </c>
      <c r="J19" s="125"/>
    </row>
    <row r="20" spans="2:10" x14ac:dyDescent="0.25">
      <c r="B20" s="176">
        <v>1256849</v>
      </c>
      <c r="C20" s="22"/>
      <c r="D20" s="206" t="s">
        <v>196</v>
      </c>
      <c r="E20" s="193">
        <v>3620</v>
      </c>
      <c r="F20" s="193">
        <v>3550</v>
      </c>
      <c r="G20" s="193">
        <v>3550</v>
      </c>
      <c r="H20" s="193">
        <v>3590</v>
      </c>
      <c r="I20" s="207">
        <v>3580</v>
      </c>
      <c r="J20" s="125"/>
    </row>
    <row r="21" spans="2:10" x14ac:dyDescent="0.25">
      <c r="B21" s="176">
        <v>664162</v>
      </c>
      <c r="C21" s="22"/>
      <c r="D21" s="206" t="s">
        <v>197</v>
      </c>
      <c r="E21" s="192">
        <v>2.41E-2</v>
      </c>
      <c r="F21" s="192">
        <v>3.4000000000000002E-2</v>
      </c>
      <c r="G21" s="192">
        <v>4.4900000000000002E-2</v>
      </c>
      <c r="H21" s="192">
        <v>4.99E-2</v>
      </c>
      <c r="I21" s="201">
        <v>4.99E-2</v>
      </c>
      <c r="J21" s="125"/>
    </row>
    <row r="22" spans="2:10" x14ac:dyDescent="0.25">
      <c r="B22" s="176">
        <v>1308146</v>
      </c>
      <c r="C22" s="22"/>
      <c r="D22" s="206" t="s">
        <v>199</v>
      </c>
      <c r="E22" s="193"/>
      <c r="F22" s="194">
        <v>0.05</v>
      </c>
      <c r="G22" s="194">
        <v>0.05</v>
      </c>
      <c r="H22" s="194">
        <v>0.05</v>
      </c>
      <c r="I22" s="208">
        <v>0.06</v>
      </c>
      <c r="J22" s="125"/>
    </row>
    <row r="23" spans="2:10" x14ac:dyDescent="0.25">
      <c r="B23" s="176">
        <v>902253</v>
      </c>
      <c r="C23" s="22"/>
      <c r="D23" s="206" t="s">
        <v>198</v>
      </c>
      <c r="E23" s="195">
        <v>0.03</v>
      </c>
      <c r="F23" s="195">
        <v>0.03</v>
      </c>
      <c r="G23" s="195">
        <v>0.03</v>
      </c>
      <c r="H23" s="195">
        <v>0.03</v>
      </c>
      <c r="I23" s="209">
        <v>0.03</v>
      </c>
      <c r="J23" s="125"/>
    </row>
    <row r="24" spans="2:10" ht="16.5" thickBot="1" x14ac:dyDescent="0.3">
      <c r="B24" s="176">
        <v>752026</v>
      </c>
      <c r="C24" s="22"/>
      <c r="D24" s="210" t="s">
        <v>82</v>
      </c>
      <c r="E24" s="211">
        <v>0.33</v>
      </c>
      <c r="F24" s="211">
        <v>0.33</v>
      </c>
      <c r="G24" s="211">
        <v>0.33</v>
      </c>
      <c r="H24" s="211">
        <v>0.33</v>
      </c>
      <c r="I24" s="212">
        <v>0.33</v>
      </c>
      <c r="J24" s="125"/>
    </row>
    <row r="25" spans="2:10" ht="16.5" thickBot="1" x14ac:dyDescent="0.3">
      <c r="B25" s="176">
        <v>877577</v>
      </c>
      <c r="C25" s="22"/>
      <c r="D25" s="10"/>
      <c r="E25" s="10"/>
      <c r="F25" s="10"/>
      <c r="G25" s="10"/>
      <c r="H25" s="10"/>
      <c r="I25" s="10"/>
      <c r="J25" s="125"/>
    </row>
    <row r="26" spans="2:10" ht="16.5" thickBot="1" x14ac:dyDescent="0.3">
      <c r="B26" s="176">
        <v>1140393</v>
      </c>
      <c r="C26" s="22"/>
      <c r="D26" s="203" t="s">
        <v>859</v>
      </c>
      <c r="E26" s="205" t="s">
        <v>599</v>
      </c>
      <c r="F26" s="204" t="str">
        <f>+VLOOKUP(E26,DAMODARAN!C4:K100,3,FALSE)</f>
        <v>0.74</v>
      </c>
      <c r="G26" s="41"/>
      <c r="H26" s="41"/>
      <c r="I26" s="41"/>
      <c r="J26" s="125"/>
    </row>
    <row r="27" spans="2:10" x14ac:dyDescent="0.25">
      <c r="B27" s="176">
        <v>1435530</v>
      </c>
      <c r="C27" s="22"/>
      <c r="D27" s="41"/>
      <c r="E27" s="41"/>
      <c r="F27" s="41"/>
      <c r="G27" s="41"/>
      <c r="H27" s="41"/>
      <c r="I27" s="41"/>
      <c r="J27" s="125"/>
    </row>
    <row r="28" spans="2:10" x14ac:dyDescent="0.25">
      <c r="B28" s="176">
        <v>664956</v>
      </c>
      <c r="C28" s="22"/>
      <c r="D28" s="41"/>
      <c r="E28" s="41"/>
      <c r="F28" s="41"/>
      <c r="G28" s="41"/>
      <c r="H28" s="41"/>
      <c r="I28" s="41"/>
      <c r="J28" s="125"/>
    </row>
    <row r="29" spans="2:10" x14ac:dyDescent="0.25">
      <c r="B29" s="176">
        <v>1088600</v>
      </c>
      <c r="C29" s="22"/>
      <c r="D29" s="41"/>
      <c r="E29" s="41"/>
      <c r="F29" s="41"/>
      <c r="G29" s="41"/>
      <c r="H29" s="41"/>
      <c r="I29" s="41"/>
      <c r="J29" s="125"/>
    </row>
    <row r="30" spans="2:10" x14ac:dyDescent="0.25">
      <c r="B30" s="176">
        <v>924446</v>
      </c>
      <c r="C30" s="22"/>
      <c r="D30" s="41"/>
      <c r="E30" s="41"/>
      <c r="F30" s="41"/>
      <c r="G30" s="41"/>
      <c r="H30" s="41"/>
      <c r="I30" s="41"/>
      <c r="J30" s="125"/>
    </row>
    <row r="31" spans="2:10" x14ac:dyDescent="0.25">
      <c r="B31" s="176">
        <v>607186</v>
      </c>
      <c r="C31" s="22"/>
      <c r="D31" s="41"/>
      <c r="E31" s="41"/>
      <c r="F31" s="41"/>
      <c r="G31" s="41"/>
      <c r="H31" s="41"/>
      <c r="I31" s="41"/>
      <c r="J31" s="125"/>
    </row>
    <row r="32" spans="2:10" ht="16.5" thickBot="1" x14ac:dyDescent="0.3">
      <c r="B32" s="176">
        <v>648475</v>
      </c>
      <c r="C32" s="77"/>
      <c r="D32" s="129"/>
      <c r="E32" s="129"/>
      <c r="F32" s="129"/>
      <c r="G32" s="129"/>
      <c r="H32" s="129"/>
      <c r="I32" s="129"/>
      <c r="J32" s="130"/>
    </row>
    <row r="33" spans="2:2" x14ac:dyDescent="0.25">
      <c r="B33" s="176">
        <v>1372142</v>
      </c>
    </row>
    <row r="34" spans="2:2" x14ac:dyDescent="0.25">
      <c r="B34" s="176">
        <v>1239042</v>
      </c>
    </row>
    <row r="35" spans="2:2" x14ac:dyDescent="0.25">
      <c r="B35" s="176">
        <v>1049144</v>
      </c>
    </row>
    <row r="36" spans="2:2" x14ac:dyDescent="0.25">
      <c r="B36" s="176">
        <v>736485</v>
      </c>
    </row>
    <row r="37" spans="2:2" x14ac:dyDescent="0.25">
      <c r="B37" s="176">
        <v>1307557</v>
      </c>
    </row>
    <row r="38" spans="2:2" x14ac:dyDescent="0.25">
      <c r="B38" s="176">
        <v>1410989</v>
      </c>
    </row>
    <row r="39" spans="2:2" x14ac:dyDescent="0.25">
      <c r="B39" s="176">
        <v>1149837</v>
      </c>
    </row>
    <row r="40" spans="2:2" x14ac:dyDescent="0.25">
      <c r="B40" s="176">
        <v>1256426</v>
      </c>
    </row>
    <row r="41" spans="2:2" x14ac:dyDescent="0.25">
      <c r="B41" s="176">
        <v>768072</v>
      </c>
    </row>
    <row r="42" spans="2:2" x14ac:dyDescent="0.25">
      <c r="B42" s="176">
        <v>1087717</v>
      </c>
    </row>
    <row r="43" spans="2:2" x14ac:dyDescent="0.25">
      <c r="B43" s="176">
        <v>899067</v>
      </c>
    </row>
    <row r="44" spans="2:2" x14ac:dyDescent="0.25">
      <c r="B44" s="176">
        <v>1092051</v>
      </c>
    </row>
    <row r="45" spans="2:2" x14ac:dyDescent="0.25">
      <c r="B45" s="176">
        <v>853619</v>
      </c>
    </row>
    <row r="46" spans="2:2" x14ac:dyDescent="0.25">
      <c r="B46" s="176">
        <v>601998</v>
      </c>
    </row>
    <row r="47" spans="2:2" x14ac:dyDescent="0.25">
      <c r="B47" s="176">
        <v>815326</v>
      </c>
    </row>
    <row r="48" spans="2:2" x14ac:dyDescent="0.25">
      <c r="B48" s="176">
        <v>1095358</v>
      </c>
    </row>
    <row r="49" spans="2:2" x14ac:dyDescent="0.25">
      <c r="B49" s="176">
        <v>895464</v>
      </c>
    </row>
    <row r="50" spans="2:2" x14ac:dyDescent="0.25">
      <c r="B50" s="176">
        <v>769221</v>
      </c>
    </row>
    <row r="51" spans="2:2" x14ac:dyDescent="0.25">
      <c r="B51" s="176">
        <v>1170216</v>
      </c>
    </row>
    <row r="52" spans="2:2" x14ac:dyDescent="0.25">
      <c r="B52" s="176">
        <v>644111</v>
      </c>
    </row>
    <row r="53" spans="2:2" x14ac:dyDescent="0.25">
      <c r="B53" s="176">
        <v>1064731</v>
      </c>
    </row>
    <row r="54" spans="2:2" x14ac:dyDescent="0.25">
      <c r="B54" s="176">
        <v>862129</v>
      </c>
    </row>
    <row r="55" spans="2:2" x14ac:dyDescent="0.25">
      <c r="B55" s="176">
        <v>888850</v>
      </c>
    </row>
    <row r="56" spans="2:2" x14ac:dyDescent="0.25">
      <c r="B56" s="176">
        <v>1194326</v>
      </c>
    </row>
    <row r="57" spans="2:2" x14ac:dyDescent="0.25">
      <c r="B57" s="176">
        <v>788290</v>
      </c>
    </row>
    <row r="58" spans="2:2" x14ac:dyDescent="0.25">
      <c r="B58" s="176">
        <v>979040</v>
      </c>
    </row>
    <row r="59" spans="2:2" x14ac:dyDescent="0.25">
      <c r="B59" s="176">
        <v>1244685</v>
      </c>
    </row>
    <row r="60" spans="2:2" x14ac:dyDescent="0.25">
      <c r="B60" s="176">
        <v>867730</v>
      </c>
    </row>
    <row r="61" spans="2:2" x14ac:dyDescent="0.25">
      <c r="B61" s="176">
        <v>905683</v>
      </c>
    </row>
    <row r="62" spans="2:2" x14ac:dyDescent="0.25">
      <c r="B62" s="176">
        <v>944068</v>
      </c>
    </row>
    <row r="63" spans="2:2" x14ac:dyDescent="0.25">
      <c r="B63" s="176">
        <v>713114</v>
      </c>
    </row>
    <row r="64" spans="2:2" x14ac:dyDescent="0.25">
      <c r="B64" s="176">
        <v>1344913</v>
      </c>
    </row>
    <row r="65" spans="2:2" x14ac:dyDescent="0.25">
      <c r="B65" s="176">
        <v>616190</v>
      </c>
    </row>
    <row r="66" spans="2:2" x14ac:dyDescent="0.25">
      <c r="B66" s="176">
        <v>1449970</v>
      </c>
    </row>
    <row r="67" spans="2:2" x14ac:dyDescent="0.25">
      <c r="B67" s="176">
        <v>695798</v>
      </c>
    </row>
    <row r="68" spans="2:2" x14ac:dyDescent="0.25">
      <c r="B68" s="176">
        <v>1033897</v>
      </c>
    </row>
    <row r="69" spans="2:2" x14ac:dyDescent="0.25">
      <c r="B69" s="176">
        <v>1036296</v>
      </c>
    </row>
    <row r="70" spans="2:2" x14ac:dyDescent="0.25">
      <c r="B70" s="176">
        <v>1146848</v>
      </c>
    </row>
    <row r="71" spans="2:2" x14ac:dyDescent="0.25">
      <c r="B71" s="176">
        <v>767053</v>
      </c>
    </row>
    <row r="72" spans="2:2" x14ac:dyDescent="0.25">
      <c r="B72" s="176">
        <v>873053</v>
      </c>
    </row>
    <row r="73" spans="2:2" x14ac:dyDescent="0.25">
      <c r="B73" s="176">
        <v>1331689</v>
      </c>
    </row>
    <row r="74" spans="2:2" x14ac:dyDescent="0.25">
      <c r="B74" s="176">
        <v>1171292</v>
      </c>
    </row>
    <row r="75" spans="2:2" x14ac:dyDescent="0.25">
      <c r="B75" s="176">
        <v>1283759</v>
      </c>
    </row>
    <row r="76" spans="2:2" x14ac:dyDescent="0.25">
      <c r="B76" s="176">
        <v>669479</v>
      </c>
    </row>
    <row r="77" spans="2:2" x14ac:dyDescent="0.25">
      <c r="B77" s="176">
        <v>1289129</v>
      </c>
    </row>
    <row r="78" spans="2:2" x14ac:dyDescent="0.25">
      <c r="B78" s="176">
        <v>992041</v>
      </c>
    </row>
    <row r="79" spans="2:2" x14ac:dyDescent="0.25">
      <c r="B79" s="176">
        <v>1095378</v>
      </c>
    </row>
    <row r="80" spans="2:2" x14ac:dyDescent="0.25">
      <c r="B80" s="176">
        <v>602354</v>
      </c>
    </row>
    <row r="81" spans="2:2" x14ac:dyDescent="0.25">
      <c r="B81" s="176">
        <v>1051618</v>
      </c>
    </row>
    <row r="82" spans="2:2" x14ac:dyDescent="0.25">
      <c r="B82" s="176">
        <v>1480600</v>
      </c>
    </row>
    <row r="83" spans="2:2" x14ac:dyDescent="0.25">
      <c r="B83" s="176">
        <v>705308</v>
      </c>
    </row>
    <row r="84" spans="2:2" x14ac:dyDescent="0.25">
      <c r="B84" s="176">
        <v>791777</v>
      </c>
    </row>
    <row r="85" spans="2:2" x14ac:dyDescent="0.25">
      <c r="B85" s="176">
        <v>930150</v>
      </c>
    </row>
    <row r="86" spans="2:2" x14ac:dyDescent="0.25">
      <c r="B86" s="176">
        <v>639535</v>
      </c>
    </row>
    <row r="87" spans="2:2" x14ac:dyDescent="0.25">
      <c r="B87" s="176">
        <v>740547</v>
      </c>
    </row>
    <row r="88" spans="2:2" x14ac:dyDescent="0.25">
      <c r="B88" s="176">
        <v>1115160</v>
      </c>
    </row>
    <row r="89" spans="2:2" x14ac:dyDescent="0.25">
      <c r="B89" s="176">
        <v>698252</v>
      </c>
    </row>
    <row r="90" spans="2:2" x14ac:dyDescent="0.25">
      <c r="B90" s="176">
        <v>1152543</v>
      </c>
    </row>
    <row r="91" spans="2:2" x14ac:dyDescent="0.25">
      <c r="B91" s="176">
        <v>1461982</v>
      </c>
    </row>
    <row r="92" spans="2:2" x14ac:dyDescent="0.25">
      <c r="B92" s="176">
        <v>1251687</v>
      </c>
    </row>
    <row r="93" spans="2:2" x14ac:dyDescent="0.25">
      <c r="B93" s="176">
        <v>620674</v>
      </c>
    </row>
    <row r="94" spans="2:2" x14ac:dyDescent="0.25">
      <c r="B94" s="176">
        <v>1320203</v>
      </c>
    </row>
    <row r="95" spans="2:2" x14ac:dyDescent="0.25">
      <c r="B95" s="176">
        <v>1226217</v>
      </c>
    </row>
    <row r="96" spans="2:2" x14ac:dyDescent="0.25">
      <c r="B96" s="176">
        <v>1398155</v>
      </c>
    </row>
    <row r="97" spans="2:2" x14ac:dyDescent="0.25">
      <c r="B97" s="176">
        <v>976980</v>
      </c>
    </row>
    <row r="98" spans="2:2" x14ac:dyDescent="0.25">
      <c r="B98" s="176">
        <v>837369</v>
      </c>
    </row>
    <row r="99" spans="2:2" x14ac:dyDescent="0.25">
      <c r="B99" s="176">
        <v>615432</v>
      </c>
    </row>
    <row r="100" spans="2:2" x14ac:dyDescent="0.25">
      <c r="B100" s="176">
        <v>1327708</v>
      </c>
    </row>
    <row r="101" spans="2:2" x14ac:dyDescent="0.25">
      <c r="B101" s="176">
        <v>925876</v>
      </c>
    </row>
    <row r="102" spans="2:2" x14ac:dyDescent="0.25">
      <c r="B102" s="176">
        <v>602999</v>
      </c>
    </row>
    <row r="103" spans="2:2" x14ac:dyDescent="0.25">
      <c r="B103" s="176">
        <v>1356086</v>
      </c>
    </row>
    <row r="104" spans="2:2" x14ac:dyDescent="0.25">
      <c r="B104" s="176">
        <v>791631</v>
      </c>
    </row>
    <row r="105" spans="2:2" x14ac:dyDescent="0.25">
      <c r="B105" s="176">
        <v>1440386</v>
      </c>
    </row>
    <row r="106" spans="2:2" x14ac:dyDescent="0.25">
      <c r="B106" s="176">
        <v>1341830</v>
      </c>
    </row>
    <row r="107" spans="2:2" x14ac:dyDescent="0.25">
      <c r="B107" s="176">
        <v>716446</v>
      </c>
    </row>
    <row r="108" spans="2:2" x14ac:dyDescent="0.25">
      <c r="B108" s="176">
        <v>783483</v>
      </c>
    </row>
    <row r="109" spans="2:2" x14ac:dyDescent="0.25">
      <c r="B109" s="176">
        <v>1264007</v>
      </c>
    </row>
    <row r="110" spans="2:2" x14ac:dyDescent="0.25">
      <c r="B110" s="176">
        <v>1241139</v>
      </c>
    </row>
    <row r="111" spans="2:2" x14ac:dyDescent="0.25">
      <c r="B111" s="176">
        <v>1177399</v>
      </c>
    </row>
    <row r="112" spans="2:2" x14ac:dyDescent="0.25">
      <c r="B112" s="176">
        <v>784816</v>
      </c>
    </row>
    <row r="113" spans="2:2" x14ac:dyDescent="0.25">
      <c r="B113" s="176">
        <v>996203</v>
      </c>
    </row>
    <row r="114" spans="2:2" x14ac:dyDescent="0.25">
      <c r="B114" s="176">
        <v>628398</v>
      </c>
    </row>
    <row r="115" spans="2:2" x14ac:dyDescent="0.25">
      <c r="B115" s="176">
        <v>1043842</v>
      </c>
    </row>
    <row r="116" spans="2:2" x14ac:dyDescent="0.25">
      <c r="B116" s="176">
        <v>749531</v>
      </c>
    </row>
    <row r="117" spans="2:2" x14ac:dyDescent="0.25">
      <c r="B117" s="176">
        <v>1339511</v>
      </c>
    </row>
    <row r="118" spans="2:2" x14ac:dyDescent="0.25">
      <c r="B118" s="176">
        <v>846974</v>
      </c>
    </row>
    <row r="119" spans="2:2" x14ac:dyDescent="0.25">
      <c r="B119" s="176">
        <v>935232</v>
      </c>
    </row>
    <row r="120" spans="2:2" x14ac:dyDescent="0.25">
      <c r="B120" s="176">
        <v>657968</v>
      </c>
    </row>
    <row r="121" spans="2:2" x14ac:dyDescent="0.25">
      <c r="B121" s="176">
        <v>808227</v>
      </c>
    </row>
    <row r="122" spans="2:2" x14ac:dyDescent="0.25">
      <c r="B122" s="176">
        <v>1193598</v>
      </c>
    </row>
    <row r="123" spans="2:2" x14ac:dyDescent="0.25">
      <c r="B123" s="176">
        <v>728096</v>
      </c>
    </row>
    <row r="124" spans="2:2" x14ac:dyDescent="0.25">
      <c r="B124" s="176">
        <v>1175709</v>
      </c>
    </row>
    <row r="125" spans="2:2" x14ac:dyDescent="0.25">
      <c r="B125" s="176">
        <v>1249982</v>
      </c>
    </row>
    <row r="126" spans="2:2" x14ac:dyDescent="0.25">
      <c r="B126" s="176">
        <v>1057511</v>
      </c>
    </row>
    <row r="127" spans="2:2" x14ac:dyDescent="0.25">
      <c r="B127" s="176">
        <v>1459015</v>
      </c>
    </row>
    <row r="128" spans="2:2" x14ac:dyDescent="0.25">
      <c r="B128" s="176">
        <v>878709</v>
      </c>
    </row>
    <row r="129" spans="2:2" x14ac:dyDescent="0.25">
      <c r="B129" s="176">
        <v>909869</v>
      </c>
    </row>
    <row r="130" spans="2:2" x14ac:dyDescent="0.25">
      <c r="B130" s="176">
        <v>1057223</v>
      </c>
    </row>
    <row r="131" spans="2:2" x14ac:dyDescent="0.25">
      <c r="B131" s="176">
        <v>1003932</v>
      </c>
    </row>
    <row r="132" spans="2:2" x14ac:dyDescent="0.25">
      <c r="B132" s="176">
        <v>1002100</v>
      </c>
    </row>
    <row r="133" spans="2:2" x14ac:dyDescent="0.25">
      <c r="B133" s="176">
        <v>897041</v>
      </c>
    </row>
    <row r="134" spans="2:2" x14ac:dyDescent="0.25">
      <c r="B134" s="176">
        <v>651228</v>
      </c>
    </row>
    <row r="135" spans="2:2" x14ac:dyDescent="0.25">
      <c r="B135" s="176">
        <v>1420534</v>
      </c>
    </row>
    <row r="136" spans="2:2" x14ac:dyDescent="0.25">
      <c r="B136" s="176">
        <v>1398669</v>
      </c>
    </row>
    <row r="137" spans="2:2" x14ac:dyDescent="0.25">
      <c r="B137" s="176">
        <v>845844</v>
      </c>
    </row>
    <row r="138" spans="2:2" x14ac:dyDescent="0.25">
      <c r="B138" s="176">
        <v>741370</v>
      </c>
    </row>
    <row r="139" spans="2:2" x14ac:dyDescent="0.25">
      <c r="B139" s="176">
        <v>1337728</v>
      </c>
    </row>
    <row r="140" spans="2:2" x14ac:dyDescent="0.25">
      <c r="B140" s="176">
        <v>759068</v>
      </c>
    </row>
    <row r="141" spans="2:2" x14ac:dyDescent="0.25">
      <c r="B141" s="176">
        <v>1381334</v>
      </c>
    </row>
    <row r="142" spans="2:2" x14ac:dyDescent="0.25">
      <c r="B142" s="176">
        <v>905592</v>
      </c>
    </row>
    <row r="143" spans="2:2" x14ac:dyDescent="0.25">
      <c r="B143" s="176">
        <v>1111771</v>
      </c>
    </row>
    <row r="144" spans="2:2" x14ac:dyDescent="0.25">
      <c r="B144" s="176">
        <v>1347352</v>
      </c>
    </row>
    <row r="145" spans="2:2" x14ac:dyDescent="0.25">
      <c r="B145" s="176">
        <v>918481</v>
      </c>
    </row>
    <row r="146" spans="2:2" x14ac:dyDescent="0.25">
      <c r="B146" s="176">
        <v>925334</v>
      </c>
    </row>
    <row r="147" spans="2:2" x14ac:dyDescent="0.25">
      <c r="B147" s="176">
        <v>1452008</v>
      </c>
    </row>
    <row r="148" spans="2:2" x14ac:dyDescent="0.25">
      <c r="B148" s="176">
        <v>638632</v>
      </c>
    </row>
    <row r="149" spans="2:2" x14ac:dyDescent="0.25">
      <c r="B149" s="176">
        <v>987588</v>
      </c>
    </row>
    <row r="150" spans="2:2" x14ac:dyDescent="0.25">
      <c r="B150" s="176">
        <v>1460046</v>
      </c>
    </row>
    <row r="151" spans="2:2" x14ac:dyDescent="0.25">
      <c r="B151" s="176">
        <v>1180875</v>
      </c>
    </row>
    <row r="152" spans="2:2" x14ac:dyDescent="0.25">
      <c r="B152" s="176">
        <v>704394</v>
      </c>
    </row>
    <row r="153" spans="2:2" x14ac:dyDescent="0.25">
      <c r="B153" s="176">
        <v>1133030</v>
      </c>
    </row>
    <row r="154" spans="2:2" x14ac:dyDescent="0.25">
      <c r="B154" s="176">
        <v>1411706</v>
      </c>
    </row>
    <row r="155" spans="2:2" x14ac:dyDescent="0.25">
      <c r="B155" s="176">
        <v>1329441</v>
      </c>
    </row>
    <row r="156" spans="2:2" x14ac:dyDescent="0.25">
      <c r="B156" s="176">
        <v>843252</v>
      </c>
    </row>
    <row r="157" spans="2:2" x14ac:dyDescent="0.25">
      <c r="B157" s="176">
        <v>1134587</v>
      </c>
    </row>
    <row r="158" spans="2:2" x14ac:dyDescent="0.25">
      <c r="B158" s="176">
        <v>1366629</v>
      </c>
    </row>
    <row r="159" spans="2:2" x14ac:dyDescent="0.25">
      <c r="B159" s="176">
        <v>1074901</v>
      </c>
    </row>
    <row r="160" spans="2:2" x14ac:dyDescent="0.25">
      <c r="B160" s="176">
        <v>1116914</v>
      </c>
    </row>
    <row r="161" spans="2:2" x14ac:dyDescent="0.25">
      <c r="B161" s="176">
        <v>649704</v>
      </c>
    </row>
    <row r="162" spans="2:2" x14ac:dyDescent="0.25">
      <c r="B162" s="176">
        <v>1079451</v>
      </c>
    </row>
    <row r="163" spans="2:2" x14ac:dyDescent="0.25">
      <c r="B163" s="176">
        <v>792886</v>
      </c>
    </row>
    <row r="164" spans="2:2" x14ac:dyDescent="0.25">
      <c r="B164" s="176">
        <v>1428538</v>
      </c>
    </row>
    <row r="165" spans="2:2" x14ac:dyDescent="0.25">
      <c r="B165" s="176">
        <v>725475</v>
      </c>
    </row>
    <row r="166" spans="2:2" x14ac:dyDescent="0.25">
      <c r="B166" s="176">
        <v>767375</v>
      </c>
    </row>
    <row r="167" spans="2:2" x14ac:dyDescent="0.25">
      <c r="B167" s="176">
        <v>1255239</v>
      </c>
    </row>
    <row r="168" spans="2:2" x14ac:dyDescent="0.25">
      <c r="B168" s="176">
        <v>950442</v>
      </c>
    </row>
    <row r="169" spans="2:2" x14ac:dyDescent="0.25">
      <c r="B169" s="176">
        <v>948696</v>
      </c>
    </row>
    <row r="170" spans="2:2" x14ac:dyDescent="0.25">
      <c r="B170" s="176">
        <v>1430571</v>
      </c>
    </row>
    <row r="171" spans="2:2" x14ac:dyDescent="0.25">
      <c r="B171" s="176">
        <v>1311597</v>
      </c>
    </row>
    <row r="172" spans="2:2" x14ac:dyDescent="0.25">
      <c r="B172" s="176">
        <v>1441610</v>
      </c>
    </row>
    <row r="173" spans="2:2" x14ac:dyDescent="0.25">
      <c r="B173" s="176">
        <v>1351415</v>
      </c>
    </row>
    <row r="174" spans="2:2" x14ac:dyDescent="0.25">
      <c r="B174" s="176">
        <v>651526</v>
      </c>
    </row>
    <row r="175" spans="2:2" x14ac:dyDescent="0.25">
      <c r="B175" s="176">
        <v>1259831</v>
      </c>
    </row>
    <row r="176" spans="2:2" x14ac:dyDescent="0.25">
      <c r="B176" s="176">
        <v>1023707</v>
      </c>
    </row>
    <row r="177" spans="2:2" x14ac:dyDescent="0.25">
      <c r="B177" s="176">
        <v>800035</v>
      </c>
    </row>
    <row r="178" spans="2:2" x14ac:dyDescent="0.25">
      <c r="B178" s="176">
        <v>815959</v>
      </c>
    </row>
    <row r="179" spans="2:2" x14ac:dyDescent="0.25">
      <c r="B179" s="176">
        <v>1214617</v>
      </c>
    </row>
    <row r="180" spans="2:2" x14ac:dyDescent="0.25">
      <c r="B180" s="176">
        <v>990966</v>
      </c>
    </row>
    <row r="181" spans="2:2" x14ac:dyDescent="0.25">
      <c r="B181" s="176">
        <v>1465228</v>
      </c>
    </row>
    <row r="182" spans="2:2" x14ac:dyDescent="0.25">
      <c r="B182" s="176">
        <v>909440</v>
      </c>
    </row>
    <row r="183" spans="2:2" x14ac:dyDescent="0.25">
      <c r="B183" s="176">
        <v>887633</v>
      </c>
    </row>
    <row r="184" spans="2:2" x14ac:dyDescent="0.25">
      <c r="B184" s="176">
        <v>608074</v>
      </c>
    </row>
    <row r="185" spans="2:2" x14ac:dyDescent="0.25">
      <c r="B185" s="176">
        <v>922080</v>
      </c>
    </row>
    <row r="186" spans="2:2" x14ac:dyDescent="0.25">
      <c r="B186" s="176">
        <v>1086253</v>
      </c>
    </row>
    <row r="187" spans="2:2" x14ac:dyDescent="0.25">
      <c r="B187" s="176">
        <v>1072073</v>
      </c>
    </row>
    <row r="188" spans="2:2" x14ac:dyDescent="0.25">
      <c r="B188" s="176">
        <v>1468578</v>
      </c>
    </row>
    <row r="189" spans="2:2" x14ac:dyDescent="0.25">
      <c r="B189" s="176">
        <v>946024</v>
      </c>
    </row>
    <row r="190" spans="2:2" x14ac:dyDescent="0.25">
      <c r="B190" s="176">
        <v>1379825</v>
      </c>
    </row>
    <row r="191" spans="2:2" x14ac:dyDescent="0.25">
      <c r="B191" s="176">
        <v>1408611</v>
      </c>
    </row>
    <row r="192" spans="2:2" x14ac:dyDescent="0.25">
      <c r="B192" s="176">
        <v>1380070</v>
      </c>
    </row>
    <row r="193" spans="2:2" x14ac:dyDescent="0.25">
      <c r="B193" s="176">
        <v>1393441</v>
      </c>
    </row>
    <row r="194" spans="2:2" x14ac:dyDescent="0.25">
      <c r="B194" s="176">
        <v>897579</v>
      </c>
    </row>
    <row r="195" spans="2:2" x14ac:dyDescent="0.25">
      <c r="B195" s="176">
        <v>1197595</v>
      </c>
    </row>
    <row r="196" spans="2:2" x14ac:dyDescent="0.25">
      <c r="B196" s="176">
        <v>1378900</v>
      </c>
    </row>
    <row r="197" spans="2:2" x14ac:dyDescent="0.25">
      <c r="B197" s="176">
        <v>1457717</v>
      </c>
    </row>
    <row r="198" spans="2:2" x14ac:dyDescent="0.25">
      <c r="B198" s="176">
        <v>1414725</v>
      </c>
    </row>
    <row r="199" spans="2:2" x14ac:dyDescent="0.25">
      <c r="B199" s="176">
        <v>1081155</v>
      </c>
    </row>
    <row r="200" spans="2:2" x14ac:dyDescent="0.25">
      <c r="B200" s="176">
        <v>1477308</v>
      </c>
    </row>
    <row r="201" spans="2:2" x14ac:dyDescent="0.25">
      <c r="B201" s="176">
        <v>1157843</v>
      </c>
    </row>
    <row r="202" spans="2:2" x14ac:dyDescent="0.25">
      <c r="B202" s="176">
        <v>1053160</v>
      </c>
    </row>
    <row r="203" spans="2:2" x14ac:dyDescent="0.25">
      <c r="B203" s="176">
        <v>1011206</v>
      </c>
    </row>
    <row r="204" spans="2:2" x14ac:dyDescent="0.25">
      <c r="B204" s="176">
        <v>1369089</v>
      </c>
    </row>
    <row r="205" spans="2:2" x14ac:dyDescent="0.25">
      <c r="B205" s="176">
        <v>1039737</v>
      </c>
    </row>
    <row r="206" spans="2:2" x14ac:dyDescent="0.25">
      <c r="B206" s="176">
        <v>665069</v>
      </c>
    </row>
    <row r="207" spans="2:2" x14ac:dyDescent="0.25">
      <c r="B207" s="176">
        <v>1012505</v>
      </c>
    </row>
    <row r="208" spans="2:2" x14ac:dyDescent="0.25">
      <c r="B208" s="176">
        <v>1219997</v>
      </c>
    </row>
    <row r="209" spans="2:2" x14ac:dyDescent="0.25">
      <c r="B209" s="176">
        <v>673645</v>
      </c>
    </row>
    <row r="210" spans="2:2" x14ac:dyDescent="0.25">
      <c r="B210" s="176">
        <v>659779</v>
      </c>
    </row>
    <row r="211" spans="2:2" x14ac:dyDescent="0.25">
      <c r="B211" s="176">
        <v>1144934</v>
      </c>
    </row>
    <row r="212" spans="2:2" x14ac:dyDescent="0.25">
      <c r="B212" s="176">
        <v>1337303</v>
      </c>
    </row>
    <row r="213" spans="2:2" x14ac:dyDescent="0.25">
      <c r="B213" s="176">
        <v>811257</v>
      </c>
    </row>
    <row r="214" spans="2:2" x14ac:dyDescent="0.25">
      <c r="B214" s="176">
        <v>858704</v>
      </c>
    </row>
    <row r="215" spans="2:2" x14ac:dyDescent="0.25">
      <c r="B215" s="176">
        <v>1325000</v>
      </c>
    </row>
    <row r="216" spans="2:2" x14ac:dyDescent="0.25">
      <c r="B216" s="176">
        <v>884899</v>
      </c>
    </row>
    <row r="217" spans="2:2" x14ac:dyDescent="0.25">
      <c r="B217" s="176">
        <v>831264</v>
      </c>
    </row>
    <row r="218" spans="2:2" x14ac:dyDescent="0.25">
      <c r="B218" s="176">
        <v>1077805</v>
      </c>
    </row>
    <row r="219" spans="2:2" x14ac:dyDescent="0.25">
      <c r="B219" s="176">
        <v>1496906</v>
      </c>
    </row>
    <row r="220" spans="2:2" x14ac:dyDescent="0.25">
      <c r="B220" s="176">
        <v>601505</v>
      </c>
    </row>
    <row r="221" spans="2:2" x14ac:dyDescent="0.25">
      <c r="B221" s="176">
        <v>891393</v>
      </c>
    </row>
    <row r="222" spans="2:2" x14ac:dyDescent="0.25">
      <c r="B222" s="176">
        <v>1449700</v>
      </c>
    </row>
    <row r="223" spans="2:2" x14ac:dyDescent="0.25">
      <c r="B223" s="176">
        <v>668875</v>
      </c>
    </row>
    <row r="224" spans="2:2" x14ac:dyDescent="0.25">
      <c r="B224" s="176">
        <v>1014875</v>
      </c>
    </row>
    <row r="225" spans="2:2" x14ac:dyDescent="0.25">
      <c r="B225" s="176">
        <v>1424946</v>
      </c>
    </row>
    <row r="226" spans="2:2" x14ac:dyDescent="0.25">
      <c r="B226" s="176">
        <v>659052</v>
      </c>
    </row>
    <row r="227" spans="2:2" x14ac:dyDescent="0.25">
      <c r="B227" s="176">
        <v>1264244</v>
      </c>
    </row>
    <row r="228" spans="2:2" x14ac:dyDescent="0.25">
      <c r="B228" s="176">
        <v>798896</v>
      </c>
    </row>
    <row r="229" spans="2:2" x14ac:dyDescent="0.25">
      <c r="B229" s="176">
        <v>1025622</v>
      </c>
    </row>
    <row r="230" spans="2:2" x14ac:dyDescent="0.25">
      <c r="B230" s="176">
        <v>993384</v>
      </c>
    </row>
    <row r="231" spans="2:2" x14ac:dyDescent="0.25">
      <c r="B231" s="176">
        <v>1362928</v>
      </c>
    </row>
    <row r="232" spans="2:2" x14ac:dyDescent="0.25">
      <c r="B232" s="176">
        <v>1099558</v>
      </c>
    </row>
    <row r="233" spans="2:2" x14ac:dyDescent="0.25">
      <c r="B233" s="176">
        <v>1137859</v>
      </c>
    </row>
    <row r="234" spans="2:2" x14ac:dyDescent="0.25">
      <c r="B234" s="176">
        <v>956990</v>
      </c>
    </row>
    <row r="235" spans="2:2" x14ac:dyDescent="0.25">
      <c r="B235" s="176">
        <v>1180357</v>
      </c>
    </row>
    <row r="236" spans="2:2" x14ac:dyDescent="0.25">
      <c r="B236" s="176">
        <v>1164777</v>
      </c>
    </row>
    <row r="237" spans="2:2" x14ac:dyDescent="0.25">
      <c r="B237" s="176">
        <v>1277178</v>
      </c>
    </row>
    <row r="238" spans="2:2" x14ac:dyDescent="0.25">
      <c r="B238" s="176">
        <v>1201914</v>
      </c>
    </row>
    <row r="239" spans="2:2" x14ac:dyDescent="0.25">
      <c r="B239" s="176">
        <v>1364019</v>
      </c>
    </row>
    <row r="240" spans="2:2" x14ac:dyDescent="0.25">
      <c r="B240" s="176">
        <v>1303829</v>
      </c>
    </row>
    <row r="241" spans="2:2" x14ac:dyDescent="0.25">
      <c r="B241" s="176">
        <v>749211</v>
      </c>
    </row>
    <row r="242" spans="2:2" x14ac:dyDescent="0.25">
      <c r="B242" s="176">
        <v>1409314</v>
      </c>
    </row>
    <row r="243" spans="2:2" x14ac:dyDescent="0.25">
      <c r="B243" s="176">
        <v>927514</v>
      </c>
    </row>
    <row r="244" spans="2:2" x14ac:dyDescent="0.25">
      <c r="B244" s="176">
        <v>814106</v>
      </c>
    </row>
    <row r="245" spans="2:2" x14ac:dyDescent="0.25">
      <c r="B245" s="176">
        <v>1241873</v>
      </c>
    </row>
    <row r="246" spans="2:2" x14ac:dyDescent="0.25">
      <c r="B246" s="176">
        <v>1139459</v>
      </c>
    </row>
    <row r="247" spans="2:2" x14ac:dyDescent="0.25">
      <c r="B247" s="176">
        <v>1318609</v>
      </c>
    </row>
    <row r="248" spans="2:2" x14ac:dyDescent="0.25">
      <c r="B248" s="176">
        <v>798450</v>
      </c>
    </row>
    <row r="249" spans="2:2" x14ac:dyDescent="0.25">
      <c r="B249" s="176">
        <v>656709</v>
      </c>
    </row>
    <row r="250" spans="2:2" x14ac:dyDescent="0.25">
      <c r="B250" s="176">
        <v>1014602</v>
      </c>
    </row>
    <row r="251" spans="2:2" x14ac:dyDescent="0.25">
      <c r="B251" s="176">
        <v>1028155</v>
      </c>
    </row>
    <row r="252" spans="2:2" x14ac:dyDescent="0.25">
      <c r="B252" s="176">
        <v>609462</v>
      </c>
    </row>
    <row r="253" spans="2:2" x14ac:dyDescent="0.25">
      <c r="B253" s="176">
        <v>747139</v>
      </c>
    </row>
    <row r="254" spans="2:2" x14ac:dyDescent="0.25">
      <c r="B254" s="176">
        <v>1251119</v>
      </c>
    </row>
    <row r="255" spans="2:2" x14ac:dyDescent="0.25">
      <c r="B255" s="176">
        <v>797831</v>
      </c>
    </row>
    <row r="256" spans="2:2" x14ac:dyDescent="0.25">
      <c r="B256" s="176">
        <v>1084213</v>
      </c>
    </row>
    <row r="257" spans="2:2" x14ac:dyDescent="0.25">
      <c r="B257" s="176">
        <v>761844</v>
      </c>
    </row>
    <row r="258" spans="2:2" x14ac:dyDescent="0.25">
      <c r="B258" s="176">
        <v>1445890</v>
      </c>
    </row>
    <row r="259" spans="2:2" x14ac:dyDescent="0.25">
      <c r="B259" s="176">
        <v>708981</v>
      </c>
    </row>
    <row r="260" spans="2:2" x14ac:dyDescent="0.25">
      <c r="B260" s="176">
        <v>1115346</v>
      </c>
    </row>
    <row r="261" spans="2:2" x14ac:dyDescent="0.25">
      <c r="B261" s="176">
        <v>1036147</v>
      </c>
    </row>
    <row r="262" spans="2:2" x14ac:dyDescent="0.25">
      <c r="B262" s="176">
        <v>892304</v>
      </c>
    </row>
    <row r="263" spans="2:2" x14ac:dyDescent="0.25">
      <c r="B263" s="176">
        <v>1498640</v>
      </c>
    </row>
    <row r="264" spans="2:2" x14ac:dyDescent="0.25">
      <c r="B264" s="176">
        <v>1237814</v>
      </c>
    </row>
    <row r="265" spans="2:2" x14ac:dyDescent="0.25">
      <c r="B265" s="176">
        <v>636751</v>
      </c>
    </row>
    <row r="266" spans="2:2" x14ac:dyDescent="0.25">
      <c r="B266" s="176">
        <v>944469</v>
      </c>
    </row>
    <row r="267" spans="2:2" x14ac:dyDescent="0.25">
      <c r="B267" s="176">
        <v>910870</v>
      </c>
    </row>
    <row r="268" spans="2:2" x14ac:dyDescent="0.25">
      <c r="B268" s="176">
        <v>1087689</v>
      </c>
    </row>
    <row r="269" spans="2:2" x14ac:dyDescent="0.25">
      <c r="B269" s="176">
        <v>668845</v>
      </c>
    </row>
    <row r="270" spans="2:2" x14ac:dyDescent="0.25">
      <c r="B270" s="176">
        <v>895733</v>
      </c>
    </row>
    <row r="271" spans="2:2" x14ac:dyDescent="0.25">
      <c r="B271" s="176">
        <v>1138475</v>
      </c>
    </row>
    <row r="272" spans="2:2" x14ac:dyDescent="0.25">
      <c r="B272" s="176">
        <v>1365776</v>
      </c>
    </row>
    <row r="273" spans="2:2" x14ac:dyDescent="0.25">
      <c r="B273" s="176">
        <v>860405</v>
      </c>
    </row>
    <row r="274" spans="2:2" x14ac:dyDescent="0.25">
      <c r="B274" s="176">
        <v>957268</v>
      </c>
    </row>
    <row r="275" spans="2:2" x14ac:dyDescent="0.25">
      <c r="B275" s="176">
        <v>1277112</v>
      </c>
    </row>
    <row r="276" spans="2:2" x14ac:dyDescent="0.25">
      <c r="B276" s="176">
        <v>1389287</v>
      </c>
    </row>
    <row r="277" spans="2:2" x14ac:dyDescent="0.25">
      <c r="B277" s="176">
        <v>1060808</v>
      </c>
    </row>
    <row r="278" spans="2:2" x14ac:dyDescent="0.25">
      <c r="B278" s="176">
        <v>1240733</v>
      </c>
    </row>
    <row r="279" spans="2:2" x14ac:dyDescent="0.25">
      <c r="B279" s="176">
        <v>1141893</v>
      </c>
    </row>
    <row r="280" spans="2:2" x14ac:dyDescent="0.25">
      <c r="B280" s="176">
        <v>1450840</v>
      </c>
    </row>
    <row r="281" spans="2:2" x14ac:dyDescent="0.25">
      <c r="B281" s="176">
        <v>703785</v>
      </c>
    </row>
    <row r="282" spans="2:2" x14ac:dyDescent="0.25">
      <c r="B282" s="176">
        <v>1385137</v>
      </c>
    </row>
    <row r="283" spans="2:2" x14ac:dyDescent="0.25">
      <c r="B283" s="176">
        <v>693153</v>
      </c>
    </row>
    <row r="284" spans="2:2" x14ac:dyDescent="0.25">
      <c r="B284" s="176">
        <v>725826</v>
      </c>
    </row>
    <row r="285" spans="2:2" x14ac:dyDescent="0.25">
      <c r="B285" s="176">
        <v>945493</v>
      </c>
    </row>
    <row r="286" spans="2:2" x14ac:dyDescent="0.25">
      <c r="B286" s="176">
        <v>779025</v>
      </c>
    </row>
    <row r="287" spans="2:2" x14ac:dyDescent="0.25">
      <c r="B287" s="176">
        <v>1491859</v>
      </c>
    </row>
    <row r="288" spans="2:2" x14ac:dyDescent="0.25">
      <c r="B288" s="176">
        <v>1488619</v>
      </c>
    </row>
    <row r="289" spans="2:2" x14ac:dyDescent="0.25">
      <c r="B289" s="176">
        <v>769557</v>
      </c>
    </row>
    <row r="290" spans="2:2" x14ac:dyDescent="0.25">
      <c r="B290" s="176">
        <v>1352262</v>
      </c>
    </row>
    <row r="291" spans="2:2" x14ac:dyDescent="0.25">
      <c r="B291" s="176">
        <v>1299791</v>
      </c>
    </row>
    <row r="292" spans="2:2" x14ac:dyDescent="0.25">
      <c r="B292" s="176">
        <v>1224485</v>
      </c>
    </row>
    <row r="293" spans="2:2" x14ac:dyDescent="0.25">
      <c r="B293" s="176">
        <v>1035352</v>
      </c>
    </row>
    <row r="294" spans="2:2" x14ac:dyDescent="0.25">
      <c r="B294" s="176">
        <v>626681</v>
      </c>
    </row>
    <row r="295" spans="2:2" x14ac:dyDescent="0.25">
      <c r="B295" s="176">
        <v>1392811</v>
      </c>
    </row>
    <row r="296" spans="2:2" x14ac:dyDescent="0.25">
      <c r="B296" s="176">
        <v>1312318</v>
      </c>
    </row>
    <row r="297" spans="2:2" x14ac:dyDescent="0.25">
      <c r="B297" s="176">
        <v>864143</v>
      </c>
    </row>
    <row r="298" spans="2:2" x14ac:dyDescent="0.25">
      <c r="B298" s="176">
        <v>806542</v>
      </c>
    </row>
    <row r="299" spans="2:2" x14ac:dyDescent="0.25">
      <c r="B299" s="176">
        <v>799525</v>
      </c>
    </row>
    <row r="300" spans="2:2" x14ac:dyDescent="0.25">
      <c r="B300" s="176">
        <v>695975</v>
      </c>
    </row>
    <row r="301" spans="2:2" x14ac:dyDescent="0.25">
      <c r="B301" s="176">
        <v>735909</v>
      </c>
    </row>
    <row r="302" spans="2:2" x14ac:dyDescent="0.25">
      <c r="B302" s="176">
        <v>808477</v>
      </c>
    </row>
    <row r="303" spans="2:2" x14ac:dyDescent="0.25">
      <c r="B303" s="176">
        <v>796521</v>
      </c>
    </row>
    <row r="304" spans="2:2" x14ac:dyDescent="0.25">
      <c r="B304" s="176">
        <v>626409</v>
      </c>
    </row>
    <row r="305" spans="2:2" x14ac:dyDescent="0.25">
      <c r="B305" s="176">
        <v>1471284</v>
      </c>
    </row>
    <row r="306" spans="2:2" x14ac:dyDescent="0.25">
      <c r="B306" s="176">
        <v>672104</v>
      </c>
    </row>
    <row r="307" spans="2:2" x14ac:dyDescent="0.25">
      <c r="B307" s="176">
        <v>1445270</v>
      </c>
    </row>
    <row r="308" spans="2:2" x14ac:dyDescent="0.25">
      <c r="B308" s="176">
        <v>1443640</v>
      </c>
    </row>
    <row r="309" spans="2:2" x14ac:dyDescent="0.25">
      <c r="B309" s="176">
        <v>653314</v>
      </c>
    </row>
    <row r="310" spans="2:2" x14ac:dyDescent="0.25">
      <c r="B310" s="176">
        <v>1102781</v>
      </c>
    </row>
    <row r="311" spans="2:2" x14ac:dyDescent="0.25">
      <c r="B311" s="176">
        <v>1434870</v>
      </c>
    </row>
    <row r="312" spans="2:2" x14ac:dyDescent="0.25">
      <c r="B312" s="176">
        <v>872068</v>
      </c>
    </row>
    <row r="313" spans="2:2" x14ac:dyDescent="0.25">
      <c r="B313" s="176">
        <v>1339140</v>
      </c>
    </row>
    <row r="314" spans="2:2" x14ac:dyDescent="0.25">
      <c r="B314" s="176">
        <v>1371418</v>
      </c>
    </row>
    <row r="315" spans="2:2" x14ac:dyDescent="0.25">
      <c r="B315" s="176">
        <v>1219831</v>
      </c>
    </row>
    <row r="316" spans="2:2" x14ac:dyDescent="0.25">
      <c r="B316" s="176">
        <v>775104</v>
      </c>
    </row>
    <row r="317" spans="2:2" x14ac:dyDescent="0.25">
      <c r="B317" s="176">
        <v>656479</v>
      </c>
    </row>
    <row r="318" spans="2:2" x14ac:dyDescent="0.25">
      <c r="B318" s="176">
        <v>1232522</v>
      </c>
    </row>
    <row r="319" spans="2:2" x14ac:dyDescent="0.25">
      <c r="B319" s="176">
        <v>1438553</v>
      </c>
    </row>
    <row r="320" spans="2:2" x14ac:dyDescent="0.25">
      <c r="B320" s="176">
        <v>1247175</v>
      </c>
    </row>
    <row r="321" spans="2:2" x14ac:dyDescent="0.25">
      <c r="B321" s="176">
        <v>1075064</v>
      </c>
    </row>
    <row r="322" spans="2:2" x14ac:dyDescent="0.25">
      <c r="B322" s="176">
        <v>1474509</v>
      </c>
    </row>
    <row r="323" spans="2:2" x14ac:dyDescent="0.25">
      <c r="B323" s="176">
        <v>1023572</v>
      </c>
    </row>
    <row r="324" spans="2:2" x14ac:dyDescent="0.25">
      <c r="B324" s="176">
        <v>796247</v>
      </c>
    </row>
    <row r="325" spans="2:2" x14ac:dyDescent="0.25">
      <c r="B325" s="176">
        <v>1034995</v>
      </c>
    </row>
    <row r="326" spans="2:2" x14ac:dyDescent="0.25">
      <c r="B326" s="176">
        <v>1404492</v>
      </c>
    </row>
    <row r="327" spans="2:2" x14ac:dyDescent="0.25">
      <c r="B327" s="176">
        <v>1318500</v>
      </c>
    </row>
    <row r="328" spans="2:2" x14ac:dyDescent="0.25">
      <c r="B328" s="176">
        <v>1108547</v>
      </c>
    </row>
    <row r="329" spans="2:2" x14ac:dyDescent="0.25">
      <c r="B329" s="176">
        <v>1095999</v>
      </c>
    </row>
    <row r="330" spans="2:2" x14ac:dyDescent="0.25">
      <c r="B330" s="176">
        <v>1033340</v>
      </c>
    </row>
    <row r="331" spans="2:2" x14ac:dyDescent="0.25">
      <c r="B331" s="176">
        <v>1063976</v>
      </c>
    </row>
    <row r="332" spans="2:2" x14ac:dyDescent="0.25">
      <c r="B332" s="176">
        <v>1157748</v>
      </c>
    </row>
    <row r="333" spans="2:2" x14ac:dyDescent="0.25">
      <c r="B333" s="176">
        <v>1014740</v>
      </c>
    </row>
    <row r="334" spans="2:2" x14ac:dyDescent="0.25">
      <c r="B334" s="176">
        <v>937492</v>
      </c>
    </row>
    <row r="335" spans="2:2" x14ac:dyDescent="0.25">
      <c r="B335" s="176">
        <v>1296714</v>
      </c>
    </row>
    <row r="336" spans="2:2" x14ac:dyDescent="0.25">
      <c r="B336" s="176">
        <v>1057749</v>
      </c>
    </row>
    <row r="337" spans="2:2" x14ac:dyDescent="0.25">
      <c r="B337" s="176">
        <v>1036553</v>
      </c>
    </row>
    <row r="338" spans="2:2" x14ac:dyDescent="0.25">
      <c r="B338" s="176">
        <v>1331649</v>
      </c>
    </row>
    <row r="339" spans="2:2" x14ac:dyDescent="0.25">
      <c r="B339" s="176">
        <v>762430</v>
      </c>
    </row>
    <row r="340" spans="2:2" x14ac:dyDescent="0.25">
      <c r="B340" s="176">
        <v>752066</v>
      </c>
    </row>
    <row r="341" spans="2:2" x14ac:dyDescent="0.25">
      <c r="B341" s="176">
        <v>1425298</v>
      </c>
    </row>
    <row r="342" spans="2:2" x14ac:dyDescent="0.25">
      <c r="B342" s="176">
        <v>717763</v>
      </c>
    </row>
    <row r="343" spans="2:2" x14ac:dyDescent="0.25">
      <c r="B343" s="176">
        <v>1396777</v>
      </c>
    </row>
    <row r="344" spans="2:2" x14ac:dyDescent="0.25">
      <c r="B344" s="176">
        <v>1032862</v>
      </c>
    </row>
    <row r="345" spans="2:2" x14ac:dyDescent="0.25">
      <c r="B345" s="176">
        <v>1405964</v>
      </c>
    </row>
    <row r="346" spans="2:2" x14ac:dyDescent="0.25">
      <c r="B346" s="176">
        <v>742774</v>
      </c>
    </row>
    <row r="347" spans="2:2" x14ac:dyDescent="0.25">
      <c r="B347" s="176">
        <v>1158574</v>
      </c>
    </row>
    <row r="348" spans="2:2" x14ac:dyDescent="0.25">
      <c r="B348" s="176">
        <v>1338189</v>
      </c>
    </row>
    <row r="349" spans="2:2" x14ac:dyDescent="0.25">
      <c r="B349" s="176">
        <v>841924</v>
      </c>
    </row>
    <row r="350" spans="2:2" x14ac:dyDescent="0.25">
      <c r="B350" s="176">
        <v>1351096</v>
      </c>
    </row>
    <row r="351" spans="2:2" x14ac:dyDescent="0.25">
      <c r="B351" s="176">
        <v>850566</v>
      </c>
    </row>
    <row r="352" spans="2:2" x14ac:dyDescent="0.25">
      <c r="B352" s="176">
        <v>954066</v>
      </c>
    </row>
    <row r="353" spans="2:2" x14ac:dyDescent="0.25">
      <c r="B353" s="176">
        <v>1325465</v>
      </c>
    </row>
    <row r="354" spans="2:2" x14ac:dyDescent="0.25">
      <c r="B354" s="176">
        <v>721812</v>
      </c>
    </row>
    <row r="355" spans="2:2" x14ac:dyDescent="0.25">
      <c r="B355" s="176">
        <v>1265642</v>
      </c>
    </row>
    <row r="356" spans="2:2" x14ac:dyDescent="0.25">
      <c r="B356" s="176">
        <v>1420830</v>
      </c>
    </row>
    <row r="357" spans="2:2" x14ac:dyDescent="0.25">
      <c r="B357" s="176">
        <v>714627</v>
      </c>
    </row>
    <row r="358" spans="2:2" x14ac:dyDescent="0.25">
      <c r="B358" s="176">
        <v>729148</v>
      </c>
    </row>
    <row r="359" spans="2:2" x14ac:dyDescent="0.25">
      <c r="B359" s="176">
        <v>751966</v>
      </c>
    </row>
    <row r="360" spans="2:2" x14ac:dyDescent="0.25">
      <c r="B360" s="176">
        <v>1405874</v>
      </c>
    </row>
    <row r="361" spans="2:2" x14ac:dyDescent="0.25">
      <c r="B361" s="176">
        <v>1145049</v>
      </c>
    </row>
    <row r="362" spans="2:2" x14ac:dyDescent="0.25">
      <c r="B362" s="176">
        <v>893034</v>
      </c>
    </row>
    <row r="363" spans="2:2" x14ac:dyDescent="0.25">
      <c r="B363" s="176">
        <v>1103162</v>
      </c>
    </row>
    <row r="364" spans="2:2" x14ac:dyDescent="0.25">
      <c r="B364" s="176">
        <v>918290</v>
      </c>
    </row>
    <row r="365" spans="2:2" x14ac:dyDescent="0.25">
      <c r="B365" s="176">
        <v>1313161</v>
      </c>
    </row>
    <row r="366" spans="2:2" x14ac:dyDescent="0.25">
      <c r="B366" s="176">
        <v>1491956</v>
      </c>
    </row>
    <row r="367" spans="2:2" x14ac:dyDescent="0.25">
      <c r="B367" s="176">
        <v>1449195</v>
      </c>
    </row>
    <row r="368" spans="2:2" x14ac:dyDescent="0.25">
      <c r="B368" s="176">
        <v>1243860</v>
      </c>
    </row>
    <row r="369" spans="2:2" x14ac:dyDescent="0.25">
      <c r="B369" s="176">
        <v>1431950</v>
      </c>
    </row>
    <row r="370" spans="2:2" x14ac:dyDescent="0.25">
      <c r="B370" s="176">
        <v>963161</v>
      </c>
    </row>
    <row r="371" spans="2:2" x14ac:dyDescent="0.25">
      <c r="B371" s="176">
        <v>881451</v>
      </c>
    </row>
    <row r="372" spans="2:2" x14ac:dyDescent="0.25">
      <c r="B372" s="176">
        <v>1282142</v>
      </c>
    </row>
    <row r="373" spans="2:2" x14ac:dyDescent="0.25">
      <c r="B373" s="176">
        <v>662005</v>
      </c>
    </row>
    <row r="374" spans="2:2" x14ac:dyDescent="0.25">
      <c r="B374" s="176">
        <v>1255401</v>
      </c>
    </row>
    <row r="375" spans="2:2" x14ac:dyDescent="0.25">
      <c r="B375" s="176">
        <v>1456804</v>
      </c>
    </row>
    <row r="376" spans="2:2" x14ac:dyDescent="0.25">
      <c r="B376" s="176">
        <v>1122288</v>
      </c>
    </row>
    <row r="377" spans="2:2" x14ac:dyDescent="0.25">
      <c r="B377" s="176">
        <v>1402074</v>
      </c>
    </row>
    <row r="378" spans="2:2" x14ac:dyDescent="0.25">
      <c r="B378" s="176">
        <v>1191156</v>
      </c>
    </row>
    <row r="379" spans="2:2" x14ac:dyDescent="0.25">
      <c r="B379" s="176">
        <v>1386055</v>
      </c>
    </row>
    <row r="380" spans="2:2" x14ac:dyDescent="0.25">
      <c r="B380" s="176">
        <v>1346356</v>
      </c>
    </row>
    <row r="381" spans="2:2" x14ac:dyDescent="0.25">
      <c r="B381" s="176">
        <v>1465840</v>
      </c>
    </row>
    <row r="382" spans="2:2" x14ac:dyDescent="0.25">
      <c r="B382" s="176">
        <v>1138361</v>
      </c>
    </row>
    <row r="383" spans="2:2" x14ac:dyDescent="0.25">
      <c r="B383" s="176">
        <v>742294</v>
      </c>
    </row>
    <row r="384" spans="2:2" x14ac:dyDescent="0.25">
      <c r="B384" s="176">
        <v>1162915</v>
      </c>
    </row>
    <row r="385" spans="2:2" x14ac:dyDescent="0.25">
      <c r="B385" s="176">
        <v>1070670</v>
      </c>
    </row>
    <row r="386" spans="2:2" x14ac:dyDescent="0.25">
      <c r="B386" s="176">
        <v>1277813</v>
      </c>
    </row>
    <row r="387" spans="2:2" x14ac:dyDescent="0.25">
      <c r="B387" s="176">
        <v>1139440</v>
      </c>
    </row>
    <row r="388" spans="2:2" x14ac:dyDescent="0.25">
      <c r="B388" s="176">
        <v>812492</v>
      </c>
    </row>
    <row r="389" spans="2:2" x14ac:dyDescent="0.25">
      <c r="B389" s="176">
        <v>774707</v>
      </c>
    </row>
    <row r="390" spans="2:2" x14ac:dyDescent="0.25">
      <c r="B390" s="176">
        <v>1450809</v>
      </c>
    </row>
    <row r="391" spans="2:2" x14ac:dyDescent="0.25">
      <c r="B391" s="176">
        <v>1282099</v>
      </c>
    </row>
    <row r="392" spans="2:2" x14ac:dyDescent="0.25">
      <c r="B392" s="176">
        <v>631513</v>
      </c>
    </row>
    <row r="393" spans="2:2" x14ac:dyDescent="0.25">
      <c r="B393" s="176">
        <v>694245</v>
      </c>
    </row>
    <row r="394" spans="2:2" x14ac:dyDescent="0.25">
      <c r="B394" s="176">
        <v>1096269</v>
      </c>
    </row>
    <row r="395" spans="2:2" x14ac:dyDescent="0.25">
      <c r="B395" s="176">
        <v>1088616</v>
      </c>
    </row>
    <row r="396" spans="2:2" x14ac:dyDescent="0.25">
      <c r="B396" s="176">
        <v>825764</v>
      </c>
    </row>
    <row r="397" spans="2:2" x14ac:dyDescent="0.25">
      <c r="B397" s="176">
        <v>1356524</v>
      </c>
    </row>
    <row r="398" spans="2:2" x14ac:dyDescent="0.25">
      <c r="B398" s="176">
        <v>1353201</v>
      </c>
    </row>
    <row r="399" spans="2:2" x14ac:dyDescent="0.25">
      <c r="B399" s="176">
        <v>1387718</v>
      </c>
    </row>
    <row r="400" spans="2:2" x14ac:dyDescent="0.25">
      <c r="B400" s="176">
        <v>1390975</v>
      </c>
    </row>
    <row r="401" spans="2:2" x14ac:dyDescent="0.25">
      <c r="B401" s="176">
        <v>766359</v>
      </c>
    </row>
    <row r="402" spans="2:2" x14ac:dyDescent="0.25">
      <c r="B402" s="176">
        <v>1326651</v>
      </c>
    </row>
    <row r="403" spans="2:2" x14ac:dyDescent="0.25">
      <c r="B403" s="176">
        <v>1128589</v>
      </c>
    </row>
    <row r="404" spans="2:2" x14ac:dyDescent="0.25">
      <c r="B404" s="176">
        <v>973659</v>
      </c>
    </row>
    <row r="405" spans="2:2" x14ac:dyDescent="0.25">
      <c r="B405" s="176">
        <v>894683</v>
      </c>
    </row>
    <row r="406" spans="2:2" x14ac:dyDescent="0.25">
      <c r="B406" s="176">
        <v>1060484</v>
      </c>
    </row>
    <row r="407" spans="2:2" x14ac:dyDescent="0.25">
      <c r="B407" s="176">
        <v>751685</v>
      </c>
    </row>
    <row r="408" spans="2:2" x14ac:dyDescent="0.25">
      <c r="B408" s="176">
        <v>601704</v>
      </c>
    </row>
    <row r="409" spans="2:2" x14ac:dyDescent="0.25">
      <c r="B409" s="176">
        <v>1142102</v>
      </c>
    </row>
    <row r="410" spans="2:2" x14ac:dyDescent="0.25">
      <c r="B410" s="176">
        <v>738476</v>
      </c>
    </row>
    <row r="411" spans="2:2" x14ac:dyDescent="0.25">
      <c r="B411" s="176">
        <v>1037983</v>
      </c>
    </row>
    <row r="412" spans="2:2" x14ac:dyDescent="0.25">
      <c r="B412" s="176">
        <v>1162095</v>
      </c>
    </row>
    <row r="413" spans="2:2" x14ac:dyDescent="0.25">
      <c r="B413" s="176">
        <v>737448</v>
      </c>
    </row>
    <row r="414" spans="2:2" x14ac:dyDescent="0.25">
      <c r="B414" s="176">
        <v>708810</v>
      </c>
    </row>
    <row r="415" spans="2:2" x14ac:dyDescent="0.25">
      <c r="B415" s="176">
        <v>1274396</v>
      </c>
    </row>
    <row r="416" spans="2:2" x14ac:dyDescent="0.25">
      <c r="B416" s="176">
        <v>1221292</v>
      </c>
    </row>
    <row r="417" spans="2:2" x14ac:dyDescent="0.25">
      <c r="B417" s="176">
        <v>892000</v>
      </c>
    </row>
    <row r="418" spans="2:2" x14ac:dyDescent="0.25">
      <c r="B418" s="176">
        <v>1054186</v>
      </c>
    </row>
    <row r="419" spans="2:2" x14ac:dyDescent="0.25">
      <c r="B419" s="176">
        <v>615759</v>
      </c>
    </row>
    <row r="420" spans="2:2" x14ac:dyDescent="0.25">
      <c r="B420" s="176">
        <v>1312768</v>
      </c>
    </row>
    <row r="421" spans="2:2" x14ac:dyDescent="0.25">
      <c r="B421" s="176">
        <v>1055628</v>
      </c>
    </row>
    <row r="422" spans="2:2" x14ac:dyDescent="0.25">
      <c r="B422" s="176">
        <v>1126126</v>
      </c>
    </row>
    <row r="423" spans="2:2" x14ac:dyDescent="0.25">
      <c r="B423" s="176">
        <v>772818</v>
      </c>
    </row>
    <row r="424" spans="2:2" x14ac:dyDescent="0.25">
      <c r="B424" s="176">
        <v>729736</v>
      </c>
    </row>
    <row r="425" spans="2:2" x14ac:dyDescent="0.25">
      <c r="B425" s="176">
        <v>806676</v>
      </c>
    </row>
    <row r="426" spans="2:2" x14ac:dyDescent="0.25">
      <c r="B426" s="176">
        <v>640744</v>
      </c>
    </row>
    <row r="427" spans="2:2" x14ac:dyDescent="0.25">
      <c r="B427" s="176">
        <v>1244273</v>
      </c>
    </row>
    <row r="428" spans="2:2" x14ac:dyDescent="0.25">
      <c r="B428" s="176">
        <v>1176785</v>
      </c>
    </row>
    <row r="429" spans="2:2" x14ac:dyDescent="0.25">
      <c r="B429" s="176">
        <v>1178318</v>
      </c>
    </row>
    <row r="430" spans="2:2" x14ac:dyDescent="0.25">
      <c r="B430" s="176">
        <v>1121475</v>
      </c>
    </row>
    <row r="431" spans="2:2" x14ac:dyDescent="0.25">
      <c r="B431" s="176">
        <v>757865</v>
      </c>
    </row>
    <row r="432" spans="2:2" x14ac:dyDescent="0.25">
      <c r="B432" s="176">
        <v>639389</v>
      </c>
    </row>
    <row r="433" spans="2:2" x14ac:dyDescent="0.25">
      <c r="B433" s="176">
        <v>716691</v>
      </c>
    </row>
    <row r="434" spans="2:2" x14ac:dyDescent="0.25">
      <c r="B434" s="176">
        <v>1298511</v>
      </c>
    </row>
    <row r="435" spans="2:2" x14ac:dyDescent="0.25">
      <c r="B435" s="176">
        <v>1095585</v>
      </c>
    </row>
    <row r="436" spans="2:2" x14ac:dyDescent="0.25">
      <c r="B436" s="176">
        <v>1448821</v>
      </c>
    </row>
    <row r="437" spans="2:2" x14ac:dyDescent="0.25">
      <c r="B437" s="176">
        <v>976036</v>
      </c>
    </row>
    <row r="438" spans="2:2" x14ac:dyDescent="0.25">
      <c r="B438" s="176">
        <v>873540</v>
      </c>
    </row>
    <row r="439" spans="2:2" x14ac:dyDescent="0.25">
      <c r="B439" s="176">
        <v>1103652</v>
      </c>
    </row>
    <row r="440" spans="2:2" x14ac:dyDescent="0.25">
      <c r="B440" s="176">
        <v>786879</v>
      </c>
    </row>
    <row r="441" spans="2:2" x14ac:dyDescent="0.25">
      <c r="B441" s="176">
        <v>1419660</v>
      </c>
    </row>
    <row r="442" spans="2:2" x14ac:dyDescent="0.25">
      <c r="B442" s="176">
        <v>1095382</v>
      </c>
    </row>
    <row r="443" spans="2:2" x14ac:dyDescent="0.25">
      <c r="B443" s="176">
        <v>1070691</v>
      </c>
    </row>
    <row r="444" spans="2:2" x14ac:dyDescent="0.25">
      <c r="B444" s="176">
        <v>967526</v>
      </c>
    </row>
    <row r="445" spans="2:2" x14ac:dyDescent="0.25">
      <c r="B445" s="176">
        <v>1232058</v>
      </c>
    </row>
    <row r="446" spans="2:2" x14ac:dyDescent="0.25">
      <c r="B446" s="176">
        <v>1261109</v>
      </c>
    </row>
    <row r="447" spans="2:2" x14ac:dyDescent="0.25">
      <c r="B447" s="176">
        <v>1030026</v>
      </c>
    </row>
    <row r="448" spans="2:2" x14ac:dyDescent="0.25">
      <c r="B448" s="176">
        <v>1141750</v>
      </c>
    </row>
    <row r="449" spans="2:2" x14ac:dyDescent="0.25">
      <c r="B449" s="176">
        <v>1298134</v>
      </c>
    </row>
    <row r="450" spans="2:2" x14ac:dyDescent="0.25">
      <c r="B450" s="176">
        <v>1136973</v>
      </c>
    </row>
    <row r="451" spans="2:2" x14ac:dyDescent="0.25">
      <c r="B451" s="176">
        <v>1195457</v>
      </c>
    </row>
    <row r="452" spans="2:2" x14ac:dyDescent="0.25">
      <c r="B452" s="176">
        <v>1072625</v>
      </c>
    </row>
    <row r="453" spans="2:2" x14ac:dyDescent="0.25">
      <c r="B453" s="176">
        <v>1073426</v>
      </c>
    </row>
    <row r="454" spans="2:2" x14ac:dyDescent="0.25">
      <c r="B454" s="176">
        <v>1159101</v>
      </c>
    </row>
    <row r="455" spans="2:2" x14ac:dyDescent="0.25">
      <c r="B455" s="176">
        <v>728833</v>
      </c>
    </row>
    <row r="456" spans="2:2" x14ac:dyDescent="0.25">
      <c r="B456" s="176">
        <v>807588</v>
      </c>
    </row>
    <row r="457" spans="2:2" x14ac:dyDescent="0.25">
      <c r="B457" s="176">
        <v>792835</v>
      </c>
    </row>
    <row r="458" spans="2:2" x14ac:dyDescent="0.25">
      <c r="B458" s="176">
        <v>965006</v>
      </c>
    </row>
    <row r="459" spans="2:2" x14ac:dyDescent="0.25">
      <c r="B459" s="176">
        <v>1489474</v>
      </c>
    </row>
    <row r="460" spans="2:2" x14ac:dyDescent="0.25">
      <c r="B460" s="176">
        <v>800291</v>
      </c>
    </row>
    <row r="461" spans="2:2" x14ac:dyDescent="0.25">
      <c r="B461" s="176">
        <v>1105901</v>
      </c>
    </row>
    <row r="462" spans="2:2" x14ac:dyDescent="0.25">
      <c r="B462" s="176">
        <v>848649</v>
      </c>
    </row>
    <row r="463" spans="2:2" x14ac:dyDescent="0.25">
      <c r="B463" s="176">
        <v>1398588</v>
      </c>
    </row>
    <row r="464" spans="2:2" x14ac:dyDescent="0.25">
      <c r="B464" s="176">
        <v>1161128</v>
      </c>
    </row>
    <row r="465" spans="2:2" x14ac:dyDescent="0.25">
      <c r="B465" s="176">
        <v>1129740</v>
      </c>
    </row>
    <row r="466" spans="2:2" x14ac:dyDescent="0.25">
      <c r="B466" s="176">
        <v>931962</v>
      </c>
    </row>
    <row r="467" spans="2:2" x14ac:dyDescent="0.25">
      <c r="B467" s="176">
        <v>605454</v>
      </c>
    </row>
    <row r="468" spans="2:2" x14ac:dyDescent="0.25">
      <c r="B468" s="176">
        <v>894315</v>
      </c>
    </row>
    <row r="469" spans="2:2" x14ac:dyDescent="0.25">
      <c r="B469" s="176">
        <v>1428900</v>
      </c>
    </row>
    <row r="470" spans="2:2" x14ac:dyDescent="0.25">
      <c r="B470" s="176">
        <v>1061623</v>
      </c>
    </row>
    <row r="471" spans="2:2" x14ac:dyDescent="0.25">
      <c r="B471" s="176">
        <v>1310897</v>
      </c>
    </row>
    <row r="472" spans="2:2" x14ac:dyDescent="0.25">
      <c r="B472" s="176">
        <v>669137</v>
      </c>
    </row>
    <row r="473" spans="2:2" x14ac:dyDescent="0.25">
      <c r="B473" s="176">
        <v>723808</v>
      </c>
    </row>
    <row r="474" spans="2:2" x14ac:dyDescent="0.25">
      <c r="B474" s="176">
        <v>1063449</v>
      </c>
    </row>
    <row r="475" spans="2:2" x14ac:dyDescent="0.25">
      <c r="B475" s="176">
        <v>1207234</v>
      </c>
    </row>
    <row r="476" spans="2:2" x14ac:dyDescent="0.25">
      <c r="B476" s="176">
        <v>872282</v>
      </c>
    </row>
    <row r="477" spans="2:2" x14ac:dyDescent="0.25">
      <c r="B477" s="176">
        <v>646581</v>
      </c>
    </row>
    <row r="478" spans="2:2" x14ac:dyDescent="0.25">
      <c r="B478" s="176">
        <v>758716</v>
      </c>
    </row>
    <row r="479" spans="2:2" x14ac:dyDescent="0.25">
      <c r="B479" s="176">
        <v>634120</v>
      </c>
    </row>
    <row r="480" spans="2:2" x14ac:dyDescent="0.25">
      <c r="B480" s="176">
        <v>1115992</v>
      </c>
    </row>
    <row r="481" spans="2:2" x14ac:dyDescent="0.25">
      <c r="B481" s="176">
        <v>1339545</v>
      </c>
    </row>
    <row r="482" spans="2:2" x14ac:dyDescent="0.25">
      <c r="B482" s="176">
        <v>1086096</v>
      </c>
    </row>
    <row r="483" spans="2:2" x14ac:dyDescent="0.25">
      <c r="B483" s="176">
        <v>1389575</v>
      </c>
    </row>
    <row r="484" spans="2:2" x14ac:dyDescent="0.25">
      <c r="B484" s="176">
        <v>1480620</v>
      </c>
    </row>
    <row r="485" spans="2:2" x14ac:dyDescent="0.25">
      <c r="B485" s="176">
        <v>1355751</v>
      </c>
    </row>
    <row r="486" spans="2:2" x14ac:dyDescent="0.25">
      <c r="B486" s="176">
        <v>1181615</v>
      </c>
    </row>
    <row r="487" spans="2:2" x14ac:dyDescent="0.25">
      <c r="B487" s="176">
        <v>1333872</v>
      </c>
    </row>
    <row r="488" spans="2:2" x14ac:dyDescent="0.25">
      <c r="B488" s="176">
        <v>896087</v>
      </c>
    </row>
    <row r="489" spans="2:2" x14ac:dyDescent="0.25">
      <c r="B489" s="176">
        <v>865124</v>
      </c>
    </row>
    <row r="490" spans="2:2" x14ac:dyDescent="0.25">
      <c r="B490" s="176">
        <v>1102663</v>
      </c>
    </row>
    <row r="491" spans="2:2" x14ac:dyDescent="0.25">
      <c r="B491" s="176">
        <v>705985</v>
      </c>
    </row>
    <row r="492" spans="2:2" x14ac:dyDescent="0.25">
      <c r="B492" s="176">
        <v>1421715</v>
      </c>
    </row>
    <row r="493" spans="2:2" x14ac:dyDescent="0.25">
      <c r="B493" s="176">
        <v>1321700</v>
      </c>
    </row>
    <row r="494" spans="2:2" x14ac:dyDescent="0.25">
      <c r="B494" s="176">
        <v>732893</v>
      </c>
    </row>
    <row r="495" spans="2:2" x14ac:dyDescent="0.25">
      <c r="B495" s="176">
        <v>1181654</v>
      </c>
    </row>
    <row r="496" spans="2:2" x14ac:dyDescent="0.25">
      <c r="B496" s="176">
        <v>1498165</v>
      </c>
    </row>
    <row r="497" spans="2:2" x14ac:dyDescent="0.25">
      <c r="B497" s="176">
        <v>956932</v>
      </c>
    </row>
    <row r="498" spans="2:2" x14ac:dyDescent="0.25">
      <c r="B498" s="176">
        <v>624408</v>
      </c>
    </row>
    <row r="499" spans="2:2" x14ac:dyDescent="0.25">
      <c r="B499" s="176">
        <v>896948</v>
      </c>
    </row>
    <row r="500" spans="2:2" x14ac:dyDescent="0.25">
      <c r="B500" s="176">
        <v>753988</v>
      </c>
    </row>
    <row r="501" spans="2:2" x14ac:dyDescent="0.25">
      <c r="B501" s="176">
        <v>944426</v>
      </c>
    </row>
    <row r="502" spans="2:2" x14ac:dyDescent="0.25">
      <c r="B502" s="176">
        <v>1135024</v>
      </c>
    </row>
    <row r="503" spans="2:2" x14ac:dyDescent="0.25">
      <c r="B503" s="176">
        <v>957426</v>
      </c>
    </row>
    <row r="504" spans="2:2" x14ac:dyDescent="0.25">
      <c r="B504" s="176">
        <v>987424</v>
      </c>
    </row>
    <row r="505" spans="2:2" x14ac:dyDescent="0.25">
      <c r="B505" s="176">
        <v>719730</v>
      </c>
    </row>
    <row r="506" spans="2:2" x14ac:dyDescent="0.25">
      <c r="B506" s="176">
        <v>1470579</v>
      </c>
    </row>
    <row r="507" spans="2:2" x14ac:dyDescent="0.25">
      <c r="B507" s="176">
        <v>1062721</v>
      </c>
    </row>
    <row r="508" spans="2:2" x14ac:dyDescent="0.25">
      <c r="B508" s="176">
        <v>1004873</v>
      </c>
    </row>
    <row r="509" spans="2:2" x14ac:dyDescent="0.25">
      <c r="B509" s="176">
        <v>1081428</v>
      </c>
    </row>
    <row r="510" spans="2:2" x14ac:dyDescent="0.25">
      <c r="B510" s="176">
        <v>632353</v>
      </c>
    </row>
    <row r="511" spans="2:2" x14ac:dyDescent="0.25">
      <c r="B511" s="176">
        <v>1417845</v>
      </c>
    </row>
    <row r="512" spans="2:2" x14ac:dyDescent="0.25">
      <c r="B512" s="176">
        <v>834111</v>
      </c>
    </row>
    <row r="513" spans="2:2" x14ac:dyDescent="0.25">
      <c r="B513" s="176">
        <v>777953</v>
      </c>
    </row>
    <row r="514" spans="2:2" x14ac:dyDescent="0.25">
      <c r="B514" s="176">
        <v>849990</v>
      </c>
    </row>
    <row r="515" spans="2:2" x14ac:dyDescent="0.25">
      <c r="B515" s="176">
        <v>1029975</v>
      </c>
    </row>
    <row r="516" spans="2:2" x14ac:dyDescent="0.25">
      <c r="B516" s="176">
        <v>1162644</v>
      </c>
    </row>
    <row r="517" spans="2:2" x14ac:dyDescent="0.25">
      <c r="B517" s="176">
        <v>814580</v>
      </c>
    </row>
    <row r="518" spans="2:2" x14ac:dyDescent="0.25">
      <c r="B518" s="176">
        <v>957986</v>
      </c>
    </row>
    <row r="519" spans="2:2" x14ac:dyDescent="0.25">
      <c r="B519" s="176">
        <v>1236390</v>
      </c>
    </row>
    <row r="520" spans="2:2" x14ac:dyDescent="0.25">
      <c r="B520" s="176">
        <v>1210691</v>
      </c>
    </row>
    <row r="521" spans="2:2" x14ac:dyDescent="0.25">
      <c r="B521" s="176">
        <v>910608</v>
      </c>
    </row>
    <row r="522" spans="2:2" x14ac:dyDescent="0.25">
      <c r="B522" s="176">
        <v>829024</v>
      </c>
    </row>
    <row r="523" spans="2:2" x14ac:dyDescent="0.25">
      <c r="B523" s="176">
        <v>1196146</v>
      </c>
    </row>
    <row r="524" spans="2:2" x14ac:dyDescent="0.25">
      <c r="B524" s="176">
        <v>1268783</v>
      </c>
    </row>
    <row r="525" spans="2:2" x14ac:dyDescent="0.25">
      <c r="B525" s="176">
        <v>672092</v>
      </c>
    </row>
    <row r="526" spans="2:2" x14ac:dyDescent="0.25">
      <c r="B526" s="176">
        <v>1213864</v>
      </c>
    </row>
    <row r="527" spans="2:2" x14ac:dyDescent="0.25">
      <c r="B527" s="176">
        <v>1123677</v>
      </c>
    </row>
    <row r="528" spans="2:2" x14ac:dyDescent="0.25">
      <c r="B528" s="176">
        <v>734516</v>
      </c>
    </row>
    <row r="529" spans="2:2" x14ac:dyDescent="0.25">
      <c r="B529" s="176">
        <v>1414147</v>
      </c>
    </row>
    <row r="530" spans="2:2" x14ac:dyDescent="0.25">
      <c r="B530" s="176">
        <v>1354723</v>
      </c>
    </row>
    <row r="531" spans="2:2" x14ac:dyDescent="0.25">
      <c r="B531" s="176">
        <v>1340078</v>
      </c>
    </row>
    <row r="532" spans="2:2" x14ac:dyDescent="0.25">
      <c r="B532" s="176">
        <v>1385503</v>
      </c>
    </row>
    <row r="533" spans="2:2" x14ac:dyDescent="0.25">
      <c r="B533" s="176">
        <v>1076787</v>
      </c>
    </row>
    <row r="534" spans="2:2" x14ac:dyDescent="0.25">
      <c r="B534" s="176">
        <v>967181</v>
      </c>
    </row>
    <row r="535" spans="2:2" x14ac:dyDescent="0.25">
      <c r="B535" s="176">
        <v>1202176</v>
      </c>
    </row>
    <row r="536" spans="2:2" x14ac:dyDescent="0.25">
      <c r="B536" s="176">
        <v>1474788</v>
      </c>
    </row>
    <row r="537" spans="2:2" x14ac:dyDescent="0.25">
      <c r="B537" s="176">
        <v>1391970</v>
      </c>
    </row>
    <row r="538" spans="2:2" x14ac:dyDescent="0.25">
      <c r="B538" s="176">
        <v>678455</v>
      </c>
    </row>
    <row r="539" spans="2:2" x14ac:dyDescent="0.25">
      <c r="B539" s="176">
        <v>1376831</v>
      </c>
    </row>
    <row r="540" spans="2:2" x14ac:dyDescent="0.25">
      <c r="B540" s="176">
        <v>1089818</v>
      </c>
    </row>
    <row r="541" spans="2:2" x14ac:dyDescent="0.25">
      <c r="B541" s="176">
        <v>1319455</v>
      </c>
    </row>
    <row r="542" spans="2:2" x14ac:dyDescent="0.25">
      <c r="B542" s="176">
        <v>1317122</v>
      </c>
    </row>
    <row r="543" spans="2:2" x14ac:dyDescent="0.25">
      <c r="B543" s="176">
        <v>872505</v>
      </c>
    </row>
    <row r="544" spans="2:2" x14ac:dyDescent="0.25">
      <c r="B544" s="176">
        <v>999616</v>
      </c>
    </row>
    <row r="545" spans="2:2" x14ac:dyDescent="0.25">
      <c r="B545" s="176">
        <v>1428849</v>
      </c>
    </row>
    <row r="546" spans="2:2" x14ac:dyDescent="0.25">
      <c r="B546" s="176">
        <v>780414</v>
      </c>
    </row>
    <row r="547" spans="2:2" x14ac:dyDescent="0.25">
      <c r="B547" s="176">
        <v>1349165</v>
      </c>
    </row>
    <row r="548" spans="2:2" x14ac:dyDescent="0.25">
      <c r="B548" s="176">
        <v>1453009</v>
      </c>
    </row>
    <row r="549" spans="2:2" x14ac:dyDescent="0.25">
      <c r="B549" s="176">
        <v>954218</v>
      </c>
    </row>
    <row r="550" spans="2:2" x14ac:dyDescent="0.25">
      <c r="B550" s="176">
        <v>1003900</v>
      </c>
    </row>
    <row r="551" spans="2:2" x14ac:dyDescent="0.25">
      <c r="B551" s="176">
        <v>960944</v>
      </c>
    </row>
    <row r="552" spans="2:2" x14ac:dyDescent="0.25">
      <c r="B552" s="176">
        <v>1174761</v>
      </c>
    </row>
    <row r="553" spans="2:2" x14ac:dyDescent="0.25">
      <c r="B553" s="176">
        <v>1232640</v>
      </c>
    </row>
    <row r="554" spans="2:2" x14ac:dyDescent="0.25">
      <c r="B554" s="176">
        <v>947465</v>
      </c>
    </row>
    <row r="555" spans="2:2" x14ac:dyDescent="0.25">
      <c r="B555" s="176">
        <v>1359735</v>
      </c>
    </row>
    <row r="556" spans="2:2" x14ac:dyDescent="0.25">
      <c r="B556" s="176">
        <v>1310845</v>
      </c>
    </row>
    <row r="557" spans="2:2" x14ac:dyDescent="0.25">
      <c r="B557" s="176">
        <v>638710</v>
      </c>
    </row>
    <row r="558" spans="2:2" x14ac:dyDescent="0.25">
      <c r="B558" s="176">
        <v>1024574</v>
      </c>
    </row>
    <row r="559" spans="2:2" x14ac:dyDescent="0.25">
      <c r="B559" s="176">
        <v>1250706</v>
      </c>
    </row>
    <row r="560" spans="2:2" x14ac:dyDescent="0.25">
      <c r="B560" s="176">
        <v>976680</v>
      </c>
    </row>
    <row r="561" spans="2:2" x14ac:dyDescent="0.25">
      <c r="B561" s="176">
        <v>1144749</v>
      </c>
    </row>
    <row r="562" spans="2:2" x14ac:dyDescent="0.25">
      <c r="B562" s="176">
        <v>631233</v>
      </c>
    </row>
    <row r="563" spans="2:2" x14ac:dyDescent="0.25">
      <c r="B563" s="176">
        <v>757573</v>
      </c>
    </row>
    <row r="564" spans="2:2" x14ac:dyDescent="0.25">
      <c r="B564" s="176">
        <v>1156632</v>
      </c>
    </row>
    <row r="565" spans="2:2" x14ac:dyDescent="0.25">
      <c r="B565" s="176">
        <v>800200</v>
      </c>
    </row>
    <row r="566" spans="2:2" x14ac:dyDescent="0.25">
      <c r="B566" s="176">
        <v>1288617</v>
      </c>
    </row>
    <row r="567" spans="2:2" x14ac:dyDescent="0.25">
      <c r="B567" s="176">
        <v>785014</v>
      </c>
    </row>
    <row r="568" spans="2:2" x14ac:dyDescent="0.25">
      <c r="B568" s="176">
        <v>915313</v>
      </c>
    </row>
    <row r="569" spans="2:2" x14ac:dyDescent="0.25">
      <c r="B569" s="176">
        <v>1136612</v>
      </c>
    </row>
    <row r="570" spans="2:2" x14ac:dyDescent="0.25">
      <c r="B570" s="176">
        <v>1263748</v>
      </c>
    </row>
    <row r="571" spans="2:2" x14ac:dyDescent="0.25">
      <c r="B571" s="176">
        <v>1312383</v>
      </c>
    </row>
    <row r="572" spans="2:2" x14ac:dyDescent="0.25">
      <c r="B572" s="176">
        <v>926933</v>
      </c>
    </row>
    <row r="573" spans="2:2" x14ac:dyDescent="0.25">
      <c r="B573" s="176">
        <v>1288622</v>
      </c>
    </row>
    <row r="574" spans="2:2" x14ac:dyDescent="0.25">
      <c r="B574" s="176">
        <v>922418</v>
      </c>
    </row>
    <row r="575" spans="2:2" x14ac:dyDescent="0.25">
      <c r="B575" s="176">
        <v>688796</v>
      </c>
    </row>
    <row r="576" spans="2:2" x14ac:dyDescent="0.25">
      <c r="B576" s="176">
        <v>623167</v>
      </c>
    </row>
    <row r="577" spans="2:2" x14ac:dyDescent="0.25">
      <c r="B577" s="176">
        <v>1428796</v>
      </c>
    </row>
    <row r="578" spans="2:2" x14ac:dyDescent="0.25">
      <c r="B578" s="176">
        <v>1276131</v>
      </c>
    </row>
    <row r="579" spans="2:2" x14ac:dyDescent="0.25">
      <c r="B579" s="176">
        <v>754787</v>
      </c>
    </row>
    <row r="580" spans="2:2" x14ac:dyDescent="0.25">
      <c r="B580" s="176">
        <v>707701</v>
      </c>
    </row>
    <row r="581" spans="2:2" x14ac:dyDescent="0.25">
      <c r="B581" s="176">
        <v>931911</v>
      </c>
    </row>
    <row r="582" spans="2:2" x14ac:dyDescent="0.25">
      <c r="B582" s="176">
        <v>1067086</v>
      </c>
    </row>
    <row r="583" spans="2:2" x14ac:dyDescent="0.25">
      <c r="B583" s="176">
        <v>1066893</v>
      </c>
    </row>
    <row r="584" spans="2:2" x14ac:dyDescent="0.25">
      <c r="B584" s="176">
        <v>1178163</v>
      </c>
    </row>
    <row r="585" spans="2:2" x14ac:dyDescent="0.25">
      <c r="B585" s="176">
        <v>1372749</v>
      </c>
    </row>
    <row r="586" spans="2:2" x14ac:dyDescent="0.25">
      <c r="B586" s="176">
        <v>1370652</v>
      </c>
    </row>
    <row r="587" spans="2:2" x14ac:dyDescent="0.25">
      <c r="B587" s="176">
        <v>865769</v>
      </c>
    </row>
    <row r="588" spans="2:2" x14ac:dyDescent="0.25">
      <c r="B588" s="176">
        <v>923426</v>
      </c>
    </row>
    <row r="589" spans="2:2" x14ac:dyDescent="0.25">
      <c r="B589" s="176">
        <v>1164688</v>
      </c>
    </row>
    <row r="590" spans="2:2" x14ac:dyDescent="0.25">
      <c r="B590" s="176">
        <v>946356</v>
      </c>
    </row>
    <row r="591" spans="2:2" x14ac:dyDescent="0.25">
      <c r="B591" s="176">
        <v>682078</v>
      </c>
    </row>
    <row r="592" spans="2:2" x14ac:dyDescent="0.25">
      <c r="B592" s="176">
        <v>837759</v>
      </c>
    </row>
    <row r="593" spans="2:2" x14ac:dyDescent="0.25">
      <c r="B593" s="176">
        <v>690645</v>
      </c>
    </row>
    <row r="594" spans="2:2" x14ac:dyDescent="0.25">
      <c r="B594" s="176">
        <v>1448062</v>
      </c>
    </row>
    <row r="595" spans="2:2" x14ac:dyDescent="0.25">
      <c r="B595" s="176">
        <v>928112</v>
      </c>
    </row>
    <row r="596" spans="2:2" x14ac:dyDescent="0.25">
      <c r="B596" s="176">
        <v>1337696</v>
      </c>
    </row>
    <row r="597" spans="2:2" x14ac:dyDescent="0.25">
      <c r="B597" s="176">
        <v>1339674</v>
      </c>
    </row>
    <row r="598" spans="2:2" x14ac:dyDescent="0.25">
      <c r="B598" s="176">
        <v>990020</v>
      </c>
    </row>
    <row r="599" spans="2:2" x14ac:dyDescent="0.25">
      <c r="B599" s="176">
        <v>1414469</v>
      </c>
    </row>
    <row r="600" spans="2:2" x14ac:dyDescent="0.25">
      <c r="B600" s="176">
        <v>629613</v>
      </c>
    </row>
    <row r="601" spans="2:2" x14ac:dyDescent="0.25">
      <c r="B601" s="176">
        <v>1090191</v>
      </c>
    </row>
    <row r="602" spans="2:2" x14ac:dyDescent="0.25">
      <c r="B602" s="176">
        <v>1124063</v>
      </c>
    </row>
    <row r="603" spans="2:2" x14ac:dyDescent="0.25">
      <c r="B603" s="176">
        <v>845715</v>
      </c>
    </row>
    <row r="604" spans="2:2" x14ac:dyDescent="0.25">
      <c r="B604" s="176">
        <v>1299352</v>
      </c>
    </row>
    <row r="605" spans="2:2" x14ac:dyDescent="0.25">
      <c r="B605" s="176">
        <v>611221</v>
      </c>
    </row>
    <row r="606" spans="2:2" x14ac:dyDescent="0.25">
      <c r="B606" s="176">
        <v>1041644</v>
      </c>
    </row>
    <row r="607" spans="2:2" x14ac:dyDescent="0.25">
      <c r="B607" s="176">
        <v>642706</v>
      </c>
    </row>
    <row r="608" spans="2:2" x14ac:dyDescent="0.25">
      <c r="B608" s="176">
        <v>1458160</v>
      </c>
    </row>
    <row r="609" spans="2:2" x14ac:dyDescent="0.25">
      <c r="B609" s="176">
        <v>1466884</v>
      </c>
    </row>
    <row r="610" spans="2:2" x14ac:dyDescent="0.25">
      <c r="B610" s="176">
        <v>1216551</v>
      </c>
    </row>
    <row r="611" spans="2:2" x14ac:dyDescent="0.25">
      <c r="B611" s="176">
        <v>773323</v>
      </c>
    </row>
    <row r="612" spans="2:2" x14ac:dyDescent="0.25">
      <c r="B612" s="176">
        <v>661633</v>
      </c>
    </row>
    <row r="613" spans="2:2" x14ac:dyDescent="0.25">
      <c r="B613" s="176">
        <v>616172</v>
      </c>
    </row>
    <row r="614" spans="2:2" x14ac:dyDescent="0.25">
      <c r="B614" s="176">
        <v>1105796</v>
      </c>
    </row>
    <row r="615" spans="2:2" x14ac:dyDescent="0.25">
      <c r="B615" s="176">
        <v>879012</v>
      </c>
    </row>
    <row r="616" spans="2:2" x14ac:dyDescent="0.25">
      <c r="B616" s="176">
        <v>1220282</v>
      </c>
    </row>
    <row r="617" spans="2:2" x14ac:dyDescent="0.25">
      <c r="B617" s="176">
        <v>1139565</v>
      </c>
    </row>
    <row r="618" spans="2:2" x14ac:dyDescent="0.25">
      <c r="B618" s="176">
        <v>869395</v>
      </c>
    </row>
    <row r="619" spans="2:2" x14ac:dyDescent="0.25">
      <c r="B619" s="176">
        <v>1466031</v>
      </c>
    </row>
    <row r="620" spans="2:2" x14ac:dyDescent="0.25">
      <c r="B620" s="176">
        <v>935033</v>
      </c>
    </row>
    <row r="621" spans="2:2" x14ac:dyDescent="0.25">
      <c r="B621" s="176">
        <v>1327084</v>
      </c>
    </row>
    <row r="622" spans="2:2" x14ac:dyDescent="0.25">
      <c r="B622" s="176">
        <v>1161698</v>
      </c>
    </row>
    <row r="623" spans="2:2" x14ac:dyDescent="0.25">
      <c r="B623" s="176">
        <v>1187534</v>
      </c>
    </row>
    <row r="624" spans="2:2" x14ac:dyDescent="0.25">
      <c r="B624" s="176">
        <v>748128</v>
      </c>
    </row>
    <row r="625" spans="2:2" x14ac:dyDescent="0.25">
      <c r="B625" s="176">
        <v>1374783</v>
      </c>
    </row>
    <row r="626" spans="2:2" x14ac:dyDescent="0.25">
      <c r="B626" s="176">
        <v>1283083</v>
      </c>
    </row>
    <row r="627" spans="2:2" x14ac:dyDescent="0.25">
      <c r="B627" s="176">
        <v>1169631</v>
      </c>
    </row>
    <row r="628" spans="2:2" x14ac:dyDescent="0.25">
      <c r="B628" s="176">
        <v>1216851</v>
      </c>
    </row>
    <row r="629" spans="2:2" x14ac:dyDescent="0.25">
      <c r="B629" s="176">
        <v>1320049</v>
      </c>
    </row>
    <row r="630" spans="2:2" x14ac:dyDescent="0.25">
      <c r="B630" s="176">
        <v>782007</v>
      </c>
    </row>
    <row r="631" spans="2:2" x14ac:dyDescent="0.25">
      <c r="B631" s="176">
        <v>1159938</v>
      </c>
    </row>
    <row r="632" spans="2:2" x14ac:dyDescent="0.25">
      <c r="B632" s="176">
        <v>1480388</v>
      </c>
    </row>
    <row r="633" spans="2:2" x14ac:dyDescent="0.25">
      <c r="B633" s="176">
        <v>908981</v>
      </c>
    </row>
    <row r="634" spans="2:2" x14ac:dyDescent="0.25">
      <c r="B634" s="176">
        <v>1009770</v>
      </c>
    </row>
    <row r="635" spans="2:2" x14ac:dyDescent="0.25">
      <c r="B635" s="176">
        <v>1075117</v>
      </c>
    </row>
    <row r="636" spans="2:2" x14ac:dyDescent="0.25">
      <c r="B636" s="176">
        <v>820760</v>
      </c>
    </row>
    <row r="637" spans="2:2" x14ac:dyDescent="0.25">
      <c r="B637" s="176">
        <v>1188879</v>
      </c>
    </row>
    <row r="638" spans="2:2" x14ac:dyDescent="0.25">
      <c r="B638" s="176">
        <v>618992</v>
      </c>
    </row>
    <row r="639" spans="2:2" x14ac:dyDescent="0.25">
      <c r="B639" s="176">
        <v>1220398</v>
      </c>
    </row>
    <row r="640" spans="2:2" x14ac:dyDescent="0.25">
      <c r="B640" s="176">
        <v>761813</v>
      </c>
    </row>
    <row r="641" spans="2:2" x14ac:dyDescent="0.25">
      <c r="B641" s="176">
        <v>1005914</v>
      </c>
    </row>
    <row r="642" spans="2:2" x14ac:dyDescent="0.25">
      <c r="B642" s="176">
        <v>1100021</v>
      </c>
    </row>
    <row r="643" spans="2:2" x14ac:dyDescent="0.25">
      <c r="B643" s="176">
        <v>1187173</v>
      </c>
    </row>
    <row r="644" spans="2:2" x14ac:dyDescent="0.25">
      <c r="B644" s="176">
        <v>777291</v>
      </c>
    </row>
    <row r="645" spans="2:2" x14ac:dyDescent="0.25">
      <c r="B645" s="176">
        <v>1474217</v>
      </c>
    </row>
    <row r="646" spans="2:2" x14ac:dyDescent="0.25">
      <c r="B646" s="176">
        <v>878568</v>
      </c>
    </row>
    <row r="647" spans="2:2" x14ac:dyDescent="0.25">
      <c r="B647" s="176">
        <v>713589</v>
      </c>
    </row>
    <row r="648" spans="2:2" x14ac:dyDescent="0.25">
      <c r="B648" s="176">
        <v>641872</v>
      </c>
    </row>
    <row r="649" spans="2:2" x14ac:dyDescent="0.25">
      <c r="B649" s="176">
        <v>1367191</v>
      </c>
    </row>
    <row r="650" spans="2:2" x14ac:dyDescent="0.25">
      <c r="B650" s="176">
        <v>929804</v>
      </c>
    </row>
    <row r="651" spans="2:2" x14ac:dyDescent="0.25">
      <c r="B651" s="176">
        <v>1131526</v>
      </c>
    </row>
    <row r="652" spans="2:2" x14ac:dyDescent="0.25">
      <c r="B652" s="176">
        <v>1279622</v>
      </c>
    </row>
    <row r="653" spans="2:2" x14ac:dyDescent="0.25">
      <c r="B653" s="176">
        <v>921846</v>
      </c>
    </row>
    <row r="654" spans="2:2" x14ac:dyDescent="0.25">
      <c r="B654" s="176">
        <v>1346872</v>
      </c>
    </row>
    <row r="655" spans="2:2" x14ac:dyDescent="0.25">
      <c r="B655" s="176">
        <v>610415</v>
      </c>
    </row>
    <row r="656" spans="2:2" x14ac:dyDescent="0.25">
      <c r="B656" s="176">
        <v>1406080</v>
      </c>
    </row>
    <row r="657" spans="2:2" x14ac:dyDescent="0.25">
      <c r="B657" s="176">
        <v>1267400</v>
      </c>
    </row>
    <row r="658" spans="2:2" x14ac:dyDescent="0.25">
      <c r="B658" s="176">
        <v>891717</v>
      </c>
    </row>
    <row r="659" spans="2:2" x14ac:dyDescent="0.25">
      <c r="B659" s="176">
        <v>1141332</v>
      </c>
    </row>
    <row r="660" spans="2:2" x14ac:dyDescent="0.25">
      <c r="B660" s="176">
        <v>799437</v>
      </c>
    </row>
    <row r="661" spans="2:2" x14ac:dyDescent="0.25">
      <c r="B661" s="176">
        <v>1422215</v>
      </c>
    </row>
    <row r="662" spans="2:2" x14ac:dyDescent="0.25">
      <c r="B662" s="176">
        <v>830471</v>
      </c>
    </row>
    <row r="663" spans="2:2" x14ac:dyDescent="0.25">
      <c r="B663" s="176">
        <v>663191</v>
      </c>
    </row>
    <row r="664" spans="2:2" x14ac:dyDescent="0.25">
      <c r="B664" s="176">
        <v>713753</v>
      </c>
    </row>
    <row r="665" spans="2:2" x14ac:dyDescent="0.25">
      <c r="B665" s="176">
        <v>608942</v>
      </c>
    </row>
    <row r="666" spans="2:2" x14ac:dyDescent="0.25">
      <c r="B666" s="176">
        <v>1090082</v>
      </c>
    </row>
    <row r="667" spans="2:2" x14ac:dyDescent="0.25">
      <c r="B667" s="176">
        <v>1157400</v>
      </c>
    </row>
    <row r="668" spans="2:2" x14ac:dyDescent="0.25">
      <c r="B668" s="176">
        <v>1443739</v>
      </c>
    </row>
    <row r="669" spans="2:2" x14ac:dyDescent="0.25">
      <c r="B669" s="176">
        <v>1028676</v>
      </c>
    </row>
    <row r="670" spans="2:2" x14ac:dyDescent="0.25">
      <c r="B670" s="176">
        <v>1312846</v>
      </c>
    </row>
    <row r="671" spans="2:2" x14ac:dyDescent="0.25">
      <c r="B671" s="176">
        <v>842435</v>
      </c>
    </row>
    <row r="672" spans="2:2" x14ac:dyDescent="0.25">
      <c r="B672" s="176">
        <v>809906</v>
      </c>
    </row>
    <row r="673" spans="2:2" x14ac:dyDescent="0.25">
      <c r="B673" s="176">
        <v>753904</v>
      </c>
    </row>
    <row r="674" spans="2:2" x14ac:dyDescent="0.25">
      <c r="B674" s="176">
        <v>665911</v>
      </c>
    </row>
    <row r="675" spans="2:2" x14ac:dyDescent="0.25">
      <c r="B675" s="176">
        <v>1363491</v>
      </c>
    </row>
    <row r="676" spans="2:2" x14ac:dyDescent="0.25">
      <c r="B676" s="176">
        <v>610585</v>
      </c>
    </row>
    <row r="677" spans="2:2" x14ac:dyDescent="0.25">
      <c r="B677" s="176">
        <v>903862</v>
      </c>
    </row>
    <row r="678" spans="2:2" x14ac:dyDescent="0.25">
      <c r="B678" s="176">
        <v>953255</v>
      </c>
    </row>
    <row r="679" spans="2:2" x14ac:dyDescent="0.25">
      <c r="B679" s="176">
        <v>1222714</v>
      </c>
    </row>
    <row r="680" spans="2:2" x14ac:dyDescent="0.25">
      <c r="B680" s="176">
        <v>1143921</v>
      </c>
    </row>
    <row r="681" spans="2:2" x14ac:dyDescent="0.25">
      <c r="B681" s="176">
        <v>990016</v>
      </c>
    </row>
    <row r="682" spans="2:2" x14ac:dyDescent="0.25">
      <c r="B682" s="176">
        <v>1168507</v>
      </c>
    </row>
    <row r="683" spans="2:2" x14ac:dyDescent="0.25">
      <c r="B683" s="176">
        <v>1030964</v>
      </c>
    </row>
    <row r="684" spans="2:2" x14ac:dyDescent="0.25">
      <c r="B684" s="176">
        <v>1023735</v>
      </c>
    </row>
    <row r="685" spans="2:2" x14ac:dyDescent="0.25">
      <c r="B685" s="176">
        <v>1052043</v>
      </c>
    </row>
    <row r="686" spans="2:2" x14ac:dyDescent="0.25">
      <c r="B686" s="176">
        <v>728026</v>
      </c>
    </row>
    <row r="687" spans="2:2" x14ac:dyDescent="0.25">
      <c r="B687" s="176">
        <v>698323</v>
      </c>
    </row>
    <row r="688" spans="2:2" x14ac:dyDescent="0.25">
      <c r="B688" s="176">
        <v>672740</v>
      </c>
    </row>
    <row r="689" spans="2:2" x14ac:dyDescent="0.25">
      <c r="B689" s="176">
        <v>963959</v>
      </c>
    </row>
    <row r="690" spans="2:2" x14ac:dyDescent="0.25">
      <c r="B690" s="176">
        <v>980792</v>
      </c>
    </row>
    <row r="691" spans="2:2" x14ac:dyDescent="0.25">
      <c r="B691" s="176">
        <v>1162693</v>
      </c>
    </row>
    <row r="692" spans="2:2" x14ac:dyDescent="0.25">
      <c r="B692" s="176">
        <v>1118736</v>
      </c>
    </row>
    <row r="693" spans="2:2" x14ac:dyDescent="0.25">
      <c r="B693" s="176">
        <v>1479856</v>
      </c>
    </row>
    <row r="694" spans="2:2" x14ac:dyDescent="0.25">
      <c r="B694" s="176">
        <v>1318869</v>
      </c>
    </row>
    <row r="695" spans="2:2" x14ac:dyDescent="0.25">
      <c r="B695" s="176">
        <v>1157125</v>
      </c>
    </row>
    <row r="696" spans="2:2" x14ac:dyDescent="0.25">
      <c r="B696" s="176">
        <v>1214473</v>
      </c>
    </row>
    <row r="697" spans="2:2" x14ac:dyDescent="0.25">
      <c r="B697" s="176">
        <v>1326202</v>
      </c>
    </row>
    <row r="698" spans="2:2" x14ac:dyDescent="0.25">
      <c r="B698" s="176">
        <v>1365868</v>
      </c>
    </row>
    <row r="699" spans="2:2" x14ac:dyDescent="0.25">
      <c r="B699" s="176">
        <v>1024709</v>
      </c>
    </row>
    <row r="700" spans="2:2" x14ac:dyDescent="0.25">
      <c r="B700" s="176">
        <v>774507</v>
      </c>
    </row>
    <row r="701" spans="2:2" x14ac:dyDescent="0.25">
      <c r="B701" s="176">
        <v>620060</v>
      </c>
    </row>
    <row r="702" spans="2:2" x14ac:dyDescent="0.25">
      <c r="B702" s="176">
        <v>887243</v>
      </c>
    </row>
    <row r="703" spans="2:2" x14ac:dyDescent="0.25">
      <c r="B703" s="176">
        <v>873010</v>
      </c>
    </row>
    <row r="704" spans="2:2" x14ac:dyDescent="0.25">
      <c r="B704" s="176">
        <v>642007</v>
      </c>
    </row>
    <row r="705" spans="2:2" x14ac:dyDescent="0.25">
      <c r="B705" s="176">
        <v>1161937</v>
      </c>
    </row>
    <row r="706" spans="2:2" x14ac:dyDescent="0.25">
      <c r="B706" s="176">
        <v>1257244</v>
      </c>
    </row>
    <row r="707" spans="2:2" x14ac:dyDescent="0.25">
      <c r="B707" s="176">
        <v>1170223</v>
      </c>
    </row>
    <row r="708" spans="2:2" x14ac:dyDescent="0.25">
      <c r="B708" s="176">
        <v>1479734</v>
      </c>
    </row>
    <row r="709" spans="2:2" x14ac:dyDescent="0.25">
      <c r="B709" s="176">
        <v>834263</v>
      </c>
    </row>
    <row r="710" spans="2:2" x14ac:dyDescent="0.25">
      <c r="B710" s="176">
        <v>654440</v>
      </c>
    </row>
    <row r="711" spans="2:2" x14ac:dyDescent="0.25">
      <c r="B711" s="176">
        <v>668952</v>
      </c>
    </row>
    <row r="712" spans="2:2" x14ac:dyDescent="0.25">
      <c r="B712" s="176">
        <v>823822</v>
      </c>
    </row>
    <row r="713" spans="2:2" x14ac:dyDescent="0.25">
      <c r="B713" s="176">
        <v>1179760</v>
      </c>
    </row>
    <row r="714" spans="2:2" x14ac:dyDescent="0.25">
      <c r="B714" s="176">
        <v>1428708</v>
      </c>
    </row>
    <row r="715" spans="2:2" x14ac:dyDescent="0.25">
      <c r="B715" s="176">
        <v>928979</v>
      </c>
    </row>
    <row r="716" spans="2:2" x14ac:dyDescent="0.25">
      <c r="B716" s="176">
        <v>630660</v>
      </c>
    </row>
    <row r="717" spans="2:2" x14ac:dyDescent="0.25">
      <c r="B717" s="176">
        <v>1340166</v>
      </c>
    </row>
    <row r="718" spans="2:2" x14ac:dyDescent="0.25">
      <c r="B718" s="176">
        <v>1228509</v>
      </c>
    </row>
    <row r="719" spans="2:2" x14ac:dyDescent="0.25">
      <c r="B719" s="176">
        <v>796677</v>
      </c>
    </row>
    <row r="720" spans="2:2" x14ac:dyDescent="0.25">
      <c r="B720" s="176">
        <v>1269469</v>
      </c>
    </row>
    <row r="721" spans="2:2" x14ac:dyDescent="0.25">
      <c r="B721" s="176">
        <v>878947</v>
      </c>
    </row>
    <row r="722" spans="2:2" x14ac:dyDescent="0.25">
      <c r="B722" s="176">
        <v>1464846</v>
      </c>
    </row>
    <row r="723" spans="2:2" x14ac:dyDescent="0.25">
      <c r="B723" s="176">
        <v>1199555</v>
      </c>
    </row>
    <row r="724" spans="2:2" x14ac:dyDescent="0.25">
      <c r="B724" s="176">
        <v>798786</v>
      </c>
    </row>
    <row r="725" spans="2:2" x14ac:dyDescent="0.25">
      <c r="B725" s="176">
        <v>667162</v>
      </c>
    </row>
    <row r="726" spans="2:2" x14ac:dyDescent="0.25">
      <c r="B726" s="176">
        <v>953700</v>
      </c>
    </row>
    <row r="727" spans="2:2" x14ac:dyDescent="0.25">
      <c r="B727" s="176">
        <v>1370984</v>
      </c>
    </row>
    <row r="728" spans="2:2" x14ac:dyDescent="0.25">
      <c r="B728" s="176">
        <v>1006331</v>
      </c>
    </row>
    <row r="729" spans="2:2" x14ac:dyDescent="0.25">
      <c r="B729" s="176">
        <v>659796</v>
      </c>
    </row>
    <row r="730" spans="2:2" x14ac:dyDescent="0.25">
      <c r="B730" s="176">
        <v>832792</v>
      </c>
    </row>
    <row r="731" spans="2:2" x14ac:dyDescent="0.25">
      <c r="B731" s="176">
        <v>1464070</v>
      </c>
    </row>
    <row r="732" spans="2:2" x14ac:dyDescent="0.25">
      <c r="B732" s="176">
        <v>846201</v>
      </c>
    </row>
    <row r="733" spans="2:2" x14ac:dyDescent="0.25">
      <c r="B733" s="176">
        <v>912204</v>
      </c>
    </row>
    <row r="734" spans="2:2" x14ac:dyDescent="0.25">
      <c r="B734" s="176">
        <v>868807</v>
      </c>
    </row>
    <row r="735" spans="2:2" x14ac:dyDescent="0.25">
      <c r="B735" s="176">
        <v>1368367</v>
      </c>
    </row>
    <row r="736" spans="2:2" x14ac:dyDescent="0.25">
      <c r="B736" s="176">
        <v>1496118</v>
      </c>
    </row>
    <row r="737" spans="2:2" x14ac:dyDescent="0.25">
      <c r="B737" s="176">
        <v>620217</v>
      </c>
    </row>
    <row r="738" spans="2:2" x14ac:dyDescent="0.25">
      <c r="B738" s="176">
        <v>899277</v>
      </c>
    </row>
    <row r="739" spans="2:2" x14ac:dyDescent="0.25">
      <c r="B739" s="176">
        <v>993261</v>
      </c>
    </row>
    <row r="740" spans="2:2" x14ac:dyDescent="0.25">
      <c r="B740" s="176">
        <v>1425649</v>
      </c>
    </row>
    <row r="741" spans="2:2" x14ac:dyDescent="0.25">
      <c r="B741" s="176">
        <v>1177227</v>
      </c>
    </row>
    <row r="742" spans="2:2" x14ac:dyDescent="0.25">
      <c r="B742" s="176">
        <v>951284</v>
      </c>
    </row>
    <row r="743" spans="2:2" x14ac:dyDescent="0.25">
      <c r="B743" s="176">
        <v>1280313</v>
      </c>
    </row>
    <row r="744" spans="2:2" x14ac:dyDescent="0.25">
      <c r="B744" s="176">
        <v>928876</v>
      </c>
    </row>
    <row r="745" spans="2:2" x14ac:dyDescent="0.25">
      <c r="B745" s="176">
        <v>674890</v>
      </c>
    </row>
    <row r="746" spans="2:2" x14ac:dyDescent="0.25">
      <c r="B746" s="176">
        <v>850692</v>
      </c>
    </row>
    <row r="747" spans="2:2" x14ac:dyDescent="0.25">
      <c r="B747" s="176">
        <v>1003328</v>
      </c>
    </row>
    <row r="748" spans="2:2" x14ac:dyDescent="0.25">
      <c r="B748" s="176">
        <v>1313063</v>
      </c>
    </row>
    <row r="749" spans="2:2" x14ac:dyDescent="0.25">
      <c r="B749" s="176">
        <v>781843</v>
      </c>
    </row>
    <row r="750" spans="2:2" x14ac:dyDescent="0.25">
      <c r="B750" s="176">
        <v>1383454</v>
      </c>
    </row>
    <row r="751" spans="2:2" x14ac:dyDescent="0.25">
      <c r="B751" s="176">
        <v>999652</v>
      </c>
    </row>
    <row r="752" spans="2:2" x14ac:dyDescent="0.25">
      <c r="B752" s="176">
        <v>610872</v>
      </c>
    </row>
    <row r="753" spans="2:2" x14ac:dyDescent="0.25">
      <c r="B753" s="176">
        <v>1428387</v>
      </c>
    </row>
    <row r="754" spans="2:2" x14ac:dyDescent="0.25">
      <c r="B754" s="176">
        <v>789153</v>
      </c>
    </row>
    <row r="755" spans="2:2" x14ac:dyDescent="0.25">
      <c r="B755" s="176">
        <v>747245</v>
      </c>
    </row>
    <row r="756" spans="2:2" x14ac:dyDescent="0.25">
      <c r="B756" s="176">
        <v>837223</v>
      </c>
    </row>
    <row r="757" spans="2:2" x14ac:dyDescent="0.25">
      <c r="B757" s="176">
        <v>1350606</v>
      </c>
    </row>
    <row r="758" spans="2:2" x14ac:dyDescent="0.25">
      <c r="B758" s="176">
        <v>1034353</v>
      </c>
    </row>
    <row r="759" spans="2:2" x14ac:dyDescent="0.25">
      <c r="B759" s="176">
        <v>931961</v>
      </c>
    </row>
    <row r="760" spans="2:2" x14ac:dyDescent="0.25">
      <c r="B760" s="176">
        <v>971496</v>
      </c>
    </row>
    <row r="761" spans="2:2" x14ac:dyDescent="0.25">
      <c r="B761" s="176">
        <v>613211</v>
      </c>
    </row>
    <row r="762" spans="2:2" x14ac:dyDescent="0.25">
      <c r="B762" s="176">
        <v>1154868</v>
      </c>
    </row>
    <row r="763" spans="2:2" x14ac:dyDescent="0.25">
      <c r="B763" s="176">
        <v>642571</v>
      </c>
    </row>
    <row r="764" spans="2:2" x14ac:dyDescent="0.25">
      <c r="B764" s="176">
        <v>1039771</v>
      </c>
    </row>
    <row r="765" spans="2:2" x14ac:dyDescent="0.25">
      <c r="B765" s="176">
        <v>1165340</v>
      </c>
    </row>
    <row r="766" spans="2:2" x14ac:dyDescent="0.25">
      <c r="B766" s="176">
        <v>619705</v>
      </c>
    </row>
    <row r="767" spans="2:2" x14ac:dyDescent="0.25">
      <c r="B767" s="176">
        <v>1456566</v>
      </c>
    </row>
    <row r="768" spans="2:2" x14ac:dyDescent="0.25">
      <c r="B768" s="176">
        <v>635343</v>
      </c>
    </row>
    <row r="769" spans="2:2" x14ac:dyDescent="0.25">
      <c r="B769" s="176">
        <v>1292254</v>
      </c>
    </row>
    <row r="770" spans="2:2" x14ac:dyDescent="0.25">
      <c r="B770" s="176">
        <v>1335044</v>
      </c>
    </row>
    <row r="771" spans="2:2" x14ac:dyDescent="0.25">
      <c r="B771" s="176">
        <v>614283</v>
      </c>
    </row>
    <row r="772" spans="2:2" x14ac:dyDescent="0.25">
      <c r="B772" s="176">
        <v>985961</v>
      </c>
    </row>
    <row r="773" spans="2:2" x14ac:dyDescent="0.25">
      <c r="B773" s="176">
        <v>733821</v>
      </c>
    </row>
    <row r="774" spans="2:2" x14ac:dyDescent="0.25">
      <c r="B774" s="176">
        <v>1063069</v>
      </c>
    </row>
    <row r="775" spans="2:2" x14ac:dyDescent="0.25">
      <c r="B775" s="176">
        <v>780396</v>
      </c>
    </row>
    <row r="776" spans="2:2" x14ac:dyDescent="0.25">
      <c r="B776" s="176">
        <v>888605</v>
      </c>
    </row>
    <row r="777" spans="2:2" x14ac:dyDescent="0.25">
      <c r="B777" s="176">
        <v>1073147</v>
      </c>
    </row>
    <row r="778" spans="2:2" x14ac:dyDescent="0.25">
      <c r="B778" s="176">
        <v>1173052</v>
      </c>
    </row>
    <row r="779" spans="2:2" x14ac:dyDescent="0.25">
      <c r="B779" s="176">
        <v>846905</v>
      </c>
    </row>
    <row r="780" spans="2:2" x14ac:dyDescent="0.25">
      <c r="B780" s="176">
        <v>855430</v>
      </c>
    </row>
    <row r="781" spans="2:2" x14ac:dyDescent="0.25">
      <c r="B781" s="176">
        <v>1224113</v>
      </c>
    </row>
    <row r="782" spans="2:2" x14ac:dyDescent="0.25">
      <c r="B782" s="176">
        <v>877743</v>
      </c>
    </row>
    <row r="783" spans="2:2" x14ac:dyDescent="0.25">
      <c r="B783" s="176">
        <v>1121929</v>
      </c>
    </row>
    <row r="784" spans="2:2" x14ac:dyDescent="0.25">
      <c r="B784" s="176">
        <v>999238</v>
      </c>
    </row>
    <row r="785" spans="2:2" x14ac:dyDescent="0.25">
      <c r="B785" s="176">
        <v>703960</v>
      </c>
    </row>
    <row r="786" spans="2:2" x14ac:dyDescent="0.25">
      <c r="B786" s="176">
        <v>819239</v>
      </c>
    </row>
    <row r="787" spans="2:2" x14ac:dyDescent="0.25">
      <c r="B787" s="176">
        <v>1480854</v>
      </c>
    </row>
    <row r="788" spans="2:2" x14ac:dyDescent="0.25">
      <c r="B788" s="176">
        <v>1470882</v>
      </c>
    </row>
    <row r="789" spans="2:2" x14ac:dyDescent="0.25">
      <c r="B789" s="176">
        <v>714342</v>
      </c>
    </row>
    <row r="790" spans="2:2" x14ac:dyDescent="0.25">
      <c r="B790" s="176">
        <v>1300404</v>
      </c>
    </row>
    <row r="791" spans="2:2" x14ac:dyDescent="0.25">
      <c r="B791" s="176">
        <v>679939</v>
      </c>
    </row>
    <row r="792" spans="2:2" x14ac:dyDescent="0.25">
      <c r="B792" s="176">
        <v>707614</v>
      </c>
    </row>
    <row r="793" spans="2:2" x14ac:dyDescent="0.25">
      <c r="B793" s="176">
        <v>1055785</v>
      </c>
    </row>
    <row r="794" spans="2:2" x14ac:dyDescent="0.25">
      <c r="B794" s="176">
        <v>1163788</v>
      </c>
    </row>
    <row r="795" spans="2:2" x14ac:dyDescent="0.25">
      <c r="B795" s="176">
        <v>1113145</v>
      </c>
    </row>
    <row r="796" spans="2:2" x14ac:dyDescent="0.25">
      <c r="B796" s="176">
        <v>666463</v>
      </c>
    </row>
    <row r="797" spans="2:2" x14ac:dyDescent="0.25">
      <c r="B797" s="176">
        <v>750184</v>
      </c>
    </row>
    <row r="798" spans="2:2" x14ac:dyDescent="0.25">
      <c r="B798" s="176">
        <v>741057</v>
      </c>
    </row>
    <row r="799" spans="2:2" x14ac:dyDescent="0.25">
      <c r="B799" s="176">
        <v>1172580</v>
      </c>
    </row>
    <row r="800" spans="2:2" x14ac:dyDescent="0.25">
      <c r="B800" s="176">
        <v>1373156</v>
      </c>
    </row>
    <row r="801" spans="2:2" x14ac:dyDescent="0.25">
      <c r="B801" s="176">
        <v>1411743</v>
      </c>
    </row>
    <row r="802" spans="2:2" x14ac:dyDescent="0.25">
      <c r="B802" s="176">
        <v>839941</v>
      </c>
    </row>
    <row r="803" spans="2:2" x14ac:dyDescent="0.25">
      <c r="B803" s="176">
        <v>1025910</v>
      </c>
    </row>
    <row r="804" spans="2:2" x14ac:dyDescent="0.25">
      <c r="B804" s="176">
        <v>802674</v>
      </c>
    </row>
    <row r="805" spans="2:2" x14ac:dyDescent="0.25">
      <c r="B805" s="176">
        <v>947893</v>
      </c>
    </row>
    <row r="806" spans="2:2" x14ac:dyDescent="0.25">
      <c r="B806" s="176">
        <v>862729</v>
      </c>
    </row>
    <row r="807" spans="2:2" x14ac:dyDescent="0.25">
      <c r="B807" s="176">
        <v>1443909</v>
      </c>
    </row>
    <row r="808" spans="2:2" x14ac:dyDescent="0.25">
      <c r="B808" s="176">
        <v>807929</v>
      </c>
    </row>
    <row r="809" spans="2:2" x14ac:dyDescent="0.25">
      <c r="B809" s="176">
        <v>1287333</v>
      </c>
    </row>
    <row r="810" spans="2:2" x14ac:dyDescent="0.25">
      <c r="B810" s="176">
        <v>1413763</v>
      </c>
    </row>
    <row r="811" spans="2:2" x14ac:dyDescent="0.25">
      <c r="B811" s="176">
        <v>1215615</v>
      </c>
    </row>
    <row r="812" spans="2:2" x14ac:dyDescent="0.25">
      <c r="B812" s="176">
        <v>960049</v>
      </c>
    </row>
    <row r="813" spans="2:2" x14ac:dyDescent="0.25">
      <c r="B813" s="176">
        <v>703378</v>
      </c>
    </row>
    <row r="814" spans="2:2" x14ac:dyDescent="0.25">
      <c r="B814" s="176">
        <v>748002</v>
      </c>
    </row>
    <row r="815" spans="2:2" x14ac:dyDescent="0.25">
      <c r="B815" s="176">
        <v>1324544</v>
      </c>
    </row>
    <row r="816" spans="2:2" x14ac:dyDescent="0.25">
      <c r="B816" s="176">
        <v>778836</v>
      </c>
    </row>
    <row r="817" spans="2:2" x14ac:dyDescent="0.25">
      <c r="B817" s="176">
        <v>1343499</v>
      </c>
    </row>
    <row r="818" spans="2:2" x14ac:dyDescent="0.25">
      <c r="B818" s="176">
        <v>1467614</v>
      </c>
    </row>
    <row r="819" spans="2:2" x14ac:dyDescent="0.25">
      <c r="B819" s="176">
        <v>1465928</v>
      </c>
    </row>
    <row r="820" spans="2:2" x14ac:dyDescent="0.25">
      <c r="B820" s="176">
        <v>1429700</v>
      </c>
    </row>
    <row r="821" spans="2:2" x14ac:dyDescent="0.25">
      <c r="B821" s="176">
        <v>1382078</v>
      </c>
    </row>
    <row r="822" spans="2:2" x14ac:dyDescent="0.25">
      <c r="B822" s="176">
        <v>1439557</v>
      </c>
    </row>
    <row r="823" spans="2:2" x14ac:dyDescent="0.25">
      <c r="B823" s="176">
        <v>1048415</v>
      </c>
    </row>
    <row r="824" spans="2:2" x14ac:dyDescent="0.25">
      <c r="B824" s="176">
        <v>1300709</v>
      </c>
    </row>
    <row r="825" spans="2:2" x14ac:dyDescent="0.25">
      <c r="B825" s="176">
        <v>761287</v>
      </c>
    </row>
    <row r="826" spans="2:2" x14ac:dyDescent="0.25">
      <c r="B826" s="176">
        <v>989076</v>
      </c>
    </row>
    <row r="827" spans="2:2" x14ac:dyDescent="0.25">
      <c r="B827" s="176">
        <v>1386824</v>
      </c>
    </row>
    <row r="828" spans="2:2" x14ac:dyDescent="0.25">
      <c r="B828" s="176">
        <v>1182424</v>
      </c>
    </row>
    <row r="829" spans="2:2" x14ac:dyDescent="0.25">
      <c r="B829" s="176">
        <v>1409579</v>
      </c>
    </row>
    <row r="830" spans="2:2" x14ac:dyDescent="0.25">
      <c r="B830" s="176">
        <v>728412</v>
      </c>
    </row>
    <row r="831" spans="2:2" x14ac:dyDescent="0.25">
      <c r="B831" s="176">
        <v>1350861</v>
      </c>
    </row>
    <row r="832" spans="2:2" x14ac:dyDescent="0.25">
      <c r="B832" s="176">
        <v>747521</v>
      </c>
    </row>
    <row r="833" spans="2:2" x14ac:dyDescent="0.25">
      <c r="B833" s="176">
        <v>1316303</v>
      </c>
    </row>
    <row r="834" spans="2:2" x14ac:dyDescent="0.25">
      <c r="B834" s="176">
        <v>795596</v>
      </c>
    </row>
    <row r="835" spans="2:2" x14ac:dyDescent="0.25">
      <c r="B835" s="176">
        <v>941986</v>
      </c>
    </row>
    <row r="836" spans="2:2" x14ac:dyDescent="0.25">
      <c r="B836" s="176">
        <v>1407227</v>
      </c>
    </row>
    <row r="837" spans="2:2" x14ac:dyDescent="0.25">
      <c r="B837" s="176">
        <v>1485676</v>
      </c>
    </row>
    <row r="838" spans="2:2" x14ac:dyDescent="0.25">
      <c r="B838" s="176">
        <v>1454248</v>
      </c>
    </row>
    <row r="839" spans="2:2" x14ac:dyDescent="0.25">
      <c r="B839" s="176">
        <v>825249</v>
      </c>
    </row>
    <row r="840" spans="2:2" x14ac:dyDescent="0.25">
      <c r="B840" s="176">
        <v>1491326</v>
      </c>
    </row>
    <row r="841" spans="2:2" x14ac:dyDescent="0.25">
      <c r="B841" s="176">
        <v>1342813</v>
      </c>
    </row>
    <row r="842" spans="2:2" x14ac:dyDescent="0.25">
      <c r="B842" s="176">
        <v>1163379</v>
      </c>
    </row>
    <row r="843" spans="2:2" x14ac:dyDescent="0.25">
      <c r="B843" s="176">
        <v>923109</v>
      </c>
    </row>
    <row r="844" spans="2:2" x14ac:dyDescent="0.25">
      <c r="B844" s="176">
        <v>647042</v>
      </c>
    </row>
    <row r="845" spans="2:2" x14ac:dyDescent="0.25">
      <c r="B845" s="176">
        <v>718429</v>
      </c>
    </row>
    <row r="846" spans="2:2" x14ac:dyDescent="0.25">
      <c r="B846" s="176">
        <v>1295778</v>
      </c>
    </row>
    <row r="847" spans="2:2" x14ac:dyDescent="0.25">
      <c r="B847" s="176">
        <v>691123</v>
      </c>
    </row>
    <row r="848" spans="2:2" x14ac:dyDescent="0.25">
      <c r="B848" s="176">
        <v>1411151</v>
      </c>
    </row>
    <row r="849" spans="2:2" x14ac:dyDescent="0.25">
      <c r="B849" s="176">
        <v>1059288</v>
      </c>
    </row>
    <row r="850" spans="2:2" x14ac:dyDescent="0.25">
      <c r="B850" s="176">
        <v>652957</v>
      </c>
    </row>
    <row r="851" spans="2:2" x14ac:dyDescent="0.25">
      <c r="B851" s="176">
        <v>942258</v>
      </c>
    </row>
    <row r="852" spans="2:2" x14ac:dyDescent="0.25">
      <c r="B852" s="176">
        <v>1480756</v>
      </c>
    </row>
    <row r="853" spans="2:2" x14ac:dyDescent="0.25">
      <c r="B853" s="176">
        <v>1066092</v>
      </c>
    </row>
    <row r="854" spans="2:2" x14ac:dyDescent="0.25">
      <c r="B854" s="176">
        <v>1426001</v>
      </c>
    </row>
    <row r="855" spans="2:2" x14ac:dyDescent="0.25">
      <c r="B855" s="176">
        <v>1310879</v>
      </c>
    </row>
    <row r="856" spans="2:2" x14ac:dyDescent="0.25">
      <c r="B856" s="176">
        <v>1165412</v>
      </c>
    </row>
    <row r="857" spans="2:2" x14ac:dyDescent="0.25">
      <c r="B857" s="176">
        <v>975003</v>
      </c>
    </row>
    <row r="858" spans="2:2" x14ac:dyDescent="0.25">
      <c r="B858" s="176">
        <v>1161926</v>
      </c>
    </row>
    <row r="859" spans="2:2" x14ac:dyDescent="0.25">
      <c r="B859" s="176">
        <v>1279011</v>
      </c>
    </row>
    <row r="860" spans="2:2" x14ac:dyDescent="0.25">
      <c r="B860" s="176">
        <v>1483419</v>
      </c>
    </row>
    <row r="861" spans="2:2" x14ac:dyDescent="0.25">
      <c r="B861" s="176">
        <v>1256617</v>
      </c>
    </row>
    <row r="862" spans="2:2" x14ac:dyDescent="0.25">
      <c r="B862" s="176">
        <v>1234218</v>
      </c>
    </row>
    <row r="863" spans="2:2" x14ac:dyDescent="0.25">
      <c r="B863" s="176">
        <v>780229</v>
      </c>
    </row>
    <row r="864" spans="2:2" x14ac:dyDescent="0.25">
      <c r="B864" s="176">
        <v>1199530</v>
      </c>
    </row>
    <row r="865" spans="2:2" x14ac:dyDescent="0.25">
      <c r="B865" s="176">
        <v>1408419</v>
      </c>
    </row>
    <row r="866" spans="2:2" x14ac:dyDescent="0.25">
      <c r="B866" s="176">
        <v>1237913</v>
      </c>
    </row>
    <row r="867" spans="2:2" x14ac:dyDescent="0.25">
      <c r="B867" s="176">
        <v>734075</v>
      </c>
    </row>
    <row r="868" spans="2:2" x14ac:dyDescent="0.25">
      <c r="B868" s="176">
        <v>1485628</v>
      </c>
    </row>
    <row r="869" spans="2:2" x14ac:dyDescent="0.25">
      <c r="B869" s="176">
        <v>802919</v>
      </c>
    </row>
    <row r="870" spans="2:2" x14ac:dyDescent="0.25">
      <c r="B870" s="176">
        <v>1308357</v>
      </c>
    </row>
    <row r="871" spans="2:2" x14ac:dyDescent="0.25">
      <c r="B871" s="176">
        <v>1341160</v>
      </c>
    </row>
    <row r="872" spans="2:2" x14ac:dyDescent="0.25">
      <c r="B872" s="176">
        <v>903981</v>
      </c>
    </row>
    <row r="873" spans="2:2" x14ac:dyDescent="0.25">
      <c r="B873" s="176">
        <v>1261181</v>
      </c>
    </row>
    <row r="874" spans="2:2" x14ac:dyDescent="0.25">
      <c r="B874" s="176">
        <v>1029222</v>
      </c>
    </row>
    <row r="875" spans="2:2" x14ac:dyDescent="0.25">
      <c r="B875" s="176">
        <v>1155588</v>
      </c>
    </row>
    <row r="876" spans="2:2" x14ac:dyDescent="0.25">
      <c r="B876" s="176">
        <v>1365436</v>
      </c>
    </row>
    <row r="877" spans="2:2" x14ac:dyDescent="0.25">
      <c r="B877" s="176">
        <v>1019599</v>
      </c>
    </row>
    <row r="878" spans="2:2" x14ac:dyDescent="0.25">
      <c r="B878" s="176">
        <v>1221420</v>
      </c>
    </row>
    <row r="879" spans="2:2" x14ac:dyDescent="0.25">
      <c r="B879" s="176">
        <v>602691</v>
      </c>
    </row>
    <row r="880" spans="2:2" x14ac:dyDescent="0.25">
      <c r="B880" s="176">
        <v>1355148</v>
      </c>
    </row>
    <row r="881" spans="2:2" x14ac:dyDescent="0.25">
      <c r="B881" s="176">
        <v>1266062</v>
      </c>
    </row>
    <row r="882" spans="2:2" x14ac:dyDescent="0.25">
      <c r="B882" s="176">
        <v>717560</v>
      </c>
    </row>
    <row r="883" spans="2:2" x14ac:dyDescent="0.25">
      <c r="B883" s="176">
        <v>989875</v>
      </c>
    </row>
    <row r="884" spans="2:2" x14ac:dyDescent="0.25">
      <c r="B884" s="176">
        <v>899598</v>
      </c>
    </row>
    <row r="885" spans="2:2" x14ac:dyDescent="0.25">
      <c r="B885" s="176">
        <v>1156910</v>
      </c>
    </row>
    <row r="886" spans="2:2" x14ac:dyDescent="0.25">
      <c r="B886" s="176">
        <v>1186534</v>
      </c>
    </row>
    <row r="887" spans="2:2" x14ac:dyDescent="0.25">
      <c r="B887" s="176">
        <v>1201594</v>
      </c>
    </row>
    <row r="888" spans="2:2" x14ac:dyDescent="0.25">
      <c r="B888" s="176">
        <v>1138128</v>
      </c>
    </row>
    <row r="889" spans="2:2" x14ac:dyDescent="0.25">
      <c r="B889" s="176">
        <v>1108389</v>
      </c>
    </row>
    <row r="890" spans="2:2" x14ac:dyDescent="0.25">
      <c r="B890" s="176">
        <v>1448047</v>
      </c>
    </row>
    <row r="891" spans="2:2" x14ac:dyDescent="0.25">
      <c r="B891" s="176">
        <v>605279</v>
      </c>
    </row>
    <row r="892" spans="2:2" x14ac:dyDescent="0.25">
      <c r="B892" s="176">
        <v>1090782</v>
      </c>
    </row>
    <row r="893" spans="2:2" x14ac:dyDescent="0.25">
      <c r="B893" s="176">
        <v>1105204</v>
      </c>
    </row>
    <row r="894" spans="2:2" x14ac:dyDescent="0.25">
      <c r="B894" s="176">
        <v>623127</v>
      </c>
    </row>
    <row r="895" spans="2:2" x14ac:dyDescent="0.25">
      <c r="B895" s="176">
        <v>1115349</v>
      </c>
    </row>
    <row r="896" spans="2:2" x14ac:dyDescent="0.25">
      <c r="B896" s="176">
        <v>1273508</v>
      </c>
    </row>
    <row r="897" spans="2:2" x14ac:dyDescent="0.25">
      <c r="B897" s="176">
        <v>1379408</v>
      </c>
    </row>
    <row r="898" spans="2:2" x14ac:dyDescent="0.25">
      <c r="B898" s="176">
        <v>1172012</v>
      </c>
    </row>
    <row r="899" spans="2:2" x14ac:dyDescent="0.25">
      <c r="B899" s="176">
        <v>769037</v>
      </c>
    </row>
    <row r="900" spans="2:2" x14ac:dyDescent="0.25">
      <c r="B900" s="176">
        <v>1420406</v>
      </c>
    </row>
    <row r="901" spans="2:2" x14ac:dyDescent="0.25">
      <c r="B901" s="176">
        <v>1443291</v>
      </c>
    </row>
    <row r="902" spans="2:2" x14ac:dyDescent="0.25">
      <c r="B902" s="176">
        <v>647585</v>
      </c>
    </row>
    <row r="903" spans="2:2" x14ac:dyDescent="0.25">
      <c r="B903" s="176">
        <v>1273557</v>
      </c>
    </row>
    <row r="904" spans="2:2" x14ac:dyDescent="0.25">
      <c r="B904" s="176">
        <v>910452</v>
      </c>
    </row>
    <row r="905" spans="2:2" x14ac:dyDescent="0.25">
      <c r="B905" s="176">
        <v>784035</v>
      </c>
    </row>
    <row r="906" spans="2:2" x14ac:dyDescent="0.25">
      <c r="B906" s="176">
        <v>1420235</v>
      </c>
    </row>
    <row r="907" spans="2:2" x14ac:dyDescent="0.25">
      <c r="B907" s="176">
        <v>1357065</v>
      </c>
    </row>
    <row r="908" spans="2:2" x14ac:dyDescent="0.25">
      <c r="B908" s="176">
        <v>1111652</v>
      </c>
    </row>
    <row r="909" spans="2:2" x14ac:dyDescent="0.25">
      <c r="B909" s="176">
        <v>1435585</v>
      </c>
    </row>
    <row r="910" spans="2:2" x14ac:dyDescent="0.25">
      <c r="B910" s="176">
        <v>708401</v>
      </c>
    </row>
    <row r="911" spans="2:2" x14ac:dyDescent="0.25">
      <c r="B911" s="176">
        <v>758844</v>
      </c>
    </row>
    <row r="912" spans="2:2" x14ac:dyDescent="0.25">
      <c r="B912" s="176">
        <v>722108</v>
      </c>
    </row>
    <row r="913" spans="2:2" x14ac:dyDescent="0.25">
      <c r="B913" s="176">
        <v>923033</v>
      </c>
    </row>
    <row r="914" spans="2:2" x14ac:dyDescent="0.25">
      <c r="B914" s="176">
        <v>997602</v>
      </c>
    </row>
    <row r="915" spans="2:2" x14ac:dyDescent="0.25">
      <c r="B915" s="176">
        <v>1081510</v>
      </c>
    </row>
    <row r="916" spans="2:2" x14ac:dyDescent="0.25">
      <c r="B916" s="176">
        <v>963542</v>
      </c>
    </row>
    <row r="917" spans="2:2" x14ac:dyDescent="0.25">
      <c r="B917" s="176">
        <v>1253922</v>
      </c>
    </row>
    <row r="918" spans="2:2" x14ac:dyDescent="0.25">
      <c r="B918" s="176">
        <v>715146</v>
      </c>
    </row>
    <row r="919" spans="2:2" x14ac:dyDescent="0.25">
      <c r="B919" s="176">
        <v>1035162</v>
      </c>
    </row>
    <row r="920" spans="2:2" x14ac:dyDescent="0.25">
      <c r="B920" s="176">
        <v>784974</v>
      </c>
    </row>
    <row r="921" spans="2:2" x14ac:dyDescent="0.25">
      <c r="B921" s="176">
        <v>652832</v>
      </c>
    </row>
    <row r="922" spans="2:2" x14ac:dyDescent="0.25">
      <c r="B922" s="176">
        <v>1363771</v>
      </c>
    </row>
    <row r="923" spans="2:2" x14ac:dyDescent="0.25">
      <c r="B923" s="176">
        <v>992846</v>
      </c>
    </row>
    <row r="924" spans="2:2" x14ac:dyDescent="0.25">
      <c r="B924" s="176">
        <v>848182</v>
      </c>
    </row>
    <row r="925" spans="2:2" x14ac:dyDescent="0.25">
      <c r="B925" s="176">
        <v>1448679</v>
      </c>
    </row>
    <row r="926" spans="2:2" x14ac:dyDescent="0.25">
      <c r="B926" s="176">
        <v>602410</v>
      </c>
    </row>
    <row r="927" spans="2:2" x14ac:dyDescent="0.25">
      <c r="B927" s="176">
        <v>950750</v>
      </c>
    </row>
    <row r="928" spans="2:2" x14ac:dyDescent="0.25">
      <c r="B928" s="176">
        <v>1009800</v>
      </c>
    </row>
    <row r="929" spans="2:2" x14ac:dyDescent="0.25">
      <c r="B929" s="176">
        <v>1200750</v>
      </c>
    </row>
    <row r="930" spans="2:2" x14ac:dyDescent="0.25">
      <c r="B930" s="176">
        <v>1081501</v>
      </c>
    </row>
    <row r="931" spans="2:2" x14ac:dyDescent="0.25">
      <c r="B931" s="176">
        <v>810801</v>
      </c>
    </row>
    <row r="932" spans="2:2" x14ac:dyDescent="0.25">
      <c r="B932" s="176">
        <v>1019340</v>
      </c>
    </row>
    <row r="933" spans="2:2" x14ac:dyDescent="0.25">
      <c r="B933" s="176">
        <v>673367</v>
      </c>
    </row>
    <row r="934" spans="2:2" x14ac:dyDescent="0.25">
      <c r="B934" s="176">
        <v>1256572</v>
      </c>
    </row>
    <row r="935" spans="2:2" x14ac:dyDescent="0.25">
      <c r="B935" s="176">
        <v>1381886</v>
      </c>
    </row>
    <row r="936" spans="2:2" x14ac:dyDescent="0.25">
      <c r="B936" s="176">
        <v>1020285</v>
      </c>
    </row>
    <row r="937" spans="2:2" x14ac:dyDescent="0.25">
      <c r="B937" s="176">
        <v>1234019</v>
      </c>
    </row>
    <row r="938" spans="2:2" x14ac:dyDescent="0.25">
      <c r="B938" s="176">
        <v>1123296</v>
      </c>
    </row>
    <row r="939" spans="2:2" x14ac:dyDescent="0.25">
      <c r="B939" s="176">
        <v>1482958</v>
      </c>
    </row>
    <row r="940" spans="2:2" x14ac:dyDescent="0.25">
      <c r="B940" s="176">
        <v>927753</v>
      </c>
    </row>
    <row r="941" spans="2:2" x14ac:dyDescent="0.25">
      <c r="B941" s="176">
        <v>1285951</v>
      </c>
    </row>
    <row r="942" spans="2:2" x14ac:dyDescent="0.25">
      <c r="B942" s="176">
        <v>790521</v>
      </c>
    </row>
    <row r="943" spans="2:2" x14ac:dyDescent="0.25">
      <c r="B943" s="176">
        <v>860310</v>
      </c>
    </row>
    <row r="944" spans="2:2" x14ac:dyDescent="0.25">
      <c r="B944" s="176">
        <v>1187351</v>
      </c>
    </row>
    <row r="945" spans="2:2" x14ac:dyDescent="0.25">
      <c r="B945" s="176">
        <v>1309869</v>
      </c>
    </row>
    <row r="946" spans="2:2" x14ac:dyDescent="0.25">
      <c r="B946" s="176">
        <v>1026193</v>
      </c>
    </row>
    <row r="947" spans="2:2" x14ac:dyDescent="0.25">
      <c r="B947" s="176">
        <v>1064958</v>
      </c>
    </row>
    <row r="948" spans="2:2" x14ac:dyDescent="0.25">
      <c r="B948" s="176">
        <v>1296989</v>
      </c>
    </row>
    <row r="949" spans="2:2" x14ac:dyDescent="0.25">
      <c r="B949" s="176">
        <v>1210301</v>
      </c>
    </row>
    <row r="950" spans="2:2" x14ac:dyDescent="0.25">
      <c r="B950" s="176">
        <v>657725</v>
      </c>
    </row>
    <row r="951" spans="2:2" x14ac:dyDescent="0.25">
      <c r="B951" s="176">
        <v>1398643</v>
      </c>
    </row>
    <row r="952" spans="2:2" x14ac:dyDescent="0.25">
      <c r="B952" s="176">
        <v>1184699</v>
      </c>
    </row>
    <row r="953" spans="2:2" x14ac:dyDescent="0.25">
      <c r="B953" s="176">
        <v>662935</v>
      </c>
    </row>
    <row r="954" spans="2:2" x14ac:dyDescent="0.25">
      <c r="B954" s="176">
        <v>1033329</v>
      </c>
    </row>
    <row r="955" spans="2:2" x14ac:dyDescent="0.25">
      <c r="B955" s="176">
        <v>1428165</v>
      </c>
    </row>
    <row r="956" spans="2:2" x14ac:dyDescent="0.25">
      <c r="B956" s="176">
        <v>774234</v>
      </c>
    </row>
    <row r="957" spans="2:2" x14ac:dyDescent="0.25">
      <c r="B957" s="176">
        <v>786323</v>
      </c>
    </row>
    <row r="958" spans="2:2" x14ac:dyDescent="0.25">
      <c r="B958" s="176">
        <v>1010302</v>
      </c>
    </row>
    <row r="959" spans="2:2" x14ac:dyDescent="0.25">
      <c r="B959" s="176">
        <v>1336437</v>
      </c>
    </row>
    <row r="960" spans="2:2" x14ac:dyDescent="0.25">
      <c r="B960" s="176">
        <v>955150</v>
      </c>
    </row>
    <row r="961" spans="2:2" x14ac:dyDescent="0.25">
      <c r="B961" s="176">
        <v>1412705</v>
      </c>
    </row>
    <row r="962" spans="2:2" x14ac:dyDescent="0.25">
      <c r="B962" s="176">
        <v>618109</v>
      </c>
    </row>
    <row r="963" spans="2:2" x14ac:dyDescent="0.25">
      <c r="B963" s="176">
        <v>1318967</v>
      </c>
    </row>
    <row r="964" spans="2:2" x14ac:dyDescent="0.25">
      <c r="B964" s="176">
        <v>611358</v>
      </c>
    </row>
    <row r="965" spans="2:2" x14ac:dyDescent="0.25">
      <c r="B965" s="176">
        <v>999660</v>
      </c>
    </row>
    <row r="966" spans="2:2" x14ac:dyDescent="0.25">
      <c r="B966" s="176">
        <v>1221386</v>
      </c>
    </row>
    <row r="967" spans="2:2" x14ac:dyDescent="0.25">
      <c r="B967" s="176">
        <v>1384100</v>
      </c>
    </row>
    <row r="968" spans="2:2" x14ac:dyDescent="0.25">
      <c r="B968" s="176">
        <v>626655</v>
      </c>
    </row>
    <row r="969" spans="2:2" x14ac:dyDescent="0.25">
      <c r="B969" s="176">
        <v>798338</v>
      </c>
    </row>
    <row r="970" spans="2:2" x14ac:dyDescent="0.25">
      <c r="B970" s="176">
        <v>644204</v>
      </c>
    </row>
    <row r="971" spans="2:2" x14ac:dyDescent="0.25">
      <c r="B971" s="176">
        <v>1464963</v>
      </c>
    </row>
    <row r="972" spans="2:2" x14ac:dyDescent="0.25">
      <c r="B972" s="176">
        <v>1437056</v>
      </c>
    </row>
    <row r="973" spans="2:2" x14ac:dyDescent="0.25">
      <c r="B973" s="176">
        <v>752989</v>
      </c>
    </row>
    <row r="974" spans="2:2" x14ac:dyDescent="0.25">
      <c r="B974" s="176">
        <v>1418798</v>
      </c>
    </row>
    <row r="975" spans="2:2" x14ac:dyDescent="0.25">
      <c r="B975" s="176">
        <v>641407</v>
      </c>
    </row>
    <row r="976" spans="2:2" x14ac:dyDescent="0.25">
      <c r="B976" s="176">
        <v>1493954</v>
      </c>
    </row>
    <row r="977" spans="2:2" x14ac:dyDescent="0.25">
      <c r="B977" s="176">
        <v>1052129</v>
      </c>
    </row>
    <row r="978" spans="2:2" x14ac:dyDescent="0.25">
      <c r="B978" s="176">
        <v>1448265</v>
      </c>
    </row>
    <row r="979" spans="2:2" x14ac:dyDescent="0.25">
      <c r="B979" s="176">
        <v>758514</v>
      </c>
    </row>
    <row r="980" spans="2:2" x14ac:dyDescent="0.25">
      <c r="B980" s="176">
        <v>705513</v>
      </c>
    </row>
    <row r="981" spans="2:2" x14ac:dyDescent="0.25">
      <c r="B981" s="176">
        <v>1319785</v>
      </c>
    </row>
    <row r="982" spans="2:2" x14ac:dyDescent="0.25">
      <c r="B982" s="176">
        <v>1149089</v>
      </c>
    </row>
    <row r="983" spans="2:2" x14ac:dyDescent="0.25">
      <c r="B983" s="176">
        <v>679661</v>
      </c>
    </row>
    <row r="984" spans="2:2" x14ac:dyDescent="0.25">
      <c r="B984" s="176">
        <v>1044693</v>
      </c>
    </row>
    <row r="985" spans="2:2" x14ac:dyDescent="0.25">
      <c r="B985" s="176">
        <v>1138446</v>
      </c>
    </row>
    <row r="986" spans="2:2" x14ac:dyDescent="0.25">
      <c r="B986" s="176">
        <v>1295323</v>
      </c>
    </row>
    <row r="987" spans="2:2" x14ac:dyDescent="0.25">
      <c r="B987" s="176">
        <v>1122587</v>
      </c>
    </row>
    <row r="988" spans="2:2" x14ac:dyDescent="0.25">
      <c r="B988" s="176">
        <v>1003334</v>
      </c>
    </row>
    <row r="989" spans="2:2" x14ac:dyDescent="0.25">
      <c r="B989" s="176">
        <v>997444</v>
      </c>
    </row>
    <row r="990" spans="2:2" x14ac:dyDescent="0.25">
      <c r="B990" s="176">
        <v>710454</v>
      </c>
    </row>
    <row r="991" spans="2:2" x14ac:dyDescent="0.25">
      <c r="B991" s="176">
        <v>1392810</v>
      </c>
    </row>
    <row r="992" spans="2:2" x14ac:dyDescent="0.25">
      <c r="B992" s="176">
        <v>1397563</v>
      </c>
    </row>
    <row r="993" spans="2:2" x14ac:dyDescent="0.25">
      <c r="B993" s="176">
        <v>929455</v>
      </c>
    </row>
    <row r="994" spans="2:2" x14ac:dyDescent="0.25">
      <c r="B994" s="176">
        <v>1307790</v>
      </c>
    </row>
    <row r="995" spans="2:2" x14ac:dyDescent="0.25">
      <c r="B995" s="176">
        <v>1360762</v>
      </c>
    </row>
    <row r="996" spans="2:2" x14ac:dyDescent="0.25">
      <c r="B996" s="176">
        <v>1439934</v>
      </c>
    </row>
    <row r="997" spans="2:2" x14ac:dyDescent="0.25">
      <c r="B997" s="176">
        <v>732111</v>
      </c>
    </row>
    <row r="998" spans="2:2" x14ac:dyDescent="0.25">
      <c r="B998" s="176">
        <v>1390245</v>
      </c>
    </row>
    <row r="999" spans="2:2" x14ac:dyDescent="0.25">
      <c r="B999" s="176">
        <v>601585</v>
      </c>
    </row>
    <row r="1000" spans="2:2" x14ac:dyDescent="0.25">
      <c r="B1000" s="176">
        <v>1053101</v>
      </c>
    </row>
    <row r="1001" spans="2:2" x14ac:dyDescent="0.25">
      <c r="B1001" s="176">
        <v>622658</v>
      </c>
    </row>
    <row r="1002" spans="2:2" x14ac:dyDescent="0.25">
      <c r="B1002" s="176">
        <v>1022448</v>
      </c>
    </row>
    <row r="1003" spans="2:2" x14ac:dyDescent="0.25">
      <c r="B1003" s="176">
        <v>703814</v>
      </c>
    </row>
    <row r="1004" spans="2:2" x14ac:dyDescent="0.25">
      <c r="B1004" s="176">
        <v>730169</v>
      </c>
    </row>
    <row r="1005" spans="2:2" x14ac:dyDescent="0.25">
      <c r="B1005" s="176">
        <v>601667</v>
      </c>
    </row>
    <row r="1006" spans="2:2" x14ac:dyDescent="0.25">
      <c r="B1006" s="176">
        <v>1040641</v>
      </c>
    </row>
    <row r="1007" spans="2:2" x14ac:dyDescent="0.25">
      <c r="B1007" s="176">
        <v>1343434</v>
      </c>
    </row>
    <row r="1008" spans="2:2" x14ac:dyDescent="0.25">
      <c r="B1008" s="176">
        <v>880223</v>
      </c>
    </row>
    <row r="1009" spans="2:2" x14ac:dyDescent="0.25">
      <c r="B1009" s="176">
        <v>792804</v>
      </c>
    </row>
    <row r="1010" spans="2:2" x14ac:dyDescent="0.25">
      <c r="B1010" s="176">
        <v>1239987</v>
      </c>
    </row>
    <row r="1011" spans="2:2" x14ac:dyDescent="0.25">
      <c r="B1011" s="176">
        <v>952846</v>
      </c>
    </row>
    <row r="1012" spans="2:2" x14ac:dyDescent="0.25">
      <c r="B1012" s="176">
        <v>623053</v>
      </c>
    </row>
    <row r="1013" spans="2:2" x14ac:dyDescent="0.25">
      <c r="B1013" s="176">
        <v>668562</v>
      </c>
    </row>
    <row r="1014" spans="2:2" x14ac:dyDescent="0.25">
      <c r="B1014" s="176">
        <v>1300921</v>
      </c>
    </row>
    <row r="1015" spans="2:2" x14ac:dyDescent="0.25">
      <c r="B1015" s="176">
        <v>1438234</v>
      </c>
    </row>
    <row r="1016" spans="2:2" x14ac:dyDescent="0.25">
      <c r="B1016" s="176">
        <v>1284799</v>
      </c>
    </row>
    <row r="1017" spans="2:2" x14ac:dyDescent="0.25">
      <c r="B1017" s="176">
        <v>783790</v>
      </c>
    </row>
    <row r="1018" spans="2:2" x14ac:dyDescent="0.25">
      <c r="B1018" s="176">
        <v>1251223</v>
      </c>
    </row>
    <row r="1019" spans="2:2" x14ac:dyDescent="0.25">
      <c r="B1019" s="176">
        <v>851542</v>
      </c>
    </row>
    <row r="1020" spans="2:2" x14ac:dyDescent="0.25">
      <c r="B1020" s="176">
        <v>1133037</v>
      </c>
    </row>
    <row r="1021" spans="2:2" x14ac:dyDescent="0.25">
      <c r="B1021" s="176">
        <v>1134467</v>
      </c>
    </row>
    <row r="1022" spans="2:2" x14ac:dyDescent="0.25">
      <c r="B1022" s="176">
        <v>957850</v>
      </c>
    </row>
    <row r="1023" spans="2:2" x14ac:dyDescent="0.25">
      <c r="B1023" s="176">
        <v>912072</v>
      </c>
    </row>
    <row r="1024" spans="2:2" x14ac:dyDescent="0.25">
      <c r="B1024" s="176">
        <v>613674</v>
      </c>
    </row>
    <row r="1025" spans="2:2" x14ac:dyDescent="0.25">
      <c r="B1025" s="176">
        <v>1310805</v>
      </c>
    </row>
    <row r="1026" spans="2:2" x14ac:dyDescent="0.25">
      <c r="B1026" s="176">
        <v>616731</v>
      </c>
    </row>
    <row r="1027" spans="2:2" x14ac:dyDescent="0.25">
      <c r="B1027" s="176">
        <v>878393</v>
      </c>
    </row>
    <row r="1028" spans="2:2" x14ac:dyDescent="0.25">
      <c r="B1028" s="176">
        <v>1323396</v>
      </c>
    </row>
    <row r="1029" spans="2:2" x14ac:dyDescent="0.25">
      <c r="B1029" s="176">
        <v>1294317</v>
      </c>
    </row>
    <row r="1030" spans="2:2" x14ac:dyDescent="0.25">
      <c r="B1030" s="176">
        <v>1130528</v>
      </c>
    </row>
    <row r="1031" spans="2:2" x14ac:dyDescent="0.25">
      <c r="B1031" s="176">
        <v>1463991</v>
      </c>
    </row>
    <row r="1032" spans="2:2" x14ac:dyDescent="0.25">
      <c r="B1032" s="176">
        <v>1313546</v>
      </c>
    </row>
    <row r="1033" spans="2:2" x14ac:dyDescent="0.25">
      <c r="B1033" s="176">
        <v>979211</v>
      </c>
    </row>
    <row r="1034" spans="2:2" x14ac:dyDescent="0.25">
      <c r="B1034" s="176">
        <v>1157865</v>
      </c>
    </row>
    <row r="1035" spans="2:2" x14ac:dyDescent="0.25">
      <c r="B1035" s="176">
        <v>1179965</v>
      </c>
    </row>
    <row r="1036" spans="2:2" x14ac:dyDescent="0.25">
      <c r="B1036" s="176">
        <v>1030166</v>
      </c>
    </row>
    <row r="1037" spans="2:2" x14ac:dyDescent="0.25">
      <c r="B1037" s="176">
        <v>1274412</v>
      </c>
    </row>
    <row r="1038" spans="2:2" x14ac:dyDescent="0.25">
      <c r="B1038" s="176">
        <v>1047523</v>
      </c>
    </row>
    <row r="1039" spans="2:2" x14ac:dyDescent="0.25">
      <c r="B1039" s="176">
        <v>1410432</v>
      </c>
    </row>
    <row r="1040" spans="2:2" x14ac:dyDescent="0.25">
      <c r="B1040" s="176">
        <v>1150974</v>
      </c>
    </row>
    <row r="1041" spans="2:2" x14ac:dyDescent="0.25">
      <c r="B1041" s="176">
        <v>1014544</v>
      </c>
    </row>
    <row r="1042" spans="2:2" x14ac:dyDescent="0.25">
      <c r="B1042" s="176">
        <v>1161064</v>
      </c>
    </row>
    <row r="1043" spans="2:2" x14ac:dyDescent="0.25">
      <c r="B1043" s="176">
        <v>1377144</v>
      </c>
    </row>
    <row r="1044" spans="2:2" x14ac:dyDescent="0.25">
      <c r="B1044" s="176">
        <v>710382</v>
      </c>
    </row>
    <row r="1045" spans="2:2" x14ac:dyDescent="0.25">
      <c r="B1045" s="176">
        <v>1414746</v>
      </c>
    </row>
    <row r="1046" spans="2:2" x14ac:dyDescent="0.25">
      <c r="B1046" s="176">
        <v>732601</v>
      </c>
    </row>
    <row r="1047" spans="2:2" x14ac:dyDescent="0.25">
      <c r="B1047" s="176">
        <v>913570</v>
      </c>
    </row>
    <row r="1048" spans="2:2" x14ac:dyDescent="0.25">
      <c r="B1048" s="176">
        <v>831846</v>
      </c>
    </row>
    <row r="1049" spans="2:2" x14ac:dyDescent="0.25">
      <c r="B1049" s="176">
        <v>645362</v>
      </c>
    </row>
    <row r="1050" spans="2:2" x14ac:dyDescent="0.25">
      <c r="B1050" s="176">
        <v>967720</v>
      </c>
    </row>
    <row r="1051" spans="2:2" x14ac:dyDescent="0.25">
      <c r="B1051" s="176">
        <v>1445552</v>
      </c>
    </row>
    <row r="1052" spans="2:2" x14ac:dyDescent="0.25">
      <c r="B1052" s="176">
        <v>846406</v>
      </c>
    </row>
    <row r="1053" spans="2:2" x14ac:dyDescent="0.25">
      <c r="B1053" s="176">
        <v>1258291</v>
      </c>
    </row>
    <row r="1054" spans="2:2" x14ac:dyDescent="0.25">
      <c r="B1054" s="176">
        <v>1436882</v>
      </c>
    </row>
    <row r="1055" spans="2:2" x14ac:dyDescent="0.25">
      <c r="B1055" s="176">
        <v>852683</v>
      </c>
    </row>
    <row r="1056" spans="2:2" x14ac:dyDescent="0.25">
      <c r="B1056" s="176">
        <v>758330</v>
      </c>
    </row>
    <row r="1057" spans="2:2" x14ac:dyDescent="0.25">
      <c r="B1057" s="176">
        <v>1052607</v>
      </c>
    </row>
    <row r="1058" spans="2:2" x14ac:dyDescent="0.25">
      <c r="B1058" s="176">
        <v>1324584</v>
      </c>
    </row>
    <row r="1059" spans="2:2" x14ac:dyDescent="0.25">
      <c r="B1059" s="176">
        <v>1407798</v>
      </c>
    </row>
    <row r="1060" spans="2:2" x14ac:dyDescent="0.25">
      <c r="B1060" s="176">
        <v>1089769</v>
      </c>
    </row>
    <row r="1061" spans="2:2" x14ac:dyDescent="0.25">
      <c r="B1061" s="176">
        <v>1301920</v>
      </c>
    </row>
    <row r="1062" spans="2:2" x14ac:dyDescent="0.25">
      <c r="B1062" s="176">
        <v>784782</v>
      </c>
    </row>
    <row r="1063" spans="2:2" x14ac:dyDescent="0.25">
      <c r="B1063" s="176">
        <v>953292</v>
      </c>
    </row>
    <row r="1064" spans="2:2" x14ac:dyDescent="0.25">
      <c r="B1064" s="176">
        <v>761294</v>
      </c>
    </row>
    <row r="1065" spans="2:2" x14ac:dyDescent="0.25">
      <c r="B1065" s="176">
        <v>878164</v>
      </c>
    </row>
    <row r="1066" spans="2:2" x14ac:dyDescent="0.25">
      <c r="B1066" s="176">
        <v>871322</v>
      </c>
    </row>
    <row r="1067" spans="2:2" x14ac:dyDescent="0.25">
      <c r="B1067" s="176">
        <v>1291704</v>
      </c>
    </row>
    <row r="1068" spans="2:2" x14ac:dyDescent="0.25">
      <c r="B1068" s="176">
        <v>1259434</v>
      </c>
    </row>
    <row r="1069" spans="2:2" x14ac:dyDescent="0.25">
      <c r="B1069" s="176">
        <v>635839</v>
      </c>
    </row>
    <row r="1070" spans="2:2" x14ac:dyDescent="0.25">
      <c r="B1070" s="176">
        <v>846661</v>
      </c>
    </row>
    <row r="1071" spans="2:2" x14ac:dyDescent="0.25">
      <c r="B1071" s="176">
        <v>1366520</v>
      </c>
    </row>
    <row r="1072" spans="2:2" x14ac:dyDescent="0.25">
      <c r="B1072" s="176">
        <v>1398800</v>
      </c>
    </row>
    <row r="1073" spans="2:2" x14ac:dyDescent="0.25">
      <c r="B1073" s="176">
        <v>1472950</v>
      </c>
    </row>
    <row r="1074" spans="2:2" x14ac:dyDescent="0.25">
      <c r="B1074" s="176">
        <v>1144117</v>
      </c>
    </row>
    <row r="1075" spans="2:2" x14ac:dyDescent="0.25">
      <c r="B1075" s="176">
        <v>1300398</v>
      </c>
    </row>
    <row r="1076" spans="2:2" x14ac:dyDescent="0.25">
      <c r="B1076" s="176">
        <v>1286683</v>
      </c>
    </row>
    <row r="1077" spans="2:2" x14ac:dyDescent="0.25">
      <c r="B1077" s="176">
        <v>1241747</v>
      </c>
    </row>
    <row r="1078" spans="2:2" x14ac:dyDescent="0.25">
      <c r="B1078" s="176">
        <v>652516</v>
      </c>
    </row>
    <row r="1079" spans="2:2" x14ac:dyDescent="0.25">
      <c r="B1079" s="176">
        <v>1255367</v>
      </c>
    </row>
    <row r="1080" spans="2:2" x14ac:dyDescent="0.25">
      <c r="B1080" s="176">
        <v>757949</v>
      </c>
    </row>
    <row r="1081" spans="2:2" x14ac:dyDescent="0.25">
      <c r="B1081" s="176">
        <v>991096</v>
      </c>
    </row>
    <row r="1082" spans="2:2" x14ac:dyDescent="0.25">
      <c r="B1082" s="176">
        <v>1030561</v>
      </c>
    </row>
    <row r="1083" spans="2:2" x14ac:dyDescent="0.25">
      <c r="B1083" s="176">
        <v>863935</v>
      </c>
    </row>
    <row r="1084" spans="2:2" x14ac:dyDescent="0.25">
      <c r="B1084" s="176">
        <v>703253</v>
      </c>
    </row>
    <row r="1085" spans="2:2" x14ac:dyDescent="0.25">
      <c r="B1085" s="176">
        <v>1251814</v>
      </c>
    </row>
    <row r="1086" spans="2:2" x14ac:dyDescent="0.25">
      <c r="B1086" s="176">
        <v>1075482</v>
      </c>
    </row>
    <row r="1087" spans="2:2" x14ac:dyDescent="0.25">
      <c r="B1087" s="176">
        <v>1312968</v>
      </c>
    </row>
    <row r="1088" spans="2:2" x14ac:dyDescent="0.25">
      <c r="B1088" s="176">
        <v>1303472</v>
      </c>
    </row>
    <row r="1089" spans="2:2" x14ac:dyDescent="0.25">
      <c r="B1089" s="176">
        <v>750859</v>
      </c>
    </row>
    <row r="1090" spans="2:2" x14ac:dyDescent="0.25">
      <c r="B1090" s="176">
        <v>870303</v>
      </c>
    </row>
    <row r="1091" spans="2:2" x14ac:dyDescent="0.25">
      <c r="B1091" s="176">
        <v>604378</v>
      </c>
    </row>
    <row r="1092" spans="2:2" x14ac:dyDescent="0.25">
      <c r="B1092" s="176">
        <v>1346861</v>
      </c>
    </row>
    <row r="1093" spans="2:2" x14ac:dyDescent="0.25">
      <c r="B1093" s="176">
        <v>886724</v>
      </c>
    </row>
    <row r="1094" spans="2:2" x14ac:dyDescent="0.25">
      <c r="B1094" s="176">
        <v>1462296</v>
      </c>
    </row>
    <row r="1095" spans="2:2" x14ac:dyDescent="0.25">
      <c r="B1095" s="176">
        <v>616673</v>
      </c>
    </row>
    <row r="1096" spans="2:2" x14ac:dyDescent="0.25">
      <c r="B1096" s="176">
        <v>1469550</v>
      </c>
    </row>
  </sheetData>
  <mergeCells count="2">
    <mergeCell ref="D4:E4"/>
    <mergeCell ref="C2:J2"/>
  </mergeCells>
  <pageMargins left="0.7" right="0.7" top="0.75" bottom="0.75" header="0.3" footer="0.3"/>
  <pageSetup orientation="portrait" r:id="rId1"/>
  <ignoredErrors>
    <ignoredError sqref="E5 E7:E1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7C9978-10B6-4883-83E7-CD7265B176CF}">
          <x14:formula1>
            <xm:f>DAMODARAN!$C$5:$C$98</xm:f>
          </x14:formula1>
          <xm:sqref>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3B6B-7A7F-4007-857A-CAFDF933820B}">
  <dimension ref="B1:U103"/>
  <sheetViews>
    <sheetView showGridLines="0" showRowColHeaders="0" topLeftCell="A64" workbookViewId="0">
      <selection activeCell="M4" sqref="M4"/>
    </sheetView>
  </sheetViews>
  <sheetFormatPr baseColWidth="10" defaultRowHeight="15.75" x14ac:dyDescent="0.25"/>
  <cols>
    <col min="3" max="3" width="30.25" bestFit="1" customWidth="1"/>
    <col min="12" max="21" width="11" style="143"/>
  </cols>
  <sheetData>
    <row r="1" spans="2:19" ht="16.5" thickBot="1" x14ac:dyDescent="0.3"/>
    <row r="2" spans="2:19" x14ac:dyDescent="0.25">
      <c r="B2" s="220"/>
      <c r="C2" s="1"/>
      <c r="D2" s="1"/>
      <c r="E2" s="1"/>
      <c r="F2" s="1"/>
      <c r="G2" s="1"/>
      <c r="H2" s="1"/>
      <c r="I2" s="1"/>
      <c r="J2" s="1"/>
      <c r="K2" s="1"/>
      <c r="L2" s="221"/>
    </row>
    <row r="3" spans="2:19" x14ac:dyDescent="0.25">
      <c r="B3" s="222"/>
      <c r="C3" s="223"/>
      <c r="D3" s="223"/>
      <c r="E3" s="223"/>
      <c r="F3" s="223"/>
      <c r="G3" s="223"/>
      <c r="H3" s="223"/>
      <c r="I3" s="223"/>
      <c r="J3" s="223"/>
      <c r="K3" s="223"/>
      <c r="L3" s="224"/>
    </row>
    <row r="4" spans="2:19" ht="51.75" x14ac:dyDescent="0.25">
      <c r="B4" s="222"/>
      <c r="C4" s="133" t="s">
        <v>264</v>
      </c>
      <c r="D4" s="133" t="s">
        <v>265</v>
      </c>
      <c r="E4" s="133" t="s">
        <v>266</v>
      </c>
      <c r="F4" s="133" t="s">
        <v>267</v>
      </c>
      <c r="G4" s="133" t="s">
        <v>268</v>
      </c>
      <c r="H4" s="133" t="s">
        <v>269</v>
      </c>
      <c r="I4" s="133" t="s">
        <v>270</v>
      </c>
      <c r="J4" s="133" t="s">
        <v>271</v>
      </c>
      <c r="K4" s="133" t="s">
        <v>272</v>
      </c>
      <c r="L4" s="225"/>
      <c r="M4" s="142"/>
      <c r="N4" s="142"/>
      <c r="O4" s="142"/>
      <c r="P4" s="142"/>
      <c r="Q4" s="142"/>
      <c r="R4" s="142"/>
      <c r="S4" s="142"/>
    </row>
    <row r="5" spans="2:19" x14ac:dyDescent="0.25">
      <c r="B5" s="222"/>
      <c r="C5" s="134" t="s">
        <v>273</v>
      </c>
      <c r="D5" s="135">
        <v>47</v>
      </c>
      <c r="E5" s="135" t="s">
        <v>274</v>
      </c>
      <c r="F5" s="135" t="s">
        <v>275</v>
      </c>
      <c r="G5" s="135" t="s">
        <v>276</v>
      </c>
      <c r="H5" s="135" t="s">
        <v>277</v>
      </c>
      <c r="I5" s="135" t="s">
        <v>278</v>
      </c>
      <c r="J5" s="135" t="s">
        <v>279</v>
      </c>
      <c r="K5" s="135" t="s">
        <v>280</v>
      </c>
      <c r="L5" s="226"/>
      <c r="M5" s="144"/>
      <c r="N5" s="144"/>
      <c r="O5" s="144"/>
      <c r="P5" s="144"/>
      <c r="Q5" s="144"/>
      <c r="R5" s="144"/>
      <c r="S5" s="144"/>
    </row>
    <row r="6" spans="2:19" x14ac:dyDescent="0.25">
      <c r="B6" s="222"/>
      <c r="C6" s="136" t="s">
        <v>287</v>
      </c>
      <c r="D6" s="137">
        <v>77</v>
      </c>
      <c r="E6" s="137" t="s">
        <v>288</v>
      </c>
      <c r="F6" s="137" t="s">
        <v>289</v>
      </c>
      <c r="G6" s="137" t="s">
        <v>290</v>
      </c>
      <c r="H6" s="137" t="s">
        <v>291</v>
      </c>
      <c r="I6" s="137" t="s">
        <v>292</v>
      </c>
      <c r="J6" s="137" t="s">
        <v>293</v>
      </c>
      <c r="K6" s="137" t="s">
        <v>294</v>
      </c>
      <c r="L6" s="226"/>
      <c r="M6" s="144"/>
      <c r="N6" s="144"/>
      <c r="O6" s="144"/>
      <c r="P6" s="144"/>
      <c r="Q6" s="144"/>
      <c r="R6" s="144"/>
      <c r="S6" s="144"/>
    </row>
    <row r="7" spans="2:19" x14ac:dyDescent="0.25">
      <c r="B7" s="222"/>
      <c r="C7" s="134" t="s">
        <v>300</v>
      </c>
      <c r="D7" s="135">
        <v>18</v>
      </c>
      <c r="E7" s="135" t="s">
        <v>274</v>
      </c>
      <c r="F7" s="135" t="s">
        <v>301</v>
      </c>
      <c r="G7" s="135" t="s">
        <v>302</v>
      </c>
      <c r="H7" s="135" t="s">
        <v>303</v>
      </c>
      <c r="I7" s="135" t="s">
        <v>304</v>
      </c>
      <c r="J7" s="135" t="s">
        <v>286</v>
      </c>
      <c r="K7" s="135" t="s">
        <v>305</v>
      </c>
      <c r="L7" s="226"/>
      <c r="M7" s="144"/>
      <c r="N7" s="144"/>
      <c r="O7" s="144"/>
      <c r="P7" s="144"/>
      <c r="Q7" s="144"/>
      <c r="R7" s="144"/>
      <c r="S7" s="144"/>
    </row>
    <row r="8" spans="2:19" x14ac:dyDescent="0.25">
      <c r="B8" s="222"/>
      <c r="C8" s="136" t="s">
        <v>311</v>
      </c>
      <c r="D8" s="137">
        <v>51</v>
      </c>
      <c r="E8" s="137" t="s">
        <v>295</v>
      </c>
      <c r="F8" s="137" t="s">
        <v>312</v>
      </c>
      <c r="G8" s="137" t="s">
        <v>313</v>
      </c>
      <c r="H8" s="137" t="s">
        <v>314</v>
      </c>
      <c r="I8" s="137" t="s">
        <v>315</v>
      </c>
      <c r="J8" s="137" t="s">
        <v>281</v>
      </c>
      <c r="K8" s="137" t="s">
        <v>316</v>
      </c>
      <c r="L8" s="226"/>
      <c r="M8" s="144"/>
      <c r="N8" s="144"/>
      <c r="O8" s="144"/>
      <c r="P8" s="144"/>
      <c r="Q8" s="144"/>
      <c r="R8" s="144"/>
      <c r="S8" s="144"/>
    </row>
    <row r="9" spans="2:19" x14ac:dyDescent="0.25">
      <c r="B9" s="222"/>
      <c r="C9" s="134" t="s">
        <v>320</v>
      </c>
      <c r="D9" s="135">
        <v>13</v>
      </c>
      <c r="E9" s="135" t="s">
        <v>321</v>
      </c>
      <c r="F9" s="135" t="s">
        <v>322</v>
      </c>
      <c r="G9" s="135" t="s">
        <v>323</v>
      </c>
      <c r="H9" s="135" t="s">
        <v>324</v>
      </c>
      <c r="I9" s="135" t="s">
        <v>325</v>
      </c>
      <c r="J9" s="135" t="s">
        <v>326</v>
      </c>
      <c r="K9" s="135" t="s">
        <v>327</v>
      </c>
      <c r="L9" s="226"/>
      <c r="M9" s="144"/>
      <c r="N9" s="144"/>
      <c r="O9" s="144"/>
      <c r="P9" s="144"/>
      <c r="Q9" s="144"/>
      <c r="R9" s="144"/>
      <c r="S9" s="144"/>
    </row>
    <row r="10" spans="2:19" x14ac:dyDescent="0.25">
      <c r="B10" s="222"/>
      <c r="C10" s="136" t="s">
        <v>332</v>
      </c>
      <c r="D10" s="137">
        <v>46</v>
      </c>
      <c r="E10" s="137" t="s">
        <v>333</v>
      </c>
      <c r="F10" s="137" t="s">
        <v>334</v>
      </c>
      <c r="G10" s="137" t="s">
        <v>335</v>
      </c>
      <c r="H10" s="137" t="s">
        <v>277</v>
      </c>
      <c r="I10" s="137" t="s">
        <v>336</v>
      </c>
      <c r="J10" s="137" t="s">
        <v>337</v>
      </c>
      <c r="K10" s="137" t="s">
        <v>338</v>
      </c>
      <c r="L10" s="226"/>
      <c r="M10" s="144"/>
      <c r="N10" s="144"/>
      <c r="O10" s="144"/>
      <c r="P10" s="144"/>
      <c r="Q10" s="144"/>
      <c r="R10" s="144"/>
      <c r="S10" s="144"/>
    </row>
    <row r="11" spans="2:19" x14ac:dyDescent="0.25">
      <c r="B11" s="222"/>
      <c r="C11" s="134" t="s">
        <v>343</v>
      </c>
      <c r="D11" s="135">
        <v>7</v>
      </c>
      <c r="E11" s="135" t="s">
        <v>342</v>
      </c>
      <c r="F11" s="135" t="s">
        <v>344</v>
      </c>
      <c r="G11" s="135" t="s">
        <v>345</v>
      </c>
      <c r="H11" s="135" t="s">
        <v>346</v>
      </c>
      <c r="I11" s="135" t="s">
        <v>347</v>
      </c>
      <c r="J11" s="135" t="s">
        <v>348</v>
      </c>
      <c r="K11" s="135" t="s">
        <v>349</v>
      </c>
      <c r="L11" s="226"/>
      <c r="M11" s="144"/>
      <c r="N11" s="144"/>
      <c r="O11" s="144"/>
      <c r="P11" s="144"/>
      <c r="Q11" s="144"/>
      <c r="R11" s="144"/>
      <c r="S11" s="144"/>
    </row>
    <row r="12" spans="2:19" x14ac:dyDescent="0.25">
      <c r="B12" s="222"/>
      <c r="C12" s="136" t="s">
        <v>351</v>
      </c>
      <c r="D12" s="137">
        <v>611</v>
      </c>
      <c r="E12" s="137" t="s">
        <v>352</v>
      </c>
      <c r="F12" s="137" t="s">
        <v>353</v>
      </c>
      <c r="G12" s="137" t="s">
        <v>354</v>
      </c>
      <c r="H12" s="137" t="s">
        <v>355</v>
      </c>
      <c r="I12" s="137" t="s">
        <v>356</v>
      </c>
      <c r="J12" s="137" t="s">
        <v>346</v>
      </c>
      <c r="K12" s="137" t="s">
        <v>357</v>
      </c>
      <c r="L12" s="226"/>
      <c r="M12" s="144"/>
      <c r="N12" s="144"/>
      <c r="O12" s="144"/>
      <c r="P12" s="144"/>
      <c r="Q12" s="144"/>
      <c r="R12" s="144"/>
      <c r="S12" s="144"/>
    </row>
    <row r="13" spans="2:19" x14ac:dyDescent="0.25">
      <c r="B13" s="222"/>
      <c r="C13" s="134" t="s">
        <v>359</v>
      </c>
      <c r="D13" s="135">
        <v>21</v>
      </c>
      <c r="E13" s="135" t="s">
        <v>360</v>
      </c>
      <c r="F13" s="135" t="s">
        <v>361</v>
      </c>
      <c r="G13" s="135" t="s">
        <v>362</v>
      </c>
      <c r="H13" s="135" t="s">
        <v>283</v>
      </c>
      <c r="I13" s="135" t="s">
        <v>363</v>
      </c>
      <c r="J13" s="135" t="s">
        <v>340</v>
      </c>
      <c r="K13" s="135" t="s">
        <v>364</v>
      </c>
      <c r="L13" s="226"/>
      <c r="M13" s="144"/>
      <c r="N13" s="144"/>
      <c r="O13" s="144"/>
      <c r="P13" s="144"/>
      <c r="Q13" s="144"/>
      <c r="R13" s="144"/>
      <c r="S13" s="144"/>
    </row>
    <row r="14" spans="2:19" x14ac:dyDescent="0.25">
      <c r="B14" s="222"/>
      <c r="C14" s="136" t="s">
        <v>368</v>
      </c>
      <c r="D14" s="137">
        <v>34</v>
      </c>
      <c r="E14" s="137" t="s">
        <v>369</v>
      </c>
      <c r="F14" s="137" t="s">
        <v>370</v>
      </c>
      <c r="G14" s="137" t="s">
        <v>371</v>
      </c>
      <c r="H14" s="137" t="s">
        <v>372</v>
      </c>
      <c r="I14" s="137" t="s">
        <v>373</v>
      </c>
      <c r="J14" s="137" t="s">
        <v>299</v>
      </c>
      <c r="K14" s="137" t="s">
        <v>374</v>
      </c>
      <c r="L14" s="226"/>
      <c r="M14" s="144"/>
      <c r="N14" s="144"/>
      <c r="O14" s="144"/>
      <c r="P14" s="144"/>
      <c r="Q14" s="144"/>
      <c r="R14" s="144"/>
      <c r="S14" s="144"/>
    </row>
    <row r="15" spans="2:19" x14ac:dyDescent="0.25">
      <c r="B15" s="222"/>
      <c r="C15" s="134" t="s">
        <v>376</v>
      </c>
      <c r="D15" s="135">
        <v>27</v>
      </c>
      <c r="E15" s="135" t="s">
        <v>333</v>
      </c>
      <c r="F15" s="135" t="s">
        <v>377</v>
      </c>
      <c r="G15" s="135" t="s">
        <v>378</v>
      </c>
      <c r="H15" s="135" t="s">
        <v>379</v>
      </c>
      <c r="I15" s="135" t="s">
        <v>380</v>
      </c>
      <c r="J15" s="135" t="s">
        <v>310</v>
      </c>
      <c r="K15" s="135" t="s">
        <v>381</v>
      </c>
      <c r="L15" s="226"/>
      <c r="M15" s="144"/>
      <c r="N15" s="144"/>
      <c r="O15" s="144"/>
      <c r="P15" s="144"/>
      <c r="Q15" s="144"/>
      <c r="R15" s="144"/>
      <c r="S15" s="144"/>
    </row>
    <row r="16" spans="2:19" x14ac:dyDescent="0.25">
      <c r="B16" s="222"/>
      <c r="C16" s="136" t="s">
        <v>384</v>
      </c>
      <c r="D16" s="137">
        <v>39</v>
      </c>
      <c r="E16" s="137" t="s">
        <v>385</v>
      </c>
      <c r="F16" s="137" t="s">
        <v>386</v>
      </c>
      <c r="G16" s="137" t="s">
        <v>387</v>
      </c>
      <c r="H16" s="137" t="s">
        <v>331</v>
      </c>
      <c r="I16" s="137" t="s">
        <v>388</v>
      </c>
      <c r="J16" s="137" t="s">
        <v>352</v>
      </c>
      <c r="K16" s="137" t="s">
        <v>389</v>
      </c>
      <c r="L16" s="226"/>
      <c r="M16" s="144"/>
      <c r="N16" s="144"/>
      <c r="O16" s="144"/>
      <c r="P16" s="144"/>
      <c r="Q16" s="144"/>
      <c r="R16" s="144"/>
      <c r="S16" s="144"/>
    </row>
    <row r="17" spans="2:19" x14ac:dyDescent="0.25">
      <c r="B17" s="222"/>
      <c r="C17" s="134" t="s">
        <v>391</v>
      </c>
      <c r="D17" s="135">
        <v>42</v>
      </c>
      <c r="E17" s="135" t="s">
        <v>288</v>
      </c>
      <c r="F17" s="135" t="s">
        <v>392</v>
      </c>
      <c r="G17" s="135" t="s">
        <v>393</v>
      </c>
      <c r="H17" s="135" t="s">
        <v>298</v>
      </c>
      <c r="I17" s="135" t="s">
        <v>394</v>
      </c>
      <c r="J17" s="135" t="s">
        <v>395</v>
      </c>
      <c r="K17" s="135" t="s">
        <v>396</v>
      </c>
      <c r="L17" s="226"/>
      <c r="M17" s="144"/>
      <c r="N17" s="144"/>
      <c r="O17" s="144"/>
      <c r="P17" s="144"/>
      <c r="Q17" s="144"/>
      <c r="R17" s="144"/>
      <c r="S17" s="144"/>
    </row>
    <row r="18" spans="2:19" x14ac:dyDescent="0.25">
      <c r="B18" s="222"/>
      <c r="C18" s="136" t="s">
        <v>397</v>
      </c>
      <c r="D18" s="137">
        <v>165</v>
      </c>
      <c r="E18" s="137" t="s">
        <v>372</v>
      </c>
      <c r="F18" s="137" t="s">
        <v>398</v>
      </c>
      <c r="G18" s="137" t="s">
        <v>399</v>
      </c>
      <c r="H18" s="137" t="s">
        <v>285</v>
      </c>
      <c r="I18" s="137" t="s">
        <v>400</v>
      </c>
      <c r="J18" s="137" t="s">
        <v>365</v>
      </c>
      <c r="K18" s="137" t="s">
        <v>401</v>
      </c>
      <c r="L18" s="226"/>
      <c r="M18" s="144"/>
      <c r="N18" s="144"/>
      <c r="O18" s="144"/>
      <c r="P18" s="144"/>
      <c r="Q18" s="144"/>
      <c r="R18" s="144"/>
      <c r="S18" s="144"/>
    </row>
    <row r="19" spans="2:19" x14ac:dyDescent="0.25">
      <c r="B19" s="222"/>
      <c r="C19" s="134" t="s">
        <v>403</v>
      </c>
      <c r="D19" s="135">
        <v>14</v>
      </c>
      <c r="E19" s="135" t="s">
        <v>404</v>
      </c>
      <c r="F19" s="135" t="s">
        <v>405</v>
      </c>
      <c r="G19" s="135" t="s">
        <v>406</v>
      </c>
      <c r="H19" s="135" t="s">
        <v>407</v>
      </c>
      <c r="I19" s="135" t="s">
        <v>408</v>
      </c>
      <c r="J19" s="135" t="s">
        <v>284</v>
      </c>
      <c r="K19" s="135" t="s">
        <v>409</v>
      </c>
      <c r="L19" s="226"/>
      <c r="M19" s="144"/>
      <c r="N19" s="144"/>
      <c r="O19" s="144"/>
      <c r="P19" s="144"/>
      <c r="Q19" s="144"/>
      <c r="R19" s="144"/>
      <c r="S19" s="144"/>
    </row>
    <row r="20" spans="2:19" x14ac:dyDescent="0.25">
      <c r="B20" s="222"/>
      <c r="C20" s="136" t="s">
        <v>410</v>
      </c>
      <c r="D20" s="137">
        <v>43</v>
      </c>
      <c r="E20" s="137" t="s">
        <v>411</v>
      </c>
      <c r="F20" s="137" t="s">
        <v>412</v>
      </c>
      <c r="G20" s="137" t="s">
        <v>413</v>
      </c>
      <c r="H20" s="137" t="s">
        <v>297</v>
      </c>
      <c r="I20" s="137" t="s">
        <v>414</v>
      </c>
      <c r="J20" s="137" t="s">
        <v>298</v>
      </c>
      <c r="K20" s="137" t="s">
        <v>415</v>
      </c>
      <c r="L20" s="226"/>
      <c r="M20" s="144"/>
      <c r="N20" s="144"/>
      <c r="O20" s="144"/>
      <c r="P20" s="144"/>
      <c r="Q20" s="144"/>
      <c r="R20" s="144"/>
      <c r="S20" s="144"/>
    </row>
    <row r="21" spans="2:19" x14ac:dyDescent="0.25">
      <c r="B21" s="222"/>
      <c r="C21" s="134" t="s">
        <v>418</v>
      </c>
      <c r="D21" s="135">
        <v>6</v>
      </c>
      <c r="E21" s="135" t="s">
        <v>419</v>
      </c>
      <c r="F21" s="135" t="s">
        <v>420</v>
      </c>
      <c r="G21" s="135" t="s">
        <v>421</v>
      </c>
      <c r="H21" s="135" t="s">
        <v>422</v>
      </c>
      <c r="I21" s="135" t="s">
        <v>423</v>
      </c>
      <c r="J21" s="135" t="s">
        <v>333</v>
      </c>
      <c r="K21" s="135" t="s">
        <v>424</v>
      </c>
      <c r="L21" s="226"/>
      <c r="M21" s="144"/>
      <c r="N21" s="144"/>
      <c r="O21" s="144"/>
      <c r="P21" s="144"/>
      <c r="Q21" s="144"/>
      <c r="R21" s="144"/>
      <c r="S21" s="144"/>
    </row>
    <row r="22" spans="2:19" x14ac:dyDescent="0.25">
      <c r="B22" s="222"/>
      <c r="C22" s="136" t="s">
        <v>427</v>
      </c>
      <c r="D22" s="137">
        <v>94</v>
      </c>
      <c r="E22" s="137" t="s">
        <v>339</v>
      </c>
      <c r="F22" s="137" t="s">
        <v>428</v>
      </c>
      <c r="G22" s="137" t="s">
        <v>429</v>
      </c>
      <c r="H22" s="137" t="s">
        <v>297</v>
      </c>
      <c r="I22" s="137" t="s">
        <v>430</v>
      </c>
      <c r="J22" s="137" t="s">
        <v>417</v>
      </c>
      <c r="K22" s="137" t="s">
        <v>431</v>
      </c>
      <c r="L22" s="226"/>
      <c r="M22" s="144"/>
      <c r="N22" s="144"/>
      <c r="O22" s="144"/>
      <c r="P22" s="144"/>
      <c r="Q22" s="144"/>
      <c r="R22" s="144"/>
      <c r="S22" s="144"/>
    </row>
    <row r="23" spans="2:19" x14ac:dyDescent="0.25">
      <c r="B23" s="222"/>
      <c r="C23" s="134" t="s">
        <v>432</v>
      </c>
      <c r="D23" s="135">
        <v>22</v>
      </c>
      <c r="E23" s="135" t="s">
        <v>433</v>
      </c>
      <c r="F23" s="135" t="s">
        <v>434</v>
      </c>
      <c r="G23" s="135" t="s">
        <v>435</v>
      </c>
      <c r="H23" s="135" t="s">
        <v>285</v>
      </c>
      <c r="I23" s="135" t="s">
        <v>436</v>
      </c>
      <c r="J23" s="135" t="s">
        <v>367</v>
      </c>
      <c r="K23" s="135" t="s">
        <v>437</v>
      </c>
      <c r="L23" s="226"/>
      <c r="M23" s="144"/>
      <c r="N23" s="144"/>
      <c r="O23" s="144"/>
      <c r="P23" s="144"/>
      <c r="Q23" s="144"/>
      <c r="R23" s="144"/>
      <c r="S23" s="144"/>
    </row>
    <row r="24" spans="2:19" x14ac:dyDescent="0.25">
      <c r="B24" s="222"/>
      <c r="C24" s="136" t="s">
        <v>438</v>
      </c>
      <c r="D24" s="137">
        <v>106</v>
      </c>
      <c r="E24" s="137" t="s">
        <v>296</v>
      </c>
      <c r="F24" s="137" t="s">
        <v>439</v>
      </c>
      <c r="G24" s="137" t="s">
        <v>440</v>
      </c>
      <c r="H24" s="137" t="s">
        <v>441</v>
      </c>
      <c r="I24" s="137" t="s">
        <v>442</v>
      </c>
      <c r="J24" s="137" t="s">
        <v>337</v>
      </c>
      <c r="K24" s="137" t="s">
        <v>443</v>
      </c>
      <c r="L24" s="226"/>
      <c r="M24" s="144"/>
      <c r="N24" s="144"/>
      <c r="O24" s="144"/>
      <c r="P24" s="144"/>
      <c r="Q24" s="144"/>
      <c r="R24" s="144"/>
      <c r="S24" s="144"/>
    </row>
    <row r="25" spans="2:19" x14ac:dyDescent="0.25">
      <c r="B25" s="222"/>
      <c r="C25" s="134" t="s">
        <v>444</v>
      </c>
      <c r="D25" s="135">
        <v>48</v>
      </c>
      <c r="E25" s="135" t="s">
        <v>445</v>
      </c>
      <c r="F25" s="135" t="s">
        <v>446</v>
      </c>
      <c r="G25" s="135" t="s">
        <v>447</v>
      </c>
      <c r="H25" s="135" t="s">
        <v>448</v>
      </c>
      <c r="I25" s="135" t="s">
        <v>449</v>
      </c>
      <c r="J25" s="135" t="s">
        <v>450</v>
      </c>
      <c r="K25" s="135" t="s">
        <v>451</v>
      </c>
      <c r="L25" s="226"/>
      <c r="M25" s="144"/>
      <c r="N25" s="144"/>
      <c r="O25" s="144"/>
      <c r="P25" s="144"/>
      <c r="Q25" s="144"/>
      <c r="R25" s="144"/>
      <c r="S25" s="144"/>
    </row>
    <row r="26" spans="2:19" x14ac:dyDescent="0.25">
      <c r="B26" s="222"/>
      <c r="C26" s="136" t="s">
        <v>453</v>
      </c>
      <c r="D26" s="137">
        <v>44</v>
      </c>
      <c r="E26" s="137" t="s">
        <v>454</v>
      </c>
      <c r="F26" s="137" t="s">
        <v>455</v>
      </c>
      <c r="G26" s="137" t="s">
        <v>456</v>
      </c>
      <c r="H26" s="137" t="s">
        <v>367</v>
      </c>
      <c r="I26" s="137" t="s">
        <v>457</v>
      </c>
      <c r="J26" s="137" t="s">
        <v>321</v>
      </c>
      <c r="K26" s="137" t="s">
        <v>458</v>
      </c>
      <c r="L26" s="226"/>
      <c r="M26" s="144"/>
      <c r="N26" s="144"/>
      <c r="O26" s="144"/>
      <c r="P26" s="144"/>
      <c r="Q26" s="144"/>
      <c r="R26" s="144"/>
      <c r="S26" s="144"/>
    </row>
    <row r="27" spans="2:19" x14ac:dyDescent="0.25">
      <c r="B27" s="222"/>
      <c r="C27" s="134" t="s">
        <v>461</v>
      </c>
      <c r="D27" s="135">
        <v>23</v>
      </c>
      <c r="E27" s="135" t="s">
        <v>433</v>
      </c>
      <c r="F27" s="135" t="s">
        <v>462</v>
      </c>
      <c r="G27" s="135" t="s">
        <v>463</v>
      </c>
      <c r="H27" s="135" t="s">
        <v>339</v>
      </c>
      <c r="I27" s="135" t="s">
        <v>464</v>
      </c>
      <c r="J27" s="135" t="s">
        <v>465</v>
      </c>
      <c r="K27" s="135" t="s">
        <v>466</v>
      </c>
      <c r="L27" s="226"/>
      <c r="M27" s="144"/>
      <c r="N27" s="144"/>
      <c r="O27" s="144"/>
      <c r="P27" s="144"/>
      <c r="Q27" s="144"/>
      <c r="R27" s="144"/>
      <c r="S27" s="144"/>
    </row>
    <row r="28" spans="2:19" x14ac:dyDescent="0.25">
      <c r="B28" s="222"/>
      <c r="C28" s="136" t="s">
        <v>467</v>
      </c>
      <c r="D28" s="137">
        <v>503</v>
      </c>
      <c r="E28" s="137" t="s">
        <v>468</v>
      </c>
      <c r="F28" s="137" t="s">
        <v>388</v>
      </c>
      <c r="G28" s="137" t="s">
        <v>469</v>
      </c>
      <c r="H28" s="137" t="s">
        <v>470</v>
      </c>
      <c r="I28" s="137" t="s">
        <v>471</v>
      </c>
      <c r="J28" s="137" t="s">
        <v>472</v>
      </c>
      <c r="K28" s="137" t="s">
        <v>473</v>
      </c>
      <c r="L28" s="226"/>
      <c r="M28" s="144"/>
      <c r="N28" s="144"/>
      <c r="O28" s="144"/>
      <c r="P28" s="144"/>
      <c r="Q28" s="144"/>
      <c r="R28" s="144"/>
      <c r="S28" s="144"/>
    </row>
    <row r="29" spans="2:19" x14ac:dyDescent="0.25">
      <c r="B29" s="222"/>
      <c r="C29" s="134" t="s">
        <v>476</v>
      </c>
      <c r="D29" s="135">
        <v>267</v>
      </c>
      <c r="E29" s="135" t="s">
        <v>454</v>
      </c>
      <c r="F29" s="135" t="s">
        <v>477</v>
      </c>
      <c r="G29" s="135" t="s">
        <v>478</v>
      </c>
      <c r="H29" s="135" t="s">
        <v>369</v>
      </c>
      <c r="I29" s="135" t="s">
        <v>479</v>
      </c>
      <c r="J29" s="135" t="s">
        <v>470</v>
      </c>
      <c r="K29" s="135" t="s">
        <v>480</v>
      </c>
      <c r="L29" s="226"/>
      <c r="M29" s="144"/>
      <c r="N29" s="144"/>
      <c r="O29" s="144"/>
      <c r="P29" s="144"/>
      <c r="Q29" s="144"/>
      <c r="R29" s="144"/>
      <c r="S29" s="144"/>
    </row>
    <row r="30" spans="2:19" x14ac:dyDescent="0.25">
      <c r="B30" s="222"/>
      <c r="C30" s="136" t="s">
        <v>482</v>
      </c>
      <c r="D30" s="137">
        <v>35</v>
      </c>
      <c r="E30" s="137" t="s">
        <v>483</v>
      </c>
      <c r="F30" s="137" t="s">
        <v>484</v>
      </c>
      <c r="G30" s="137" t="s">
        <v>485</v>
      </c>
      <c r="H30" s="137" t="s">
        <v>475</v>
      </c>
      <c r="I30" s="137" t="s">
        <v>486</v>
      </c>
      <c r="J30" s="137" t="s">
        <v>454</v>
      </c>
      <c r="K30" s="137" t="s">
        <v>487</v>
      </c>
      <c r="L30" s="226"/>
      <c r="M30" s="144"/>
      <c r="N30" s="144"/>
      <c r="O30" s="144"/>
      <c r="P30" s="144"/>
      <c r="Q30" s="144"/>
      <c r="R30" s="144"/>
      <c r="S30" s="144"/>
    </row>
    <row r="31" spans="2:19" x14ac:dyDescent="0.25">
      <c r="B31" s="222"/>
      <c r="C31" s="134" t="s">
        <v>488</v>
      </c>
      <c r="D31" s="135">
        <v>113</v>
      </c>
      <c r="E31" s="135" t="s">
        <v>274</v>
      </c>
      <c r="F31" s="135" t="s">
        <v>489</v>
      </c>
      <c r="G31" s="135" t="s">
        <v>490</v>
      </c>
      <c r="H31" s="135" t="s">
        <v>465</v>
      </c>
      <c r="I31" s="135" t="s">
        <v>449</v>
      </c>
      <c r="J31" s="135" t="s">
        <v>491</v>
      </c>
      <c r="K31" s="135" t="s">
        <v>492</v>
      </c>
      <c r="L31" s="226"/>
      <c r="M31" s="144"/>
      <c r="N31" s="144"/>
      <c r="O31" s="144"/>
      <c r="P31" s="144"/>
      <c r="Q31" s="144"/>
      <c r="R31" s="144"/>
      <c r="S31" s="144"/>
    </row>
    <row r="32" spans="2:19" x14ac:dyDescent="0.25">
      <c r="B32" s="222"/>
      <c r="C32" s="136" t="s">
        <v>494</v>
      </c>
      <c r="D32" s="137">
        <v>20</v>
      </c>
      <c r="E32" s="137" t="s">
        <v>475</v>
      </c>
      <c r="F32" s="137" t="s">
        <v>495</v>
      </c>
      <c r="G32" s="137" t="s">
        <v>496</v>
      </c>
      <c r="H32" s="137" t="s">
        <v>321</v>
      </c>
      <c r="I32" s="137" t="s">
        <v>497</v>
      </c>
      <c r="J32" s="137" t="s">
        <v>465</v>
      </c>
      <c r="K32" s="137" t="s">
        <v>498</v>
      </c>
      <c r="L32" s="226"/>
      <c r="M32" s="144"/>
      <c r="N32" s="144"/>
      <c r="O32" s="144"/>
      <c r="P32" s="144"/>
      <c r="Q32" s="144"/>
      <c r="R32" s="144"/>
      <c r="S32" s="144"/>
    </row>
    <row r="33" spans="2:19" x14ac:dyDescent="0.25">
      <c r="B33" s="222"/>
      <c r="C33" s="134" t="s">
        <v>500</v>
      </c>
      <c r="D33" s="135">
        <v>153</v>
      </c>
      <c r="E33" s="135" t="s">
        <v>460</v>
      </c>
      <c r="F33" s="135" t="s">
        <v>501</v>
      </c>
      <c r="G33" s="135" t="s">
        <v>502</v>
      </c>
      <c r="H33" s="135" t="s">
        <v>402</v>
      </c>
      <c r="I33" s="135" t="s">
        <v>503</v>
      </c>
      <c r="J33" s="135" t="s">
        <v>372</v>
      </c>
      <c r="K33" s="135" t="s">
        <v>504</v>
      </c>
      <c r="L33" s="226"/>
      <c r="M33" s="144"/>
      <c r="N33" s="144"/>
      <c r="O33" s="144"/>
      <c r="P33" s="144"/>
      <c r="Q33" s="144"/>
      <c r="R33" s="144"/>
      <c r="S33" s="144"/>
    </row>
    <row r="34" spans="2:19" x14ac:dyDescent="0.25">
      <c r="B34" s="222"/>
      <c r="C34" s="136" t="s">
        <v>505</v>
      </c>
      <c r="D34" s="137">
        <v>54</v>
      </c>
      <c r="E34" s="137" t="s">
        <v>506</v>
      </c>
      <c r="F34" s="137" t="s">
        <v>507</v>
      </c>
      <c r="G34" s="137" t="s">
        <v>508</v>
      </c>
      <c r="H34" s="137" t="s">
        <v>288</v>
      </c>
      <c r="I34" s="137" t="s">
        <v>509</v>
      </c>
      <c r="J34" s="137" t="s">
        <v>426</v>
      </c>
      <c r="K34" s="137" t="s">
        <v>510</v>
      </c>
      <c r="L34" s="226"/>
      <c r="M34" s="144"/>
      <c r="N34" s="144"/>
      <c r="O34" s="144"/>
      <c r="P34" s="144"/>
      <c r="Q34" s="144"/>
      <c r="R34" s="144"/>
      <c r="S34" s="144"/>
    </row>
    <row r="35" spans="2:19" x14ac:dyDescent="0.25">
      <c r="B35" s="222"/>
      <c r="C35" s="134" t="s">
        <v>511</v>
      </c>
      <c r="D35" s="135">
        <v>107</v>
      </c>
      <c r="E35" s="135" t="s">
        <v>426</v>
      </c>
      <c r="F35" s="135" t="s">
        <v>512</v>
      </c>
      <c r="G35" s="135" t="s">
        <v>513</v>
      </c>
      <c r="H35" s="135" t="s">
        <v>499</v>
      </c>
      <c r="I35" s="135" t="s">
        <v>514</v>
      </c>
      <c r="J35" s="135" t="s">
        <v>296</v>
      </c>
      <c r="K35" s="135" t="s">
        <v>515</v>
      </c>
      <c r="L35" s="226"/>
      <c r="M35" s="144"/>
      <c r="N35" s="144"/>
      <c r="O35" s="144"/>
      <c r="P35" s="144"/>
      <c r="Q35" s="144"/>
      <c r="R35" s="144"/>
      <c r="S35" s="144"/>
    </row>
    <row r="36" spans="2:19" x14ac:dyDescent="0.25">
      <c r="B36" s="222"/>
      <c r="C36" s="136" t="s">
        <v>516</v>
      </c>
      <c r="D36" s="137">
        <v>82</v>
      </c>
      <c r="E36" s="137" t="s">
        <v>425</v>
      </c>
      <c r="F36" s="137" t="s">
        <v>517</v>
      </c>
      <c r="G36" s="137" t="s">
        <v>518</v>
      </c>
      <c r="H36" s="137" t="s">
        <v>395</v>
      </c>
      <c r="I36" s="137" t="s">
        <v>519</v>
      </c>
      <c r="J36" s="137" t="s">
        <v>367</v>
      </c>
      <c r="K36" s="137" t="s">
        <v>520</v>
      </c>
      <c r="L36" s="226"/>
      <c r="M36" s="144"/>
      <c r="N36" s="144"/>
      <c r="O36" s="144"/>
      <c r="P36" s="144"/>
      <c r="Q36" s="144"/>
      <c r="R36" s="144"/>
      <c r="S36" s="144"/>
    </row>
    <row r="37" spans="2:19" x14ac:dyDescent="0.25">
      <c r="B37" s="222"/>
      <c r="C37" s="134" t="s">
        <v>521</v>
      </c>
      <c r="D37" s="135">
        <v>31</v>
      </c>
      <c r="E37" s="135" t="s">
        <v>365</v>
      </c>
      <c r="F37" s="135" t="s">
        <v>522</v>
      </c>
      <c r="G37" s="135" t="s">
        <v>523</v>
      </c>
      <c r="H37" s="135" t="s">
        <v>306</v>
      </c>
      <c r="I37" s="135" t="s">
        <v>524</v>
      </c>
      <c r="J37" s="135" t="s">
        <v>309</v>
      </c>
      <c r="K37" s="135" t="s">
        <v>525</v>
      </c>
      <c r="L37" s="226"/>
      <c r="M37" s="144"/>
      <c r="N37" s="144"/>
      <c r="O37" s="144"/>
      <c r="P37" s="144"/>
      <c r="Q37" s="144"/>
      <c r="R37" s="144"/>
      <c r="S37" s="144"/>
    </row>
    <row r="38" spans="2:19" x14ac:dyDescent="0.25">
      <c r="B38" s="222"/>
      <c r="C38" s="136" t="s">
        <v>528</v>
      </c>
      <c r="D38" s="137">
        <v>232</v>
      </c>
      <c r="E38" s="137" t="s">
        <v>310</v>
      </c>
      <c r="F38" s="137" t="s">
        <v>529</v>
      </c>
      <c r="G38" s="137" t="s">
        <v>530</v>
      </c>
      <c r="H38" s="137" t="s">
        <v>531</v>
      </c>
      <c r="I38" s="137" t="s">
        <v>532</v>
      </c>
      <c r="J38" s="137" t="s">
        <v>531</v>
      </c>
      <c r="K38" s="137" t="s">
        <v>533</v>
      </c>
      <c r="L38" s="226"/>
      <c r="M38" s="144"/>
      <c r="N38" s="144"/>
      <c r="O38" s="144"/>
      <c r="P38" s="144"/>
      <c r="Q38" s="144"/>
      <c r="R38" s="144"/>
      <c r="S38" s="144"/>
    </row>
    <row r="39" spans="2:19" x14ac:dyDescent="0.25">
      <c r="B39" s="222"/>
      <c r="C39" s="134" t="s">
        <v>534</v>
      </c>
      <c r="D39" s="135">
        <v>88</v>
      </c>
      <c r="E39" s="135" t="s">
        <v>277</v>
      </c>
      <c r="F39" s="135" t="s">
        <v>535</v>
      </c>
      <c r="G39" s="135" t="s">
        <v>536</v>
      </c>
      <c r="H39" s="135" t="s">
        <v>416</v>
      </c>
      <c r="I39" s="135" t="s">
        <v>537</v>
      </c>
      <c r="J39" s="135" t="s">
        <v>379</v>
      </c>
      <c r="K39" s="135" t="s">
        <v>538</v>
      </c>
      <c r="L39" s="226"/>
      <c r="M39" s="144"/>
      <c r="N39" s="144"/>
      <c r="O39" s="144"/>
      <c r="P39" s="144"/>
      <c r="Q39" s="144"/>
      <c r="R39" s="144"/>
      <c r="S39" s="144"/>
    </row>
    <row r="40" spans="2:19" x14ac:dyDescent="0.25">
      <c r="B40" s="222"/>
      <c r="C40" s="136" t="s">
        <v>539</v>
      </c>
      <c r="D40" s="137">
        <v>17</v>
      </c>
      <c r="E40" s="137" t="s">
        <v>285</v>
      </c>
      <c r="F40" s="137" t="s">
        <v>540</v>
      </c>
      <c r="G40" s="137" t="s">
        <v>541</v>
      </c>
      <c r="H40" s="137" t="s">
        <v>383</v>
      </c>
      <c r="I40" s="137" t="s">
        <v>542</v>
      </c>
      <c r="J40" s="137" t="s">
        <v>543</v>
      </c>
      <c r="K40" s="137" t="s">
        <v>544</v>
      </c>
      <c r="L40" s="226"/>
      <c r="M40" s="144"/>
      <c r="N40" s="144"/>
      <c r="O40" s="144"/>
      <c r="P40" s="144"/>
      <c r="Q40" s="144"/>
      <c r="R40" s="144"/>
      <c r="S40" s="144"/>
    </row>
    <row r="41" spans="2:19" x14ac:dyDescent="0.25">
      <c r="B41" s="222"/>
      <c r="C41" s="134" t="s">
        <v>546</v>
      </c>
      <c r="D41" s="135">
        <v>35</v>
      </c>
      <c r="E41" s="135" t="s">
        <v>293</v>
      </c>
      <c r="F41" s="135" t="s">
        <v>547</v>
      </c>
      <c r="G41" s="135" t="s">
        <v>548</v>
      </c>
      <c r="H41" s="135" t="s">
        <v>549</v>
      </c>
      <c r="I41" s="135" t="s">
        <v>550</v>
      </c>
      <c r="J41" s="135" t="s">
        <v>319</v>
      </c>
      <c r="K41" s="135" t="s">
        <v>551</v>
      </c>
      <c r="L41" s="226"/>
      <c r="M41" s="144"/>
      <c r="N41" s="144"/>
      <c r="O41" s="144"/>
      <c r="P41" s="144"/>
      <c r="Q41" s="144"/>
      <c r="R41" s="144"/>
      <c r="S41" s="144"/>
    </row>
    <row r="42" spans="2:19" x14ac:dyDescent="0.25">
      <c r="B42" s="222"/>
      <c r="C42" s="136" t="s">
        <v>553</v>
      </c>
      <c r="D42" s="137">
        <v>22</v>
      </c>
      <c r="E42" s="137" t="s">
        <v>372</v>
      </c>
      <c r="F42" s="137" t="s">
        <v>554</v>
      </c>
      <c r="G42" s="137" t="s">
        <v>555</v>
      </c>
      <c r="H42" s="137" t="s">
        <v>526</v>
      </c>
      <c r="I42" s="137" t="s">
        <v>556</v>
      </c>
      <c r="J42" s="137" t="s">
        <v>328</v>
      </c>
      <c r="K42" s="137" t="s">
        <v>557</v>
      </c>
      <c r="L42" s="226"/>
      <c r="M42" s="144"/>
      <c r="N42" s="144"/>
      <c r="O42" s="144"/>
      <c r="P42" s="144"/>
      <c r="Q42" s="144"/>
      <c r="R42" s="144"/>
      <c r="S42" s="144"/>
    </row>
    <row r="43" spans="2:19" x14ac:dyDescent="0.25">
      <c r="B43" s="222"/>
      <c r="C43" s="134" t="s">
        <v>559</v>
      </c>
      <c r="D43" s="135">
        <v>242</v>
      </c>
      <c r="E43" s="135" t="s">
        <v>291</v>
      </c>
      <c r="F43" s="135" t="s">
        <v>560</v>
      </c>
      <c r="G43" s="135" t="s">
        <v>561</v>
      </c>
      <c r="H43" s="135" t="s">
        <v>337</v>
      </c>
      <c r="I43" s="135" t="s">
        <v>562</v>
      </c>
      <c r="J43" s="135" t="s">
        <v>375</v>
      </c>
      <c r="K43" s="135" t="s">
        <v>563</v>
      </c>
      <c r="L43" s="226"/>
      <c r="M43" s="144"/>
      <c r="N43" s="144"/>
      <c r="O43" s="144"/>
      <c r="P43" s="144"/>
      <c r="Q43" s="144"/>
      <c r="R43" s="144"/>
      <c r="S43" s="144"/>
    </row>
    <row r="44" spans="2:19" x14ac:dyDescent="0.25">
      <c r="B44" s="222"/>
      <c r="C44" s="136" t="s">
        <v>564</v>
      </c>
      <c r="D44" s="137">
        <v>128</v>
      </c>
      <c r="E44" s="137" t="s">
        <v>422</v>
      </c>
      <c r="F44" s="137" t="s">
        <v>565</v>
      </c>
      <c r="G44" s="137" t="s">
        <v>566</v>
      </c>
      <c r="H44" s="137" t="s">
        <v>441</v>
      </c>
      <c r="I44" s="137" t="s">
        <v>567</v>
      </c>
      <c r="J44" s="137" t="s">
        <v>337</v>
      </c>
      <c r="K44" s="137" t="s">
        <v>568</v>
      </c>
      <c r="L44" s="226"/>
      <c r="M44" s="144"/>
      <c r="N44" s="144"/>
      <c r="O44" s="144"/>
      <c r="P44" s="144"/>
      <c r="Q44" s="144"/>
      <c r="R44" s="144"/>
      <c r="S44" s="144"/>
    </row>
    <row r="45" spans="2:19" x14ac:dyDescent="0.25">
      <c r="B45" s="222"/>
      <c r="C45" s="134" t="s">
        <v>569</v>
      </c>
      <c r="D45" s="135">
        <v>129</v>
      </c>
      <c r="E45" s="135" t="s">
        <v>570</v>
      </c>
      <c r="F45" s="135" t="s">
        <v>571</v>
      </c>
      <c r="G45" s="135" t="s">
        <v>572</v>
      </c>
      <c r="H45" s="135" t="s">
        <v>366</v>
      </c>
      <c r="I45" s="135" t="s">
        <v>573</v>
      </c>
      <c r="J45" s="135" t="s">
        <v>460</v>
      </c>
      <c r="K45" s="135" t="s">
        <v>574</v>
      </c>
      <c r="L45" s="226"/>
      <c r="M45" s="144"/>
      <c r="N45" s="144"/>
      <c r="O45" s="144"/>
      <c r="P45" s="144"/>
      <c r="Q45" s="144"/>
      <c r="R45" s="144"/>
      <c r="S45" s="144"/>
    </row>
    <row r="46" spans="2:19" x14ac:dyDescent="0.25">
      <c r="B46" s="222"/>
      <c r="C46" s="136" t="s">
        <v>575</v>
      </c>
      <c r="D46" s="137">
        <v>32</v>
      </c>
      <c r="E46" s="137" t="s">
        <v>281</v>
      </c>
      <c r="F46" s="137" t="s">
        <v>576</v>
      </c>
      <c r="G46" s="137" t="s">
        <v>577</v>
      </c>
      <c r="H46" s="137" t="s">
        <v>527</v>
      </c>
      <c r="I46" s="137" t="s">
        <v>578</v>
      </c>
      <c r="J46" s="137" t="s">
        <v>543</v>
      </c>
      <c r="K46" s="137" t="s">
        <v>579</v>
      </c>
      <c r="L46" s="226"/>
      <c r="M46" s="144"/>
      <c r="N46" s="144"/>
      <c r="O46" s="144"/>
      <c r="P46" s="144"/>
      <c r="Q46" s="144"/>
      <c r="R46" s="144"/>
      <c r="S46" s="144"/>
    </row>
    <row r="47" spans="2:19" x14ac:dyDescent="0.25">
      <c r="B47" s="222"/>
      <c r="C47" s="134" t="s">
        <v>580</v>
      </c>
      <c r="D47" s="135">
        <v>36</v>
      </c>
      <c r="E47" s="135" t="s">
        <v>369</v>
      </c>
      <c r="F47" s="135" t="s">
        <v>581</v>
      </c>
      <c r="G47" s="135" t="s">
        <v>582</v>
      </c>
      <c r="H47" s="135" t="s">
        <v>527</v>
      </c>
      <c r="I47" s="135" t="s">
        <v>583</v>
      </c>
      <c r="J47" s="135" t="s">
        <v>309</v>
      </c>
      <c r="K47" s="135" t="s">
        <v>584</v>
      </c>
      <c r="L47" s="226"/>
      <c r="M47" s="144"/>
      <c r="N47" s="144"/>
      <c r="O47" s="144"/>
      <c r="P47" s="144"/>
      <c r="Q47" s="144"/>
      <c r="R47" s="144"/>
      <c r="S47" s="144"/>
    </row>
    <row r="48" spans="2:19" x14ac:dyDescent="0.25">
      <c r="B48" s="222"/>
      <c r="C48" s="136" t="s">
        <v>586</v>
      </c>
      <c r="D48" s="137">
        <v>65</v>
      </c>
      <c r="E48" s="137" t="s">
        <v>545</v>
      </c>
      <c r="F48" s="137" t="s">
        <v>587</v>
      </c>
      <c r="G48" s="137" t="s">
        <v>588</v>
      </c>
      <c r="H48" s="137" t="s">
        <v>365</v>
      </c>
      <c r="I48" s="137" t="s">
        <v>589</v>
      </c>
      <c r="J48" s="137" t="s">
        <v>283</v>
      </c>
      <c r="K48" s="137" t="s">
        <v>590</v>
      </c>
      <c r="L48" s="226"/>
      <c r="M48" s="144"/>
      <c r="N48" s="144"/>
      <c r="O48" s="144"/>
      <c r="P48" s="144"/>
      <c r="Q48" s="144"/>
      <c r="R48" s="144"/>
      <c r="S48" s="144"/>
    </row>
    <row r="49" spans="2:19" x14ac:dyDescent="0.25">
      <c r="B49" s="222"/>
      <c r="C49" s="134" t="s">
        <v>591</v>
      </c>
      <c r="D49" s="135">
        <v>127</v>
      </c>
      <c r="E49" s="135" t="s">
        <v>493</v>
      </c>
      <c r="F49" s="135" t="s">
        <v>592</v>
      </c>
      <c r="G49" s="135" t="s">
        <v>323</v>
      </c>
      <c r="H49" s="135" t="s">
        <v>283</v>
      </c>
      <c r="I49" s="135" t="s">
        <v>593</v>
      </c>
      <c r="J49" s="135" t="s">
        <v>297</v>
      </c>
      <c r="K49" s="135" t="s">
        <v>594</v>
      </c>
      <c r="L49" s="226"/>
      <c r="M49" s="144"/>
      <c r="N49" s="144"/>
      <c r="O49" s="144"/>
      <c r="P49" s="144"/>
      <c r="Q49" s="144"/>
      <c r="R49" s="144"/>
      <c r="S49" s="144"/>
    </row>
    <row r="50" spans="2:19" x14ac:dyDescent="0.25">
      <c r="B50" s="222"/>
      <c r="C50" s="136" t="s">
        <v>596</v>
      </c>
      <c r="D50" s="137">
        <v>69</v>
      </c>
      <c r="E50" s="137" t="s">
        <v>299</v>
      </c>
      <c r="F50" s="137" t="s">
        <v>421</v>
      </c>
      <c r="G50" s="137" t="s">
        <v>597</v>
      </c>
      <c r="H50" s="137" t="s">
        <v>342</v>
      </c>
      <c r="I50" s="137" t="s">
        <v>573</v>
      </c>
      <c r="J50" s="137" t="s">
        <v>493</v>
      </c>
      <c r="K50" s="137" t="s">
        <v>598</v>
      </c>
      <c r="L50" s="226"/>
      <c r="M50" s="144"/>
      <c r="N50" s="144"/>
      <c r="O50" s="144"/>
      <c r="P50" s="144"/>
      <c r="Q50" s="144"/>
      <c r="R50" s="144"/>
      <c r="S50" s="144"/>
    </row>
    <row r="51" spans="2:19" x14ac:dyDescent="0.25">
      <c r="B51" s="222"/>
      <c r="C51" s="134" t="s">
        <v>599</v>
      </c>
      <c r="D51" s="135">
        <v>19</v>
      </c>
      <c r="E51" s="135" t="s">
        <v>282</v>
      </c>
      <c r="F51" s="135" t="s">
        <v>600</v>
      </c>
      <c r="G51" s="135" t="s">
        <v>601</v>
      </c>
      <c r="H51" s="135" t="s">
        <v>352</v>
      </c>
      <c r="I51" s="135" t="s">
        <v>602</v>
      </c>
      <c r="J51" s="135" t="s">
        <v>328</v>
      </c>
      <c r="K51" s="135" t="s">
        <v>603</v>
      </c>
      <c r="L51" s="226"/>
      <c r="M51" s="144"/>
      <c r="N51" s="144"/>
      <c r="O51" s="144"/>
      <c r="P51" s="144"/>
      <c r="Q51" s="144"/>
      <c r="R51" s="144"/>
      <c r="S51" s="144"/>
    </row>
    <row r="52" spans="2:19" x14ac:dyDescent="0.25">
      <c r="B52" s="222"/>
      <c r="C52" s="136" t="s">
        <v>604</v>
      </c>
      <c r="D52" s="137">
        <v>24</v>
      </c>
      <c r="E52" s="137" t="s">
        <v>293</v>
      </c>
      <c r="F52" s="137" t="s">
        <v>605</v>
      </c>
      <c r="G52" s="137" t="s">
        <v>606</v>
      </c>
      <c r="H52" s="137" t="s">
        <v>527</v>
      </c>
      <c r="I52" s="137" t="s">
        <v>607</v>
      </c>
      <c r="J52" s="137" t="s">
        <v>310</v>
      </c>
      <c r="K52" s="137" t="s">
        <v>608</v>
      </c>
      <c r="L52" s="226"/>
      <c r="M52" s="144"/>
      <c r="N52" s="144"/>
      <c r="O52" s="144"/>
      <c r="P52" s="144"/>
      <c r="Q52" s="144"/>
      <c r="R52" s="144"/>
      <c r="S52" s="144"/>
    </row>
    <row r="53" spans="2:19" x14ac:dyDescent="0.25">
      <c r="B53" s="222"/>
      <c r="C53" s="134" t="s">
        <v>609</v>
      </c>
      <c r="D53" s="135">
        <v>51</v>
      </c>
      <c r="E53" s="135" t="s">
        <v>416</v>
      </c>
      <c r="F53" s="135" t="s">
        <v>610</v>
      </c>
      <c r="G53" s="135" t="s">
        <v>611</v>
      </c>
      <c r="H53" s="135" t="s">
        <v>352</v>
      </c>
      <c r="I53" s="135" t="s">
        <v>612</v>
      </c>
      <c r="J53" s="135" t="s">
        <v>328</v>
      </c>
      <c r="K53" s="135" t="s">
        <v>613</v>
      </c>
      <c r="L53" s="226"/>
      <c r="M53" s="144"/>
      <c r="N53" s="144"/>
      <c r="O53" s="144"/>
      <c r="P53" s="144"/>
      <c r="Q53" s="144"/>
      <c r="R53" s="144"/>
      <c r="S53" s="144"/>
    </row>
    <row r="54" spans="2:19" x14ac:dyDescent="0.25">
      <c r="B54" s="222"/>
      <c r="C54" s="136" t="s">
        <v>615</v>
      </c>
      <c r="D54" s="137">
        <v>192</v>
      </c>
      <c r="E54" s="137" t="s">
        <v>493</v>
      </c>
      <c r="F54" s="137" t="s">
        <v>616</v>
      </c>
      <c r="G54" s="137" t="s">
        <v>617</v>
      </c>
      <c r="H54" s="137" t="s">
        <v>310</v>
      </c>
      <c r="I54" s="137" t="s">
        <v>618</v>
      </c>
      <c r="J54" s="137" t="s">
        <v>317</v>
      </c>
      <c r="K54" s="137" t="s">
        <v>619</v>
      </c>
      <c r="L54" s="226"/>
      <c r="M54" s="144"/>
      <c r="N54" s="144"/>
      <c r="O54" s="144"/>
      <c r="P54" s="144"/>
      <c r="Q54" s="144"/>
      <c r="R54" s="144"/>
      <c r="S54" s="144"/>
    </row>
    <row r="55" spans="2:19" x14ac:dyDescent="0.25">
      <c r="B55" s="222"/>
      <c r="C55" s="134" t="s">
        <v>620</v>
      </c>
      <c r="D55" s="135">
        <v>120</v>
      </c>
      <c r="E55" s="135" t="s">
        <v>465</v>
      </c>
      <c r="F55" s="135" t="s">
        <v>614</v>
      </c>
      <c r="G55" s="135" t="s">
        <v>621</v>
      </c>
      <c r="H55" s="135" t="s">
        <v>295</v>
      </c>
      <c r="I55" s="135" t="s">
        <v>622</v>
      </c>
      <c r="J55" s="135" t="s">
        <v>321</v>
      </c>
      <c r="K55" s="135" t="s">
        <v>623</v>
      </c>
      <c r="L55" s="226"/>
      <c r="M55" s="144"/>
      <c r="N55" s="144"/>
      <c r="O55" s="144"/>
      <c r="P55" s="144"/>
      <c r="Q55" s="144"/>
      <c r="R55" s="144"/>
      <c r="S55" s="144"/>
    </row>
    <row r="56" spans="2:19" x14ac:dyDescent="0.25">
      <c r="B56" s="222"/>
      <c r="C56" s="136" t="s">
        <v>624</v>
      </c>
      <c r="D56" s="137">
        <v>92</v>
      </c>
      <c r="E56" s="137" t="s">
        <v>491</v>
      </c>
      <c r="F56" s="137" t="s">
        <v>625</v>
      </c>
      <c r="G56" s="137" t="s">
        <v>626</v>
      </c>
      <c r="H56" s="137" t="s">
        <v>395</v>
      </c>
      <c r="I56" s="137" t="s">
        <v>627</v>
      </c>
      <c r="J56" s="137" t="s">
        <v>299</v>
      </c>
      <c r="K56" s="137" t="s">
        <v>628</v>
      </c>
      <c r="L56" s="226"/>
      <c r="M56" s="144"/>
      <c r="N56" s="144"/>
      <c r="O56" s="144"/>
      <c r="P56" s="144"/>
      <c r="Q56" s="144"/>
      <c r="R56" s="144"/>
      <c r="S56" s="144"/>
    </row>
    <row r="57" spans="2:19" x14ac:dyDescent="0.25">
      <c r="B57" s="222"/>
      <c r="C57" s="134" t="s">
        <v>629</v>
      </c>
      <c r="D57" s="135">
        <v>22</v>
      </c>
      <c r="E57" s="135" t="s">
        <v>630</v>
      </c>
      <c r="F57" s="135" t="s">
        <v>631</v>
      </c>
      <c r="G57" s="135" t="s">
        <v>632</v>
      </c>
      <c r="H57" s="135" t="s">
        <v>422</v>
      </c>
      <c r="I57" s="135" t="s">
        <v>633</v>
      </c>
      <c r="J57" s="135" t="s">
        <v>570</v>
      </c>
      <c r="K57" s="135" t="s">
        <v>634</v>
      </c>
      <c r="L57" s="226"/>
      <c r="M57" s="144"/>
      <c r="N57" s="144"/>
      <c r="O57" s="144"/>
      <c r="P57" s="144"/>
      <c r="Q57" s="144"/>
      <c r="R57" s="144"/>
      <c r="S57" s="144"/>
    </row>
    <row r="58" spans="2:19" x14ac:dyDescent="0.25">
      <c r="B58" s="222"/>
      <c r="C58" s="136" t="s">
        <v>635</v>
      </c>
      <c r="D58" s="137">
        <v>4</v>
      </c>
      <c r="E58" s="137" t="s">
        <v>636</v>
      </c>
      <c r="F58" s="137" t="s">
        <v>637</v>
      </c>
      <c r="G58" s="137" t="s">
        <v>638</v>
      </c>
      <c r="H58" s="137" t="s">
        <v>293</v>
      </c>
      <c r="I58" s="137" t="s">
        <v>639</v>
      </c>
      <c r="J58" s="137" t="s">
        <v>366</v>
      </c>
      <c r="K58" s="137" t="s">
        <v>640</v>
      </c>
      <c r="L58" s="226"/>
      <c r="M58" s="144"/>
      <c r="N58" s="144"/>
      <c r="O58" s="144"/>
      <c r="P58" s="144"/>
      <c r="Q58" s="144"/>
      <c r="R58" s="144"/>
      <c r="S58" s="144"/>
    </row>
    <row r="59" spans="2:19" x14ac:dyDescent="0.25">
      <c r="B59" s="222"/>
      <c r="C59" s="134" t="s">
        <v>641</v>
      </c>
      <c r="D59" s="135">
        <v>269</v>
      </c>
      <c r="E59" s="135" t="s">
        <v>642</v>
      </c>
      <c r="F59" s="135" t="s">
        <v>643</v>
      </c>
      <c r="G59" s="135" t="s">
        <v>644</v>
      </c>
      <c r="H59" s="135" t="s">
        <v>291</v>
      </c>
      <c r="I59" s="135" t="s">
        <v>645</v>
      </c>
      <c r="J59" s="135" t="s">
        <v>293</v>
      </c>
      <c r="K59" s="135" t="s">
        <v>646</v>
      </c>
      <c r="L59" s="226"/>
      <c r="M59" s="144"/>
      <c r="N59" s="144"/>
      <c r="O59" s="144"/>
      <c r="P59" s="144"/>
      <c r="Q59" s="144"/>
      <c r="R59" s="144"/>
      <c r="S59" s="144"/>
    </row>
    <row r="60" spans="2:19" x14ac:dyDescent="0.25">
      <c r="B60" s="222"/>
      <c r="C60" s="136" t="s">
        <v>647</v>
      </c>
      <c r="D60" s="137">
        <v>24</v>
      </c>
      <c r="E60" s="137" t="s">
        <v>395</v>
      </c>
      <c r="F60" s="137" t="s">
        <v>648</v>
      </c>
      <c r="G60" s="137" t="s">
        <v>503</v>
      </c>
      <c r="H60" s="137" t="s">
        <v>306</v>
      </c>
      <c r="I60" s="137" t="s">
        <v>649</v>
      </c>
      <c r="J60" s="137" t="s">
        <v>527</v>
      </c>
      <c r="K60" s="137" t="s">
        <v>650</v>
      </c>
      <c r="L60" s="226"/>
      <c r="M60" s="144"/>
      <c r="N60" s="144"/>
      <c r="O60" s="144"/>
      <c r="P60" s="144"/>
      <c r="Q60" s="144"/>
      <c r="R60" s="144"/>
      <c r="S60" s="144"/>
    </row>
    <row r="61" spans="2:19" x14ac:dyDescent="0.25">
      <c r="B61" s="222"/>
      <c r="C61" s="134" t="s">
        <v>651</v>
      </c>
      <c r="D61" s="135">
        <v>136</v>
      </c>
      <c r="E61" s="135" t="s">
        <v>652</v>
      </c>
      <c r="F61" s="135" t="s">
        <v>653</v>
      </c>
      <c r="G61" s="135" t="s">
        <v>654</v>
      </c>
      <c r="H61" s="135" t="s">
        <v>499</v>
      </c>
      <c r="I61" s="135" t="s">
        <v>654</v>
      </c>
      <c r="J61" s="135" t="s">
        <v>369</v>
      </c>
      <c r="K61" s="135" t="s">
        <v>655</v>
      </c>
      <c r="L61" s="226"/>
      <c r="M61" s="144"/>
      <c r="N61" s="144"/>
      <c r="O61" s="144"/>
      <c r="P61" s="144"/>
      <c r="Q61" s="144"/>
      <c r="R61" s="144"/>
      <c r="S61" s="144"/>
    </row>
    <row r="62" spans="2:19" x14ac:dyDescent="0.25">
      <c r="B62" s="222"/>
      <c r="C62" s="136" t="s">
        <v>656</v>
      </c>
      <c r="D62" s="137">
        <v>24</v>
      </c>
      <c r="E62" s="137" t="s">
        <v>298</v>
      </c>
      <c r="F62" s="137" t="s">
        <v>657</v>
      </c>
      <c r="G62" s="137" t="s">
        <v>658</v>
      </c>
      <c r="H62" s="137" t="s">
        <v>543</v>
      </c>
      <c r="I62" s="137" t="s">
        <v>659</v>
      </c>
      <c r="J62" s="137" t="s">
        <v>416</v>
      </c>
      <c r="K62" s="137" t="s">
        <v>660</v>
      </c>
      <c r="L62" s="226"/>
      <c r="M62" s="144"/>
      <c r="N62" s="144"/>
      <c r="O62" s="144"/>
      <c r="P62" s="144"/>
      <c r="Q62" s="144"/>
      <c r="R62" s="144"/>
      <c r="S62" s="144"/>
    </row>
    <row r="63" spans="2:19" x14ac:dyDescent="0.25">
      <c r="B63" s="222"/>
      <c r="C63" s="134" t="s">
        <v>662</v>
      </c>
      <c r="D63" s="135">
        <v>15</v>
      </c>
      <c r="E63" s="135" t="s">
        <v>663</v>
      </c>
      <c r="F63" s="135" t="s">
        <v>664</v>
      </c>
      <c r="G63" s="135" t="s">
        <v>665</v>
      </c>
      <c r="H63" s="135" t="s">
        <v>474</v>
      </c>
      <c r="I63" s="135" t="s">
        <v>503</v>
      </c>
      <c r="J63" s="135" t="s">
        <v>465</v>
      </c>
      <c r="K63" s="135" t="s">
        <v>666</v>
      </c>
      <c r="L63" s="226"/>
      <c r="M63" s="144"/>
      <c r="N63" s="144"/>
      <c r="O63" s="144"/>
      <c r="P63" s="144"/>
      <c r="Q63" s="144"/>
      <c r="R63" s="144"/>
      <c r="S63" s="144"/>
    </row>
    <row r="64" spans="2:19" x14ac:dyDescent="0.25">
      <c r="B64" s="222"/>
      <c r="C64" s="136" t="s">
        <v>667</v>
      </c>
      <c r="D64" s="137">
        <v>52</v>
      </c>
      <c r="E64" s="137" t="s">
        <v>526</v>
      </c>
      <c r="F64" s="137" t="s">
        <v>668</v>
      </c>
      <c r="G64" s="137" t="s">
        <v>669</v>
      </c>
      <c r="H64" s="137" t="s">
        <v>358</v>
      </c>
      <c r="I64" s="137" t="s">
        <v>670</v>
      </c>
      <c r="J64" s="137" t="s">
        <v>329</v>
      </c>
      <c r="K64" s="137" t="s">
        <v>671</v>
      </c>
      <c r="L64" s="226"/>
      <c r="M64" s="144"/>
      <c r="N64" s="144"/>
      <c r="O64" s="144"/>
      <c r="P64" s="144"/>
      <c r="Q64" s="144"/>
      <c r="R64" s="144"/>
      <c r="S64" s="144"/>
    </row>
    <row r="65" spans="2:19" x14ac:dyDescent="0.25">
      <c r="B65" s="222"/>
      <c r="C65" s="134" t="s">
        <v>673</v>
      </c>
      <c r="D65" s="135">
        <v>83</v>
      </c>
      <c r="E65" s="135" t="s">
        <v>274</v>
      </c>
      <c r="F65" s="135" t="s">
        <v>674</v>
      </c>
      <c r="G65" s="135" t="s">
        <v>675</v>
      </c>
      <c r="H65" s="135" t="s">
        <v>545</v>
      </c>
      <c r="I65" s="135" t="s">
        <v>676</v>
      </c>
      <c r="J65" s="135" t="s">
        <v>426</v>
      </c>
      <c r="K65" s="135" t="s">
        <v>677</v>
      </c>
      <c r="L65" s="226"/>
      <c r="M65" s="144"/>
      <c r="N65" s="144"/>
      <c r="O65" s="144"/>
      <c r="P65" s="144"/>
      <c r="Q65" s="144"/>
      <c r="R65" s="144"/>
      <c r="S65" s="144"/>
    </row>
    <row r="66" spans="2:19" x14ac:dyDescent="0.25">
      <c r="B66" s="222"/>
      <c r="C66" s="136" t="s">
        <v>678</v>
      </c>
      <c r="D66" s="137">
        <v>31</v>
      </c>
      <c r="E66" s="137" t="s">
        <v>372</v>
      </c>
      <c r="F66" s="137" t="s">
        <v>679</v>
      </c>
      <c r="G66" s="137" t="s">
        <v>680</v>
      </c>
      <c r="H66" s="137" t="s">
        <v>318</v>
      </c>
      <c r="I66" s="137" t="s">
        <v>681</v>
      </c>
      <c r="J66" s="137" t="s">
        <v>307</v>
      </c>
      <c r="K66" s="137" t="s">
        <v>682</v>
      </c>
      <c r="L66" s="226"/>
      <c r="M66" s="144"/>
      <c r="N66" s="144"/>
      <c r="O66" s="144"/>
      <c r="P66" s="144"/>
      <c r="Q66" s="144"/>
      <c r="R66" s="144"/>
      <c r="S66" s="144"/>
    </row>
    <row r="67" spans="2:19" x14ac:dyDescent="0.25">
      <c r="B67" s="222"/>
      <c r="C67" s="134" t="s">
        <v>683</v>
      </c>
      <c r="D67" s="135">
        <v>234</v>
      </c>
      <c r="E67" s="135" t="s">
        <v>416</v>
      </c>
      <c r="F67" s="135" t="s">
        <v>684</v>
      </c>
      <c r="G67" s="135" t="s">
        <v>685</v>
      </c>
      <c r="H67" s="135" t="s">
        <v>350</v>
      </c>
      <c r="I67" s="135" t="s">
        <v>686</v>
      </c>
      <c r="J67" s="135" t="s">
        <v>346</v>
      </c>
      <c r="K67" s="135" t="s">
        <v>687</v>
      </c>
      <c r="L67" s="226"/>
      <c r="M67" s="144"/>
      <c r="N67" s="144"/>
      <c r="O67" s="144"/>
      <c r="P67" s="144"/>
      <c r="Q67" s="144"/>
      <c r="R67" s="144"/>
      <c r="S67" s="144"/>
    </row>
    <row r="68" spans="2:19" x14ac:dyDescent="0.25">
      <c r="B68" s="222"/>
      <c r="C68" s="136" t="s">
        <v>688</v>
      </c>
      <c r="D68" s="137">
        <v>20</v>
      </c>
      <c r="E68" s="137" t="s">
        <v>570</v>
      </c>
      <c r="F68" s="137" t="s">
        <v>689</v>
      </c>
      <c r="G68" s="137" t="s">
        <v>690</v>
      </c>
      <c r="H68" s="137" t="s">
        <v>303</v>
      </c>
      <c r="I68" s="137" t="s">
        <v>691</v>
      </c>
      <c r="J68" s="137" t="s">
        <v>365</v>
      </c>
      <c r="K68" s="137" t="s">
        <v>692</v>
      </c>
      <c r="L68" s="226"/>
      <c r="M68" s="144"/>
      <c r="N68" s="144"/>
      <c r="O68" s="144"/>
      <c r="P68" s="144"/>
      <c r="Q68" s="144"/>
      <c r="R68" s="144"/>
      <c r="S68" s="144"/>
    </row>
    <row r="69" spans="2:19" x14ac:dyDescent="0.25">
      <c r="B69" s="222"/>
      <c r="C69" s="134" t="s">
        <v>693</v>
      </c>
      <c r="D69" s="135">
        <v>12</v>
      </c>
      <c r="E69" s="135" t="s">
        <v>694</v>
      </c>
      <c r="F69" s="135" t="s">
        <v>695</v>
      </c>
      <c r="G69" s="135" t="s">
        <v>696</v>
      </c>
      <c r="H69" s="135" t="s">
        <v>369</v>
      </c>
      <c r="I69" s="135" t="s">
        <v>697</v>
      </c>
      <c r="J69" s="135" t="s">
        <v>452</v>
      </c>
      <c r="K69" s="135" t="s">
        <v>698</v>
      </c>
      <c r="L69" s="226"/>
      <c r="M69" s="144"/>
      <c r="N69" s="144"/>
      <c r="O69" s="144"/>
      <c r="P69" s="144"/>
      <c r="Q69" s="144"/>
      <c r="R69" s="144"/>
      <c r="S69" s="144"/>
    </row>
    <row r="70" spans="2:19" x14ac:dyDescent="0.25">
      <c r="B70" s="222"/>
      <c r="C70" s="136" t="s">
        <v>699</v>
      </c>
      <c r="D70" s="137">
        <v>57</v>
      </c>
      <c r="E70" s="137" t="s">
        <v>279</v>
      </c>
      <c r="F70" s="137" t="s">
        <v>700</v>
      </c>
      <c r="G70" s="137" t="s">
        <v>701</v>
      </c>
      <c r="H70" s="137" t="s">
        <v>383</v>
      </c>
      <c r="I70" s="137" t="s">
        <v>276</v>
      </c>
      <c r="J70" s="137" t="s">
        <v>416</v>
      </c>
      <c r="K70" s="137" t="s">
        <v>702</v>
      </c>
      <c r="L70" s="226"/>
      <c r="M70" s="144"/>
      <c r="N70" s="144"/>
      <c r="O70" s="144"/>
      <c r="P70" s="144"/>
      <c r="Q70" s="144"/>
      <c r="R70" s="144"/>
      <c r="S70" s="144"/>
    </row>
    <row r="71" spans="2:19" x14ac:dyDescent="0.25">
      <c r="B71" s="222"/>
      <c r="C71" s="134" t="s">
        <v>703</v>
      </c>
      <c r="D71" s="135">
        <v>63</v>
      </c>
      <c r="E71" s="135" t="s">
        <v>441</v>
      </c>
      <c r="F71" s="135" t="s">
        <v>484</v>
      </c>
      <c r="G71" s="135" t="s">
        <v>704</v>
      </c>
      <c r="H71" s="135" t="s">
        <v>558</v>
      </c>
      <c r="I71" s="135" t="s">
        <v>705</v>
      </c>
      <c r="J71" s="135" t="s">
        <v>382</v>
      </c>
      <c r="K71" s="135" t="s">
        <v>706</v>
      </c>
      <c r="L71" s="226"/>
      <c r="M71" s="144"/>
      <c r="N71" s="144"/>
      <c r="O71" s="144"/>
      <c r="P71" s="144"/>
      <c r="Q71" s="144"/>
      <c r="R71" s="144"/>
      <c r="S71" s="144"/>
    </row>
    <row r="72" spans="2:19" x14ac:dyDescent="0.25">
      <c r="B72" s="222"/>
      <c r="C72" s="136" t="s">
        <v>707</v>
      </c>
      <c r="D72" s="137">
        <v>2</v>
      </c>
      <c r="E72" s="137" t="s">
        <v>319</v>
      </c>
      <c r="F72" s="137" t="s">
        <v>708</v>
      </c>
      <c r="G72" s="137" t="s">
        <v>709</v>
      </c>
      <c r="H72" s="137" t="s">
        <v>308</v>
      </c>
      <c r="I72" s="137" t="s">
        <v>710</v>
      </c>
      <c r="J72" s="137" t="s">
        <v>407</v>
      </c>
      <c r="K72" s="137" t="s">
        <v>711</v>
      </c>
      <c r="L72" s="226"/>
      <c r="M72" s="144"/>
      <c r="N72" s="144"/>
      <c r="O72" s="144"/>
      <c r="P72" s="144"/>
      <c r="Q72" s="144"/>
      <c r="R72" s="144"/>
      <c r="S72" s="144"/>
    </row>
    <row r="73" spans="2:19" x14ac:dyDescent="0.25">
      <c r="B73" s="222"/>
      <c r="C73" s="134" t="s">
        <v>712</v>
      </c>
      <c r="D73" s="135">
        <v>77</v>
      </c>
      <c r="E73" s="135" t="s">
        <v>341</v>
      </c>
      <c r="F73" s="135" t="s">
        <v>713</v>
      </c>
      <c r="G73" s="135" t="s">
        <v>714</v>
      </c>
      <c r="H73" s="135" t="s">
        <v>282</v>
      </c>
      <c r="I73" s="135" t="s">
        <v>715</v>
      </c>
      <c r="J73" s="135" t="s">
        <v>382</v>
      </c>
      <c r="K73" s="135" t="s">
        <v>716</v>
      </c>
      <c r="L73" s="226"/>
      <c r="M73" s="144"/>
      <c r="N73" s="144"/>
      <c r="O73" s="144"/>
      <c r="P73" s="144"/>
      <c r="Q73" s="144"/>
      <c r="R73" s="144"/>
      <c r="S73" s="144"/>
    </row>
    <row r="74" spans="2:19" x14ac:dyDescent="0.25">
      <c r="B74" s="222"/>
      <c r="C74" s="136" t="s">
        <v>717</v>
      </c>
      <c r="D74" s="137">
        <v>26</v>
      </c>
      <c r="E74" s="137" t="s">
        <v>426</v>
      </c>
      <c r="F74" s="137" t="s">
        <v>718</v>
      </c>
      <c r="G74" s="137" t="s">
        <v>719</v>
      </c>
      <c r="H74" s="137" t="s">
        <v>317</v>
      </c>
      <c r="I74" s="137" t="s">
        <v>720</v>
      </c>
      <c r="J74" s="137" t="s">
        <v>285</v>
      </c>
      <c r="K74" s="137" t="s">
        <v>721</v>
      </c>
      <c r="L74" s="226"/>
      <c r="M74" s="144"/>
      <c r="N74" s="144"/>
      <c r="O74" s="144"/>
      <c r="P74" s="144"/>
      <c r="Q74" s="144"/>
      <c r="R74" s="144"/>
      <c r="S74" s="144"/>
    </row>
    <row r="75" spans="2:19" x14ac:dyDescent="0.25">
      <c r="B75" s="222"/>
      <c r="C75" s="134" t="s">
        <v>722</v>
      </c>
      <c r="D75" s="135">
        <v>17</v>
      </c>
      <c r="E75" s="135" t="s">
        <v>454</v>
      </c>
      <c r="F75" s="135" t="s">
        <v>723</v>
      </c>
      <c r="G75" s="135" t="s">
        <v>724</v>
      </c>
      <c r="H75" s="135" t="s">
        <v>339</v>
      </c>
      <c r="I75" s="135" t="s">
        <v>725</v>
      </c>
      <c r="J75" s="135" t="s">
        <v>460</v>
      </c>
      <c r="K75" s="135" t="s">
        <v>726</v>
      </c>
      <c r="L75" s="226"/>
      <c r="M75" s="144"/>
      <c r="N75" s="144"/>
      <c r="O75" s="144"/>
      <c r="P75" s="144"/>
      <c r="Q75" s="144"/>
      <c r="R75" s="144"/>
      <c r="S75" s="144"/>
    </row>
    <row r="76" spans="2:19" x14ac:dyDescent="0.25">
      <c r="B76" s="222"/>
      <c r="C76" s="136" t="s">
        <v>727</v>
      </c>
      <c r="D76" s="137">
        <v>80</v>
      </c>
      <c r="E76" s="137" t="s">
        <v>475</v>
      </c>
      <c r="F76" s="137" t="s">
        <v>728</v>
      </c>
      <c r="G76" s="137" t="s">
        <v>729</v>
      </c>
      <c r="H76" s="137" t="s">
        <v>277</v>
      </c>
      <c r="I76" s="137" t="s">
        <v>730</v>
      </c>
      <c r="J76" s="137" t="s">
        <v>365</v>
      </c>
      <c r="K76" s="137" t="s">
        <v>731</v>
      </c>
      <c r="L76" s="226"/>
      <c r="M76" s="144"/>
      <c r="N76" s="144"/>
      <c r="O76" s="144"/>
      <c r="P76" s="144"/>
      <c r="Q76" s="144"/>
      <c r="R76" s="144"/>
      <c r="S76" s="144"/>
    </row>
    <row r="77" spans="2:19" x14ac:dyDescent="0.25">
      <c r="B77" s="222"/>
      <c r="C77" s="134" t="s">
        <v>732</v>
      </c>
      <c r="D77" s="135">
        <v>18</v>
      </c>
      <c r="E77" s="135" t="s">
        <v>339</v>
      </c>
      <c r="F77" s="135" t="s">
        <v>733</v>
      </c>
      <c r="G77" s="135" t="s">
        <v>446</v>
      </c>
      <c r="H77" s="135" t="s">
        <v>340</v>
      </c>
      <c r="I77" s="135" t="s">
        <v>734</v>
      </c>
      <c r="J77" s="135" t="s">
        <v>337</v>
      </c>
      <c r="K77" s="135" t="s">
        <v>735</v>
      </c>
      <c r="L77" s="226"/>
      <c r="M77" s="144"/>
      <c r="N77" s="144"/>
      <c r="O77" s="144"/>
      <c r="P77" s="144"/>
      <c r="Q77" s="144"/>
      <c r="R77" s="144"/>
      <c r="S77" s="144"/>
    </row>
    <row r="78" spans="2:19" x14ac:dyDescent="0.25">
      <c r="B78" s="222"/>
      <c r="C78" s="136" t="s">
        <v>737</v>
      </c>
      <c r="D78" s="137">
        <v>13</v>
      </c>
      <c r="E78" s="137" t="s">
        <v>328</v>
      </c>
      <c r="F78" s="137" t="s">
        <v>738</v>
      </c>
      <c r="G78" s="137" t="s">
        <v>739</v>
      </c>
      <c r="H78" s="137" t="s">
        <v>330</v>
      </c>
      <c r="I78" s="137" t="s">
        <v>740</v>
      </c>
      <c r="J78" s="137" t="s">
        <v>672</v>
      </c>
      <c r="K78" s="137" t="s">
        <v>741</v>
      </c>
      <c r="L78" s="226"/>
      <c r="M78" s="144"/>
      <c r="N78" s="144"/>
      <c r="O78" s="144"/>
      <c r="P78" s="144"/>
      <c r="Q78" s="144"/>
      <c r="R78" s="144"/>
      <c r="S78" s="144"/>
    </row>
    <row r="79" spans="2:19" x14ac:dyDescent="0.25">
      <c r="B79" s="222"/>
      <c r="C79" s="134" t="s">
        <v>743</v>
      </c>
      <c r="D79" s="135">
        <v>70</v>
      </c>
      <c r="E79" s="135" t="s">
        <v>288</v>
      </c>
      <c r="F79" s="135" t="s">
        <v>744</v>
      </c>
      <c r="G79" s="135" t="s">
        <v>745</v>
      </c>
      <c r="H79" s="135" t="s">
        <v>366</v>
      </c>
      <c r="I79" s="135" t="s">
        <v>746</v>
      </c>
      <c r="J79" s="135" t="s">
        <v>499</v>
      </c>
      <c r="K79" s="135" t="s">
        <v>747</v>
      </c>
      <c r="L79" s="226"/>
      <c r="M79" s="144"/>
      <c r="N79" s="144"/>
      <c r="O79" s="144"/>
      <c r="P79" s="144"/>
      <c r="Q79" s="144"/>
      <c r="R79" s="144"/>
      <c r="S79" s="144"/>
    </row>
    <row r="80" spans="2:19" x14ac:dyDescent="0.25">
      <c r="B80" s="222"/>
      <c r="C80" s="136" t="s">
        <v>749</v>
      </c>
      <c r="D80" s="137">
        <v>89</v>
      </c>
      <c r="E80" s="137" t="s">
        <v>493</v>
      </c>
      <c r="F80" s="137" t="s">
        <v>750</v>
      </c>
      <c r="G80" s="137" t="s">
        <v>421</v>
      </c>
      <c r="H80" s="137" t="s">
        <v>308</v>
      </c>
      <c r="I80" s="137" t="s">
        <v>751</v>
      </c>
      <c r="J80" s="137" t="s">
        <v>552</v>
      </c>
      <c r="K80" s="137" t="s">
        <v>752</v>
      </c>
      <c r="L80" s="226"/>
      <c r="M80" s="144"/>
      <c r="N80" s="144"/>
      <c r="O80" s="144"/>
      <c r="P80" s="144"/>
      <c r="Q80" s="144"/>
      <c r="R80" s="144"/>
      <c r="S80" s="144"/>
    </row>
    <row r="81" spans="2:19" x14ac:dyDescent="0.25">
      <c r="B81" s="222"/>
      <c r="C81" s="134" t="s">
        <v>753</v>
      </c>
      <c r="D81" s="135">
        <v>4</v>
      </c>
      <c r="E81" s="135" t="s">
        <v>375</v>
      </c>
      <c r="F81" s="135" t="s">
        <v>754</v>
      </c>
      <c r="G81" s="135" t="s">
        <v>755</v>
      </c>
      <c r="H81" s="135" t="s">
        <v>350</v>
      </c>
      <c r="I81" s="135" t="s">
        <v>756</v>
      </c>
      <c r="J81" s="135" t="s">
        <v>585</v>
      </c>
      <c r="K81" s="135" t="s">
        <v>757</v>
      </c>
      <c r="L81" s="226"/>
      <c r="M81" s="144"/>
      <c r="N81" s="144"/>
      <c r="O81" s="144"/>
      <c r="P81" s="144"/>
      <c r="Q81" s="144"/>
      <c r="R81" s="144"/>
      <c r="S81" s="144"/>
    </row>
    <row r="82" spans="2:19" x14ac:dyDescent="0.25">
      <c r="B82" s="222"/>
      <c r="C82" s="136" t="s">
        <v>758</v>
      </c>
      <c r="D82" s="137">
        <v>72</v>
      </c>
      <c r="E82" s="137" t="s">
        <v>470</v>
      </c>
      <c r="F82" s="137" t="s">
        <v>759</v>
      </c>
      <c r="G82" s="137" t="s">
        <v>760</v>
      </c>
      <c r="H82" s="137" t="s">
        <v>459</v>
      </c>
      <c r="I82" s="137" t="s">
        <v>761</v>
      </c>
      <c r="J82" s="137" t="s">
        <v>570</v>
      </c>
      <c r="K82" s="137" t="s">
        <v>762</v>
      </c>
      <c r="L82" s="226"/>
      <c r="M82" s="144"/>
      <c r="N82" s="144"/>
      <c r="O82" s="144"/>
      <c r="P82" s="144"/>
      <c r="Q82" s="144"/>
      <c r="R82" s="144"/>
      <c r="S82" s="144"/>
    </row>
    <row r="83" spans="2:19" x14ac:dyDescent="0.25">
      <c r="B83" s="222"/>
      <c r="C83" s="134" t="s">
        <v>763</v>
      </c>
      <c r="D83" s="135">
        <v>39</v>
      </c>
      <c r="E83" s="135" t="s">
        <v>475</v>
      </c>
      <c r="F83" s="135" t="s">
        <v>764</v>
      </c>
      <c r="G83" s="135" t="s">
        <v>765</v>
      </c>
      <c r="H83" s="135" t="s">
        <v>422</v>
      </c>
      <c r="I83" s="135" t="s">
        <v>766</v>
      </c>
      <c r="J83" s="135" t="s">
        <v>465</v>
      </c>
      <c r="K83" s="135" t="s">
        <v>767</v>
      </c>
      <c r="L83" s="226"/>
      <c r="M83" s="144"/>
      <c r="N83" s="144"/>
      <c r="O83" s="144"/>
      <c r="P83" s="144"/>
      <c r="Q83" s="144"/>
      <c r="R83" s="144"/>
      <c r="S83" s="144"/>
    </row>
    <row r="84" spans="2:19" x14ac:dyDescent="0.25">
      <c r="B84" s="222"/>
      <c r="C84" s="136" t="s">
        <v>768</v>
      </c>
      <c r="D84" s="137">
        <v>10</v>
      </c>
      <c r="E84" s="137" t="s">
        <v>769</v>
      </c>
      <c r="F84" s="137" t="s">
        <v>770</v>
      </c>
      <c r="G84" s="137" t="s">
        <v>736</v>
      </c>
      <c r="H84" s="137" t="s">
        <v>748</v>
      </c>
      <c r="I84" s="137" t="s">
        <v>771</v>
      </c>
      <c r="J84" s="137" t="s">
        <v>448</v>
      </c>
      <c r="K84" s="137" t="s">
        <v>772</v>
      </c>
      <c r="L84" s="226"/>
      <c r="M84" s="144"/>
      <c r="N84" s="144"/>
      <c r="O84" s="144"/>
      <c r="P84" s="144"/>
      <c r="Q84" s="144"/>
      <c r="R84" s="144"/>
      <c r="S84" s="144"/>
    </row>
    <row r="85" spans="2:19" x14ac:dyDescent="0.25">
      <c r="B85" s="222"/>
      <c r="C85" s="134" t="s">
        <v>773</v>
      </c>
      <c r="D85" s="135">
        <v>11</v>
      </c>
      <c r="E85" s="135" t="s">
        <v>285</v>
      </c>
      <c r="F85" s="135" t="s">
        <v>774</v>
      </c>
      <c r="G85" s="135" t="s">
        <v>775</v>
      </c>
      <c r="H85" s="135" t="s">
        <v>303</v>
      </c>
      <c r="I85" s="135" t="s">
        <v>776</v>
      </c>
      <c r="J85" s="135" t="s">
        <v>281</v>
      </c>
      <c r="K85" s="135" t="s">
        <v>777</v>
      </c>
      <c r="L85" s="226"/>
      <c r="M85" s="144"/>
      <c r="N85" s="144"/>
      <c r="O85" s="144"/>
      <c r="P85" s="144"/>
      <c r="Q85" s="144"/>
      <c r="R85" s="144"/>
      <c r="S85" s="144"/>
    </row>
    <row r="86" spans="2:19" x14ac:dyDescent="0.25">
      <c r="B86" s="222"/>
      <c r="C86" s="136" t="s">
        <v>778</v>
      </c>
      <c r="D86" s="137">
        <v>86</v>
      </c>
      <c r="E86" s="137" t="s">
        <v>470</v>
      </c>
      <c r="F86" s="137" t="s">
        <v>779</v>
      </c>
      <c r="G86" s="137" t="s">
        <v>780</v>
      </c>
      <c r="H86" s="137" t="s">
        <v>465</v>
      </c>
      <c r="I86" s="137" t="s">
        <v>780</v>
      </c>
      <c r="J86" s="137" t="s">
        <v>470</v>
      </c>
      <c r="K86" s="137" t="s">
        <v>781</v>
      </c>
      <c r="L86" s="226"/>
      <c r="M86" s="144"/>
      <c r="N86" s="144"/>
      <c r="O86" s="144"/>
      <c r="P86" s="144"/>
      <c r="Q86" s="144"/>
      <c r="R86" s="144"/>
      <c r="S86" s="144"/>
    </row>
    <row r="87" spans="2:19" x14ac:dyDescent="0.25">
      <c r="B87" s="222"/>
      <c r="C87" s="134" t="s">
        <v>782</v>
      </c>
      <c r="D87" s="135">
        <v>30</v>
      </c>
      <c r="E87" s="135" t="s">
        <v>783</v>
      </c>
      <c r="F87" s="135" t="s">
        <v>784</v>
      </c>
      <c r="G87" s="135" t="s">
        <v>785</v>
      </c>
      <c r="H87" s="135" t="s">
        <v>786</v>
      </c>
      <c r="I87" s="135" t="s">
        <v>595</v>
      </c>
      <c r="J87" s="135" t="s">
        <v>452</v>
      </c>
      <c r="K87" s="135" t="s">
        <v>787</v>
      </c>
      <c r="L87" s="226"/>
      <c r="M87" s="144"/>
      <c r="N87" s="144"/>
      <c r="O87" s="144"/>
      <c r="P87" s="144"/>
      <c r="Q87" s="144"/>
      <c r="R87" s="144"/>
      <c r="S87" s="144"/>
    </row>
    <row r="88" spans="2:19" x14ac:dyDescent="0.25">
      <c r="B88" s="222"/>
      <c r="C88" s="136" t="s">
        <v>788</v>
      </c>
      <c r="D88" s="137">
        <v>363</v>
      </c>
      <c r="E88" s="137" t="s">
        <v>296</v>
      </c>
      <c r="F88" s="137" t="s">
        <v>789</v>
      </c>
      <c r="G88" s="137" t="s">
        <v>790</v>
      </c>
      <c r="H88" s="137" t="s">
        <v>366</v>
      </c>
      <c r="I88" s="137" t="s">
        <v>791</v>
      </c>
      <c r="J88" s="137" t="s">
        <v>460</v>
      </c>
      <c r="K88" s="137" t="s">
        <v>792</v>
      </c>
      <c r="L88" s="226"/>
      <c r="M88" s="144"/>
      <c r="N88" s="144"/>
      <c r="O88" s="144"/>
      <c r="P88" s="144"/>
      <c r="Q88" s="144"/>
      <c r="R88" s="144"/>
      <c r="S88" s="144"/>
    </row>
    <row r="89" spans="2:19" x14ac:dyDescent="0.25">
      <c r="B89" s="222"/>
      <c r="C89" s="134" t="s">
        <v>793</v>
      </c>
      <c r="D89" s="135">
        <v>32</v>
      </c>
      <c r="E89" s="135" t="s">
        <v>794</v>
      </c>
      <c r="F89" s="135" t="s">
        <v>795</v>
      </c>
      <c r="G89" s="135" t="s">
        <v>796</v>
      </c>
      <c r="H89" s="135" t="s">
        <v>296</v>
      </c>
      <c r="I89" s="135" t="s">
        <v>325</v>
      </c>
      <c r="J89" s="135" t="s">
        <v>470</v>
      </c>
      <c r="K89" s="135" t="s">
        <v>797</v>
      </c>
      <c r="L89" s="226"/>
      <c r="M89" s="144"/>
      <c r="N89" s="144"/>
      <c r="O89" s="144"/>
      <c r="P89" s="144"/>
      <c r="Q89" s="144"/>
      <c r="R89" s="144"/>
      <c r="S89" s="144"/>
    </row>
    <row r="90" spans="2:19" x14ac:dyDescent="0.25">
      <c r="B90" s="222"/>
      <c r="C90" s="136" t="s">
        <v>798</v>
      </c>
      <c r="D90" s="137">
        <v>18</v>
      </c>
      <c r="E90" s="137" t="s">
        <v>339</v>
      </c>
      <c r="F90" s="137" t="s">
        <v>799</v>
      </c>
      <c r="G90" s="137" t="s">
        <v>800</v>
      </c>
      <c r="H90" s="137" t="s">
        <v>526</v>
      </c>
      <c r="I90" s="137" t="s">
        <v>595</v>
      </c>
      <c r="J90" s="137" t="s">
        <v>661</v>
      </c>
      <c r="K90" s="137" t="s">
        <v>801</v>
      </c>
      <c r="L90" s="226"/>
      <c r="M90" s="144"/>
      <c r="N90" s="144"/>
      <c r="O90" s="144"/>
      <c r="P90" s="144"/>
      <c r="Q90" s="144"/>
      <c r="R90" s="144"/>
      <c r="S90" s="144"/>
    </row>
    <row r="91" spans="2:19" x14ac:dyDescent="0.25">
      <c r="B91" s="222"/>
      <c r="C91" s="134" t="s">
        <v>802</v>
      </c>
      <c r="D91" s="135">
        <v>91</v>
      </c>
      <c r="E91" s="135" t="s">
        <v>365</v>
      </c>
      <c r="F91" s="135" t="s">
        <v>803</v>
      </c>
      <c r="G91" s="135" t="s">
        <v>804</v>
      </c>
      <c r="H91" s="135" t="s">
        <v>549</v>
      </c>
      <c r="I91" s="135" t="s">
        <v>805</v>
      </c>
      <c r="J91" s="135" t="s">
        <v>286</v>
      </c>
      <c r="K91" s="135" t="s">
        <v>806</v>
      </c>
      <c r="L91" s="226"/>
      <c r="M91" s="144"/>
      <c r="N91" s="144"/>
      <c r="O91" s="144"/>
      <c r="P91" s="144"/>
      <c r="Q91" s="144"/>
      <c r="R91" s="144"/>
      <c r="S91" s="144"/>
    </row>
    <row r="92" spans="2:19" x14ac:dyDescent="0.25">
      <c r="B92" s="222"/>
      <c r="C92" s="136" t="s">
        <v>807</v>
      </c>
      <c r="D92" s="137">
        <v>67</v>
      </c>
      <c r="E92" s="137" t="s">
        <v>367</v>
      </c>
      <c r="F92" s="137" t="s">
        <v>808</v>
      </c>
      <c r="G92" s="137" t="s">
        <v>809</v>
      </c>
      <c r="H92" s="137" t="s">
        <v>543</v>
      </c>
      <c r="I92" s="137" t="s">
        <v>810</v>
      </c>
      <c r="J92" s="137" t="s">
        <v>308</v>
      </c>
      <c r="K92" s="137" t="s">
        <v>811</v>
      </c>
      <c r="L92" s="226"/>
      <c r="M92" s="144"/>
      <c r="N92" s="144"/>
      <c r="O92" s="144"/>
      <c r="P92" s="144"/>
      <c r="Q92" s="144"/>
      <c r="R92" s="144"/>
      <c r="S92" s="144"/>
    </row>
    <row r="93" spans="2:19" x14ac:dyDescent="0.25">
      <c r="B93" s="222"/>
      <c r="C93" s="134" t="s">
        <v>812</v>
      </c>
      <c r="D93" s="135">
        <v>17</v>
      </c>
      <c r="E93" s="135" t="s">
        <v>813</v>
      </c>
      <c r="F93" s="135" t="s">
        <v>814</v>
      </c>
      <c r="G93" s="135" t="s">
        <v>815</v>
      </c>
      <c r="H93" s="135" t="s">
        <v>481</v>
      </c>
      <c r="I93" s="135" t="s">
        <v>524</v>
      </c>
      <c r="J93" s="135" t="s">
        <v>468</v>
      </c>
      <c r="K93" s="135" t="s">
        <v>816</v>
      </c>
      <c r="L93" s="226"/>
      <c r="M93" s="144"/>
      <c r="N93" s="144"/>
      <c r="O93" s="144"/>
      <c r="P93" s="144"/>
      <c r="Q93" s="144"/>
      <c r="R93" s="144"/>
      <c r="S93" s="144"/>
    </row>
    <row r="94" spans="2:19" x14ac:dyDescent="0.25">
      <c r="B94" s="222"/>
      <c r="C94" s="136" t="s">
        <v>817</v>
      </c>
      <c r="D94" s="137">
        <v>18</v>
      </c>
      <c r="E94" s="137" t="s">
        <v>491</v>
      </c>
      <c r="F94" s="137" t="s">
        <v>818</v>
      </c>
      <c r="G94" s="137" t="s">
        <v>819</v>
      </c>
      <c r="H94" s="137" t="s">
        <v>279</v>
      </c>
      <c r="I94" s="137" t="s">
        <v>430</v>
      </c>
      <c r="J94" s="137" t="s">
        <v>417</v>
      </c>
      <c r="K94" s="137" t="s">
        <v>820</v>
      </c>
      <c r="L94" s="226"/>
      <c r="M94" s="144"/>
      <c r="N94" s="144"/>
      <c r="O94" s="144"/>
      <c r="P94" s="144"/>
      <c r="Q94" s="144"/>
      <c r="R94" s="144"/>
      <c r="S94" s="144"/>
    </row>
    <row r="95" spans="2:19" x14ac:dyDescent="0.25">
      <c r="B95" s="222"/>
      <c r="C95" s="134" t="s">
        <v>821</v>
      </c>
      <c r="D95" s="135">
        <v>8</v>
      </c>
      <c r="E95" s="135" t="s">
        <v>822</v>
      </c>
      <c r="F95" s="135" t="s">
        <v>823</v>
      </c>
      <c r="G95" s="135" t="s">
        <v>824</v>
      </c>
      <c r="H95" s="135" t="s">
        <v>825</v>
      </c>
      <c r="I95" s="135" t="s">
        <v>826</v>
      </c>
      <c r="J95" s="135" t="s">
        <v>827</v>
      </c>
      <c r="K95" s="135" t="s">
        <v>828</v>
      </c>
      <c r="L95" s="226"/>
      <c r="M95" s="144"/>
      <c r="N95" s="144"/>
      <c r="O95" s="144"/>
      <c r="P95" s="144"/>
      <c r="Q95" s="144"/>
      <c r="R95" s="144"/>
      <c r="S95" s="144"/>
    </row>
    <row r="96" spans="2:19" x14ac:dyDescent="0.25">
      <c r="B96" s="222"/>
      <c r="C96" s="136" t="s">
        <v>829</v>
      </c>
      <c r="D96" s="137">
        <v>33</v>
      </c>
      <c r="E96" s="137" t="s">
        <v>411</v>
      </c>
      <c r="F96" s="137" t="s">
        <v>830</v>
      </c>
      <c r="G96" s="137" t="s">
        <v>831</v>
      </c>
      <c r="H96" s="137" t="s">
        <v>417</v>
      </c>
      <c r="I96" s="137" t="s">
        <v>832</v>
      </c>
      <c r="J96" s="137" t="s">
        <v>291</v>
      </c>
      <c r="K96" s="137" t="s">
        <v>634</v>
      </c>
      <c r="L96" s="226"/>
      <c r="M96" s="144"/>
      <c r="N96" s="144"/>
      <c r="O96" s="144"/>
      <c r="P96" s="144"/>
      <c r="Q96" s="144"/>
      <c r="R96" s="144"/>
      <c r="S96" s="144"/>
    </row>
    <row r="97" spans="2:19" x14ac:dyDescent="0.25">
      <c r="B97" s="222"/>
      <c r="C97" s="134" t="s">
        <v>833</v>
      </c>
      <c r="D97" s="135">
        <v>16</v>
      </c>
      <c r="E97" s="135" t="s">
        <v>742</v>
      </c>
      <c r="F97" s="135" t="s">
        <v>834</v>
      </c>
      <c r="G97" s="135" t="s">
        <v>835</v>
      </c>
      <c r="H97" s="135" t="s">
        <v>836</v>
      </c>
      <c r="I97" s="135" t="s">
        <v>837</v>
      </c>
      <c r="J97" s="135" t="s">
        <v>836</v>
      </c>
      <c r="K97" s="135" t="s">
        <v>838</v>
      </c>
      <c r="L97" s="226"/>
      <c r="M97" s="144"/>
      <c r="N97" s="144"/>
      <c r="O97" s="144"/>
      <c r="P97" s="144"/>
      <c r="Q97" s="144"/>
      <c r="R97" s="144"/>
      <c r="S97" s="144"/>
    </row>
    <row r="98" spans="2:19" x14ac:dyDescent="0.25">
      <c r="B98" s="222"/>
      <c r="C98" s="136" t="s">
        <v>839</v>
      </c>
      <c r="D98" s="137">
        <v>17</v>
      </c>
      <c r="E98" s="137" t="s">
        <v>416</v>
      </c>
      <c r="F98" s="137" t="s">
        <v>840</v>
      </c>
      <c r="G98" s="137" t="s">
        <v>841</v>
      </c>
      <c r="H98" s="137" t="s">
        <v>390</v>
      </c>
      <c r="I98" s="137" t="s">
        <v>705</v>
      </c>
      <c r="J98" s="137" t="s">
        <v>352</v>
      </c>
      <c r="K98" s="137" t="s">
        <v>842</v>
      </c>
      <c r="L98" s="226"/>
      <c r="M98" s="144"/>
      <c r="N98" s="144"/>
      <c r="O98" s="144"/>
      <c r="P98" s="144"/>
      <c r="Q98" s="144"/>
      <c r="R98" s="144"/>
      <c r="S98" s="144"/>
    </row>
    <row r="99" spans="2:19" x14ac:dyDescent="0.25">
      <c r="B99" s="222"/>
      <c r="C99" s="138" t="s">
        <v>843</v>
      </c>
      <c r="D99" s="139">
        <v>7053</v>
      </c>
      <c r="E99" s="139" t="s">
        <v>360</v>
      </c>
      <c r="F99" s="139" t="s">
        <v>844</v>
      </c>
      <c r="G99" s="139" t="s">
        <v>845</v>
      </c>
      <c r="H99" s="135" t="s">
        <v>549</v>
      </c>
      <c r="I99" s="139" t="s">
        <v>846</v>
      </c>
      <c r="J99" s="135" t="s">
        <v>281</v>
      </c>
      <c r="K99" s="139" t="s">
        <v>847</v>
      </c>
      <c r="L99" s="227"/>
      <c r="M99" s="145"/>
      <c r="N99" s="145"/>
      <c r="O99" s="145"/>
      <c r="P99" s="145"/>
      <c r="Q99" s="145"/>
      <c r="R99" s="145"/>
      <c r="S99" s="144"/>
    </row>
    <row r="100" spans="2:19" x14ac:dyDescent="0.25">
      <c r="B100" s="222"/>
      <c r="C100" s="140" t="s">
        <v>848</v>
      </c>
      <c r="D100" s="141">
        <v>5878</v>
      </c>
      <c r="E100" s="141" t="s">
        <v>333</v>
      </c>
      <c r="F100" s="141" t="s">
        <v>849</v>
      </c>
      <c r="G100" s="141" t="s">
        <v>850</v>
      </c>
      <c r="H100" s="137" t="s">
        <v>375</v>
      </c>
      <c r="I100" s="141" t="s">
        <v>851</v>
      </c>
      <c r="J100" s="137" t="s">
        <v>402</v>
      </c>
      <c r="K100" s="141" t="s">
        <v>563</v>
      </c>
      <c r="L100" s="227"/>
    </row>
    <row r="101" spans="2:19" x14ac:dyDescent="0.25">
      <c r="B101" s="222"/>
      <c r="C101" s="223"/>
      <c r="D101" s="223"/>
      <c r="E101" s="223"/>
      <c r="F101" s="223"/>
      <c r="G101" s="223"/>
      <c r="H101" s="223"/>
      <c r="I101" s="223"/>
      <c r="J101" s="223"/>
      <c r="K101" s="223"/>
      <c r="L101" s="224"/>
    </row>
    <row r="102" spans="2:19" x14ac:dyDescent="0.25">
      <c r="B102" s="222"/>
      <c r="C102" s="223" t="s">
        <v>852</v>
      </c>
      <c r="D102" s="223"/>
      <c r="E102" s="223"/>
      <c r="F102" s="223"/>
      <c r="G102" s="223"/>
      <c r="H102" s="223"/>
      <c r="I102" s="223"/>
      <c r="J102" s="223"/>
      <c r="K102" s="223"/>
      <c r="L102" s="224"/>
    </row>
    <row r="103" spans="2:19" ht="16.5" thickBot="1" x14ac:dyDescent="0.3">
      <c r="B103" s="228"/>
      <c r="C103" s="2"/>
      <c r="D103" s="2"/>
      <c r="E103" s="2"/>
      <c r="F103" s="2"/>
      <c r="G103" s="2"/>
      <c r="H103" s="2"/>
      <c r="I103" s="2"/>
      <c r="J103" s="2"/>
      <c r="K103" s="2"/>
      <c r="L103" s="2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F8A7-37DE-448F-9902-F5530DD56FA2}">
  <dimension ref="C2:BP35"/>
  <sheetViews>
    <sheetView showGridLines="0" showRowColHeaders="0" topLeftCell="A13" zoomScale="80" zoomScaleNormal="80" workbookViewId="0">
      <selection activeCell="P1" sqref="P1"/>
    </sheetView>
  </sheetViews>
  <sheetFormatPr baseColWidth="10" defaultRowHeight="15.75" outlineLevelCol="1" x14ac:dyDescent="0.25"/>
  <cols>
    <col min="1" max="2" width="11" style="3"/>
    <col min="3" max="3" width="47.5" style="3" bestFit="1" customWidth="1"/>
    <col min="4" max="4" width="13.75" style="3" hidden="1" customWidth="1" outlineLevel="1"/>
    <col min="5" max="15" width="13.625" style="3" hidden="1" customWidth="1" outlineLevel="1"/>
    <col min="16" max="16" width="14.375" style="3" customWidth="1" collapsed="1"/>
    <col min="17" max="17" width="12.125" style="3" hidden="1" customWidth="1" outlineLevel="1"/>
    <col min="18" max="26" width="11" style="3" hidden="1" customWidth="1" outlineLevel="1"/>
    <col min="27" max="27" width="12.375" style="3" hidden="1" customWidth="1" outlineLevel="1"/>
    <col min="28" max="28" width="11" style="3" hidden="1" customWidth="1" outlineLevel="1"/>
    <col min="29" max="29" width="13.75" style="3" customWidth="1" collapsed="1"/>
    <col min="30" max="41" width="11" style="3" hidden="1" customWidth="1" outlineLevel="1"/>
    <col min="42" max="42" width="13.25" style="3" customWidth="1" collapsed="1"/>
    <col min="43" max="54" width="11" style="3" hidden="1" customWidth="1" outlineLevel="1"/>
    <col min="55" max="55" width="13.5" style="3" customWidth="1" collapsed="1"/>
    <col min="56" max="56" width="14.875" style="3" hidden="1" customWidth="1" outlineLevel="1"/>
    <col min="57" max="65" width="11" style="3" hidden="1" customWidth="1" outlineLevel="1"/>
    <col min="66" max="66" width="13.375" style="3" hidden="1" customWidth="1" outlineLevel="1"/>
    <col min="67" max="67" width="11" style="3" hidden="1" customWidth="1" outlineLevel="1"/>
    <col min="68" max="68" width="13.375" style="3" customWidth="1" collapsed="1"/>
    <col min="69" max="16384" width="11" style="3"/>
  </cols>
  <sheetData>
    <row r="2" spans="3:68" ht="16.5" thickBot="1" x14ac:dyDescent="0.3"/>
    <row r="3" spans="3:68" ht="16.5" thickBot="1" x14ac:dyDescent="0.3">
      <c r="C3" s="605" t="s">
        <v>160</v>
      </c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  <c r="BE3" s="606"/>
      <c r="BF3" s="606"/>
      <c r="BG3" s="606"/>
      <c r="BH3" s="606"/>
      <c r="BI3" s="606"/>
      <c r="BJ3" s="606"/>
      <c r="BK3" s="606"/>
      <c r="BL3" s="606"/>
      <c r="BM3" s="606"/>
      <c r="BN3" s="606"/>
      <c r="BO3" s="606"/>
      <c r="BP3" s="607"/>
    </row>
    <row r="4" spans="3:68" ht="16.5" thickBot="1" x14ac:dyDescent="0.3">
      <c r="C4" s="22"/>
      <c r="D4" s="608">
        <v>2021</v>
      </c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10"/>
      <c r="Q4" s="614">
        <v>2022</v>
      </c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6"/>
      <c r="AD4" s="611">
        <v>2023</v>
      </c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  <c r="AP4" s="613"/>
      <c r="AQ4" s="620">
        <v>2024</v>
      </c>
      <c r="AR4" s="621"/>
      <c r="AS4" s="621"/>
      <c r="AT4" s="621"/>
      <c r="AU4" s="621"/>
      <c r="AV4" s="621"/>
      <c r="AW4" s="621"/>
      <c r="AX4" s="621"/>
      <c r="AY4" s="621"/>
      <c r="AZ4" s="621"/>
      <c r="BA4" s="621"/>
      <c r="BB4" s="621"/>
      <c r="BC4" s="622"/>
      <c r="BD4" s="617">
        <v>2025</v>
      </c>
      <c r="BE4" s="618"/>
      <c r="BF4" s="618"/>
      <c r="BG4" s="618"/>
      <c r="BH4" s="618"/>
      <c r="BI4" s="618"/>
      <c r="BJ4" s="618"/>
      <c r="BK4" s="618"/>
      <c r="BL4" s="618"/>
      <c r="BM4" s="618"/>
      <c r="BN4" s="618"/>
      <c r="BO4" s="618"/>
      <c r="BP4" s="619"/>
    </row>
    <row r="5" spans="3:68" x14ac:dyDescent="0.25">
      <c r="C5" s="23" t="s">
        <v>79</v>
      </c>
      <c r="D5" s="24" t="s">
        <v>179</v>
      </c>
      <c r="E5" s="25" t="s">
        <v>180</v>
      </c>
      <c r="F5" s="25" t="s">
        <v>181</v>
      </c>
      <c r="G5" s="25" t="s">
        <v>182</v>
      </c>
      <c r="H5" s="25" t="s">
        <v>183</v>
      </c>
      <c r="I5" s="25" t="s">
        <v>184</v>
      </c>
      <c r="J5" s="25" t="s">
        <v>185</v>
      </c>
      <c r="K5" s="25" t="s">
        <v>186</v>
      </c>
      <c r="L5" s="25" t="s">
        <v>187</v>
      </c>
      <c r="M5" s="25" t="s">
        <v>188</v>
      </c>
      <c r="N5" s="25" t="s">
        <v>189</v>
      </c>
      <c r="O5" s="25" t="s">
        <v>190</v>
      </c>
      <c r="P5" s="26"/>
      <c r="Q5" s="24" t="s">
        <v>191</v>
      </c>
      <c r="R5" s="25" t="s">
        <v>192</v>
      </c>
      <c r="S5" s="25" t="s">
        <v>181</v>
      </c>
      <c r="T5" s="25" t="s">
        <v>182</v>
      </c>
      <c r="U5" s="25" t="s">
        <v>183</v>
      </c>
      <c r="V5" s="25" t="s">
        <v>184</v>
      </c>
      <c r="W5" s="25" t="s">
        <v>185</v>
      </c>
      <c r="X5" s="25" t="s">
        <v>186</v>
      </c>
      <c r="Y5" s="25" t="s">
        <v>187</v>
      </c>
      <c r="Z5" s="25" t="s">
        <v>188</v>
      </c>
      <c r="AA5" s="25" t="s">
        <v>189</v>
      </c>
      <c r="AB5" s="25" t="s">
        <v>190</v>
      </c>
      <c r="AC5" s="26"/>
      <c r="AD5" s="24" t="s">
        <v>191</v>
      </c>
      <c r="AE5" s="25" t="s">
        <v>192</v>
      </c>
      <c r="AF5" s="25" t="s">
        <v>181</v>
      </c>
      <c r="AG5" s="25" t="s">
        <v>182</v>
      </c>
      <c r="AH5" s="25" t="s">
        <v>183</v>
      </c>
      <c r="AI5" s="25" t="s">
        <v>184</v>
      </c>
      <c r="AJ5" s="25" t="s">
        <v>185</v>
      </c>
      <c r="AK5" s="25" t="s">
        <v>186</v>
      </c>
      <c r="AL5" s="25" t="s">
        <v>187</v>
      </c>
      <c r="AM5" s="25" t="s">
        <v>188</v>
      </c>
      <c r="AN5" s="25" t="s">
        <v>189</v>
      </c>
      <c r="AO5" s="25" t="s">
        <v>190</v>
      </c>
      <c r="AP5" s="26"/>
      <c r="AQ5" s="24" t="s">
        <v>191</v>
      </c>
      <c r="AR5" s="25" t="s">
        <v>192</v>
      </c>
      <c r="AS5" s="25" t="s">
        <v>181</v>
      </c>
      <c r="AT5" s="25" t="s">
        <v>182</v>
      </c>
      <c r="AU5" s="25" t="s">
        <v>183</v>
      </c>
      <c r="AV5" s="25" t="s">
        <v>184</v>
      </c>
      <c r="AW5" s="25" t="s">
        <v>185</v>
      </c>
      <c r="AX5" s="25" t="s">
        <v>186</v>
      </c>
      <c r="AY5" s="25" t="s">
        <v>187</v>
      </c>
      <c r="AZ5" s="25" t="s">
        <v>188</v>
      </c>
      <c r="BA5" s="25" t="s">
        <v>189</v>
      </c>
      <c r="BB5" s="25" t="s">
        <v>190</v>
      </c>
      <c r="BC5" s="26"/>
      <c r="BD5" s="24" t="s">
        <v>191</v>
      </c>
      <c r="BE5" s="25" t="s">
        <v>192</v>
      </c>
      <c r="BF5" s="25" t="s">
        <v>181</v>
      </c>
      <c r="BG5" s="25" t="s">
        <v>182</v>
      </c>
      <c r="BH5" s="25" t="s">
        <v>183</v>
      </c>
      <c r="BI5" s="25" t="s">
        <v>184</v>
      </c>
      <c r="BJ5" s="25" t="s">
        <v>185</v>
      </c>
      <c r="BK5" s="25" t="s">
        <v>186</v>
      </c>
      <c r="BL5" s="25" t="s">
        <v>187</v>
      </c>
      <c r="BM5" s="25" t="s">
        <v>188</v>
      </c>
      <c r="BN5" s="25" t="s">
        <v>189</v>
      </c>
      <c r="BO5" s="25" t="s">
        <v>190</v>
      </c>
      <c r="BP5" s="26"/>
    </row>
    <row r="6" spans="3:68" x14ac:dyDescent="0.25">
      <c r="C6" s="22" t="s">
        <v>166</v>
      </c>
      <c r="D6" s="27">
        <v>1500000</v>
      </c>
      <c r="E6" s="28">
        <f t="shared" ref="E6:J6" si="0">+D6</f>
        <v>1500000</v>
      </c>
      <c r="F6" s="28">
        <f t="shared" si="0"/>
        <v>1500000</v>
      </c>
      <c r="G6" s="28">
        <f t="shared" si="0"/>
        <v>1500000</v>
      </c>
      <c r="H6" s="28">
        <f t="shared" si="0"/>
        <v>1500000</v>
      </c>
      <c r="I6" s="28">
        <f t="shared" si="0"/>
        <v>1500000</v>
      </c>
      <c r="J6" s="28">
        <f t="shared" si="0"/>
        <v>1500000</v>
      </c>
      <c r="K6" s="28">
        <f t="shared" ref="K6:O6" si="1">+J6</f>
        <v>1500000</v>
      </c>
      <c r="L6" s="28">
        <f t="shared" si="1"/>
        <v>1500000</v>
      </c>
      <c r="M6" s="28">
        <f t="shared" si="1"/>
        <v>1500000</v>
      </c>
      <c r="N6" s="28">
        <f t="shared" si="1"/>
        <v>1500000</v>
      </c>
      <c r="O6" s="28">
        <f t="shared" si="1"/>
        <v>1500000</v>
      </c>
      <c r="P6" s="29">
        <f>SUM(D6:O6)</f>
        <v>18000000</v>
      </c>
      <c r="Q6" s="30">
        <f>+D6+(D6*'DATOS '!$F$18)</f>
        <v>1549200</v>
      </c>
      <c r="R6" s="31">
        <f>+E6+(E6*'DATOS '!$F$18)</f>
        <v>1549200</v>
      </c>
      <c r="S6" s="31">
        <f>+F6+(F6*'DATOS '!$F$18)</f>
        <v>1549200</v>
      </c>
      <c r="T6" s="31">
        <f>+G6+(G6*'DATOS '!$F$18)</f>
        <v>1549200</v>
      </c>
      <c r="U6" s="31">
        <f>+H6+(H6*'DATOS '!$F$18)</f>
        <v>1549200</v>
      </c>
      <c r="V6" s="31">
        <f>+I6+(I6*'DATOS '!$F$18)</f>
        <v>1549200</v>
      </c>
      <c r="W6" s="31">
        <f>+J6+(J6*'DATOS '!$F$18)</f>
        <v>1549200</v>
      </c>
      <c r="X6" s="31">
        <f>+K6+(K6*'DATOS '!$F$18)</f>
        <v>1549200</v>
      </c>
      <c r="Y6" s="31">
        <f>+L6+(L6*'DATOS '!$F$18)</f>
        <v>1549200</v>
      </c>
      <c r="Z6" s="31">
        <f>+M6+(M6*'DATOS '!$F$18)</f>
        <v>1549200</v>
      </c>
      <c r="AA6" s="31">
        <f>+N6+(N6*'DATOS '!$F$18)</f>
        <v>1549200</v>
      </c>
      <c r="AB6" s="31">
        <f>+O6+(O6*'DATOS '!$F$18)</f>
        <v>1549200</v>
      </c>
      <c r="AC6" s="32">
        <f>SUM(Q6:AB6)</f>
        <v>18590400</v>
      </c>
      <c r="AD6" s="30">
        <f>+Q6+(Q6*'DATOS '!$G$18)</f>
        <v>1601872.8</v>
      </c>
      <c r="AE6" s="31">
        <f>+R6+(R6*'DATOS '!$G$18)</f>
        <v>1601872.8</v>
      </c>
      <c r="AF6" s="31">
        <f>+S6+(S6*'DATOS '!$G$18)</f>
        <v>1601872.8</v>
      </c>
      <c r="AG6" s="31">
        <f>+T6+(T6*'DATOS '!$G$18)</f>
        <v>1601872.8</v>
      </c>
      <c r="AH6" s="31">
        <f>+U6+(U6*'DATOS '!$G$18)</f>
        <v>1601872.8</v>
      </c>
      <c r="AI6" s="31">
        <f>+V6+(V6*'DATOS '!$G$18)</f>
        <v>1601872.8</v>
      </c>
      <c r="AJ6" s="31">
        <f>+W6+(W6*'DATOS '!$G$18)</f>
        <v>1601872.8</v>
      </c>
      <c r="AK6" s="31">
        <f>+X6+(X6*'DATOS '!$G$18)</f>
        <v>1601872.8</v>
      </c>
      <c r="AL6" s="31">
        <f>+Y6+(Y6*'DATOS '!$G$18)</f>
        <v>1601872.8</v>
      </c>
      <c r="AM6" s="31">
        <f>+Z6+(Z6*'DATOS '!$G$18)</f>
        <v>1601872.8</v>
      </c>
      <c r="AN6" s="31">
        <f>+AA6+(AA6*'DATOS '!$G$18)</f>
        <v>1601872.8</v>
      </c>
      <c r="AO6" s="31">
        <f>+AB6+(AB6*'DATOS '!$G$18)</f>
        <v>1601872.8</v>
      </c>
      <c r="AP6" s="32">
        <f>SUM(AD6:AO6)</f>
        <v>19222473.600000005</v>
      </c>
      <c r="AQ6" s="30">
        <f>+AD6+(AD6*'DATOS '!$H$18)</f>
        <v>1659540.2208</v>
      </c>
      <c r="AR6" s="31">
        <f>+AE6+(AE6*'DATOS '!$H$18)</f>
        <v>1659540.2208</v>
      </c>
      <c r="AS6" s="31">
        <f>+AF6+(AF6*'DATOS '!$H$18)</f>
        <v>1659540.2208</v>
      </c>
      <c r="AT6" s="31">
        <f>+AG6+(AG6*'DATOS '!$H$18)</f>
        <v>1659540.2208</v>
      </c>
      <c r="AU6" s="31">
        <f>+AH6+(AH6*'DATOS '!$H$18)</f>
        <v>1659540.2208</v>
      </c>
      <c r="AV6" s="31">
        <f>+AI6+(AI6*'DATOS '!$H$18)</f>
        <v>1659540.2208</v>
      </c>
      <c r="AW6" s="31">
        <f>+AJ6+(AJ6*'DATOS '!$H$18)</f>
        <v>1659540.2208</v>
      </c>
      <c r="AX6" s="31">
        <f>+AK6+(AK6*'DATOS '!$H$18)</f>
        <v>1659540.2208</v>
      </c>
      <c r="AY6" s="31">
        <f>+AL6+(AL6*'DATOS '!$H$18)</f>
        <v>1659540.2208</v>
      </c>
      <c r="AZ6" s="31">
        <f>+AM6+(AM6*'DATOS '!$H$18)</f>
        <v>1659540.2208</v>
      </c>
      <c r="BA6" s="31">
        <f>+AN6+(AN6*'DATOS '!$H$18)</f>
        <v>1659540.2208</v>
      </c>
      <c r="BB6" s="31">
        <f>+AO6+(AO6*'DATOS '!$H$18)</f>
        <v>1659540.2208</v>
      </c>
      <c r="BC6" s="32">
        <f>SUM(AQ6:BB6)</f>
        <v>19914482.649599999</v>
      </c>
      <c r="BD6" s="30">
        <f>+AQ6+(AQ6*'DATOS '!$I$18)</f>
        <v>1719283.6687487999</v>
      </c>
      <c r="BE6" s="31">
        <f>+AR6+(AR6*'DATOS '!$I$18)</f>
        <v>1719283.6687487999</v>
      </c>
      <c r="BF6" s="31">
        <f>+AS6+(AS6*'DATOS '!$I$18)</f>
        <v>1719283.6687487999</v>
      </c>
      <c r="BG6" s="31">
        <f>+AT6+(AT6*'DATOS '!$I$18)</f>
        <v>1719283.6687487999</v>
      </c>
      <c r="BH6" s="31">
        <f>+AU6+(AU6*'DATOS '!$I$18)</f>
        <v>1719283.6687487999</v>
      </c>
      <c r="BI6" s="31">
        <f>+AV6+(AV6*'DATOS '!$I$18)</f>
        <v>1719283.6687487999</v>
      </c>
      <c r="BJ6" s="31">
        <f>+AW6+(AW6*'DATOS '!$I$18)</f>
        <v>1719283.6687487999</v>
      </c>
      <c r="BK6" s="31">
        <f>+AX6+(AX6*'DATOS '!$I$18)</f>
        <v>1719283.6687487999</v>
      </c>
      <c r="BL6" s="31">
        <f>+AY6+(AY6*'DATOS '!$I$18)</f>
        <v>1719283.6687487999</v>
      </c>
      <c r="BM6" s="31">
        <f>+AZ6+(AZ6*'DATOS '!$I$18)</f>
        <v>1719283.6687487999</v>
      </c>
      <c r="BN6" s="31">
        <f>+BA6+(BA6*'DATOS '!$I$18)</f>
        <v>1719283.6687487999</v>
      </c>
      <c r="BO6" s="31">
        <f>+BB6+(BB6*'DATOS '!$I$18)</f>
        <v>1719283.6687487999</v>
      </c>
      <c r="BP6" s="32">
        <f>SUM(BD6:BO6)</f>
        <v>20631404.0249856</v>
      </c>
    </row>
    <row r="7" spans="3:68" x14ac:dyDescent="0.25">
      <c r="C7" s="22" t="s">
        <v>167</v>
      </c>
      <c r="D7" s="27">
        <f>+(D6*50%)/12</f>
        <v>62500</v>
      </c>
      <c r="E7" s="28">
        <f t="shared" ref="E7:O7" si="2">+(E6*50%)/12</f>
        <v>62500</v>
      </c>
      <c r="F7" s="28">
        <f t="shared" si="2"/>
        <v>62500</v>
      </c>
      <c r="G7" s="28">
        <f t="shared" si="2"/>
        <v>62500</v>
      </c>
      <c r="H7" s="28">
        <f t="shared" si="2"/>
        <v>62500</v>
      </c>
      <c r="I7" s="28">
        <f t="shared" si="2"/>
        <v>62500</v>
      </c>
      <c r="J7" s="28">
        <f t="shared" si="2"/>
        <v>62500</v>
      </c>
      <c r="K7" s="28">
        <f t="shared" si="2"/>
        <v>62500</v>
      </c>
      <c r="L7" s="28">
        <f t="shared" si="2"/>
        <v>62500</v>
      </c>
      <c r="M7" s="28">
        <f t="shared" si="2"/>
        <v>62500</v>
      </c>
      <c r="N7" s="28">
        <f t="shared" si="2"/>
        <v>62500</v>
      </c>
      <c r="O7" s="28">
        <f t="shared" si="2"/>
        <v>62500</v>
      </c>
      <c r="P7" s="29">
        <f t="shared" ref="P7:P11" si="3">SUM(D7:O7)</f>
        <v>750000</v>
      </c>
      <c r="Q7" s="30">
        <f>+D7+(D7*'DATOS '!$F$18)</f>
        <v>64550</v>
      </c>
      <c r="R7" s="31">
        <f>+E7+(E7*'DATOS '!$F$18)</f>
        <v>64550</v>
      </c>
      <c r="S7" s="31">
        <f>+F7+(F7*'DATOS '!$F$18)</f>
        <v>64550</v>
      </c>
      <c r="T7" s="31">
        <f>+G7+(G7*'DATOS '!$F$18)</f>
        <v>64550</v>
      </c>
      <c r="U7" s="31">
        <f>+H7+(H7*'DATOS '!$F$18)</f>
        <v>64550</v>
      </c>
      <c r="V7" s="31">
        <f>+I7+(I7*'DATOS '!$F$18)</f>
        <v>64550</v>
      </c>
      <c r="W7" s="31">
        <f>+J7+(J7*'DATOS '!$F$18)</f>
        <v>64550</v>
      </c>
      <c r="X7" s="31">
        <f>+K7+(K7*'DATOS '!$F$18)</f>
        <v>64550</v>
      </c>
      <c r="Y7" s="31">
        <f>+L7+(L7*'DATOS '!$F$18)</f>
        <v>64550</v>
      </c>
      <c r="Z7" s="31">
        <f>+M7+(M7*'DATOS '!$F$18)</f>
        <v>64550</v>
      </c>
      <c r="AA7" s="31">
        <f>+N7+(N7*'DATOS '!$F$18)</f>
        <v>64550</v>
      </c>
      <c r="AB7" s="31">
        <f>+O7+(O7*'DATOS '!$F$18)</f>
        <v>64550</v>
      </c>
      <c r="AC7" s="32">
        <f t="shared" ref="AC7:AC13" si="4">SUM(Q7:AB7)</f>
        <v>774600</v>
      </c>
      <c r="AD7" s="30">
        <f>+Q7+(Q7*'DATOS '!$G$18)</f>
        <v>66744.7</v>
      </c>
      <c r="AE7" s="31">
        <f>+R7+(R7*'DATOS '!$G$18)</f>
        <v>66744.7</v>
      </c>
      <c r="AF7" s="31">
        <f>+S7+(S7*'DATOS '!$G$18)</f>
        <v>66744.7</v>
      </c>
      <c r="AG7" s="31">
        <f>+T7+(T7*'DATOS '!$G$18)</f>
        <v>66744.7</v>
      </c>
      <c r="AH7" s="31">
        <f>+U7+(U7*'DATOS '!$G$18)</f>
        <v>66744.7</v>
      </c>
      <c r="AI7" s="31">
        <f>+V7+(V7*'DATOS '!$G$18)</f>
        <v>66744.7</v>
      </c>
      <c r="AJ7" s="31">
        <f>+W7+(W7*'DATOS '!$G$18)</f>
        <v>66744.7</v>
      </c>
      <c r="AK7" s="31">
        <f>+X7+(X7*'DATOS '!$G$18)</f>
        <v>66744.7</v>
      </c>
      <c r="AL7" s="31">
        <f>+Y7+(Y7*'DATOS '!$G$18)</f>
        <v>66744.7</v>
      </c>
      <c r="AM7" s="31">
        <f>+Z7+(Z7*'DATOS '!$G$18)</f>
        <v>66744.7</v>
      </c>
      <c r="AN7" s="31">
        <f>+AA7+(AA7*'DATOS '!$G$18)</f>
        <v>66744.7</v>
      </c>
      <c r="AO7" s="31">
        <f>+AB7+(AB7*'DATOS '!$G$18)</f>
        <v>66744.7</v>
      </c>
      <c r="AP7" s="32">
        <f t="shared" ref="AP7:AP13" si="5">SUM(AD7:AO7)</f>
        <v>800936.39999999979</v>
      </c>
      <c r="AQ7" s="30">
        <f>+AD7+(AD7*'DATOS '!$H$18)</f>
        <v>69147.5092</v>
      </c>
      <c r="AR7" s="31">
        <f>+AE7+(AE7*'DATOS '!$H$18)</f>
        <v>69147.5092</v>
      </c>
      <c r="AS7" s="31">
        <f>+AF7+(AF7*'DATOS '!$H$18)</f>
        <v>69147.5092</v>
      </c>
      <c r="AT7" s="31">
        <f>+AG7+(AG7*'DATOS '!$H$18)</f>
        <v>69147.5092</v>
      </c>
      <c r="AU7" s="31">
        <f>+AH7+(AH7*'DATOS '!$H$18)</f>
        <v>69147.5092</v>
      </c>
      <c r="AV7" s="31">
        <f>+AI7+(AI7*'DATOS '!$H$18)</f>
        <v>69147.5092</v>
      </c>
      <c r="AW7" s="31">
        <f>+AJ7+(AJ7*'DATOS '!$H$18)</f>
        <v>69147.5092</v>
      </c>
      <c r="AX7" s="31">
        <f>+AK7+(AK7*'DATOS '!$H$18)</f>
        <v>69147.5092</v>
      </c>
      <c r="AY7" s="31">
        <f>+AL7+(AL7*'DATOS '!$H$18)</f>
        <v>69147.5092</v>
      </c>
      <c r="AZ7" s="31">
        <f>+AM7+(AM7*'DATOS '!$H$18)</f>
        <v>69147.5092</v>
      </c>
      <c r="BA7" s="31">
        <f>+AN7+(AN7*'DATOS '!$H$18)</f>
        <v>69147.5092</v>
      </c>
      <c r="BB7" s="31">
        <f>+AO7+(AO7*'DATOS '!$H$18)</f>
        <v>69147.5092</v>
      </c>
      <c r="BC7" s="32">
        <f t="shared" ref="BC7:BC13" si="6">SUM(AQ7:BB7)</f>
        <v>829770.11039999977</v>
      </c>
      <c r="BD7" s="30">
        <f>+AQ7+(AQ7*'DATOS '!$I$18)</f>
        <v>71636.819531200003</v>
      </c>
      <c r="BE7" s="31">
        <f>+AR7+(AR7*'DATOS '!$I$18)</f>
        <v>71636.819531200003</v>
      </c>
      <c r="BF7" s="31">
        <f>+AS7+(AS7*'DATOS '!$I$18)</f>
        <v>71636.819531200003</v>
      </c>
      <c r="BG7" s="31">
        <f>+AT7+(AT7*'DATOS '!$I$18)</f>
        <v>71636.819531200003</v>
      </c>
      <c r="BH7" s="31">
        <f>+AU7+(AU7*'DATOS '!$I$18)</f>
        <v>71636.819531200003</v>
      </c>
      <c r="BI7" s="31">
        <f>+AV7+(AV7*'DATOS '!$I$18)</f>
        <v>71636.819531200003</v>
      </c>
      <c r="BJ7" s="31">
        <f>+AW7+(AW7*'DATOS '!$I$18)</f>
        <v>71636.819531200003</v>
      </c>
      <c r="BK7" s="31">
        <f>+AX7+(AX7*'DATOS '!$I$18)</f>
        <v>71636.819531200003</v>
      </c>
      <c r="BL7" s="31">
        <f>+AY7+(AY7*'DATOS '!$I$18)</f>
        <v>71636.819531200003</v>
      </c>
      <c r="BM7" s="31">
        <f>+AZ7+(AZ7*'DATOS '!$I$18)</f>
        <v>71636.819531200003</v>
      </c>
      <c r="BN7" s="31">
        <f>+BA7+(BA7*'DATOS '!$I$18)</f>
        <v>71636.819531200003</v>
      </c>
      <c r="BO7" s="31">
        <f>+BB7+(BB7*'DATOS '!$I$18)</f>
        <v>71636.819531200003</v>
      </c>
      <c r="BP7" s="32">
        <f t="shared" ref="BP7:BP13" si="7">SUM(BD7:BO7)</f>
        <v>859641.83437439997</v>
      </c>
    </row>
    <row r="8" spans="3:68" x14ac:dyDescent="0.25">
      <c r="C8" s="22" t="s">
        <v>168</v>
      </c>
      <c r="D8" s="27">
        <v>500000</v>
      </c>
      <c r="E8" s="28">
        <v>500000</v>
      </c>
      <c r="F8" s="28">
        <v>500000</v>
      </c>
      <c r="G8" s="28">
        <v>500000</v>
      </c>
      <c r="H8" s="28">
        <v>500000</v>
      </c>
      <c r="I8" s="28">
        <v>500000</v>
      </c>
      <c r="J8" s="28">
        <v>500000</v>
      </c>
      <c r="K8" s="28">
        <v>500000</v>
      </c>
      <c r="L8" s="28">
        <v>500000</v>
      </c>
      <c r="M8" s="28">
        <v>500000</v>
      </c>
      <c r="N8" s="28">
        <v>500000</v>
      </c>
      <c r="O8" s="28">
        <v>500000</v>
      </c>
      <c r="P8" s="29">
        <f t="shared" si="3"/>
        <v>6000000</v>
      </c>
      <c r="Q8" s="30">
        <f>+D8+(D8*'DATOS '!$F$18)</f>
        <v>516400</v>
      </c>
      <c r="R8" s="31">
        <f>+E8+(E8*'DATOS '!$F$18)</f>
        <v>516400</v>
      </c>
      <c r="S8" s="31">
        <f>+F8+(F8*'DATOS '!$F$18)</f>
        <v>516400</v>
      </c>
      <c r="T8" s="31">
        <f>+G8+(G8*'DATOS '!$F$18)</f>
        <v>516400</v>
      </c>
      <c r="U8" s="31">
        <f>+H8+(H8*'DATOS '!$F$18)</f>
        <v>516400</v>
      </c>
      <c r="V8" s="31">
        <f>+I8+(I8*'DATOS '!$F$18)</f>
        <v>516400</v>
      </c>
      <c r="W8" s="31">
        <f>+J8+(J8*'DATOS '!$F$18)</f>
        <v>516400</v>
      </c>
      <c r="X8" s="31">
        <f>+K8+(K8*'DATOS '!$F$18)</f>
        <v>516400</v>
      </c>
      <c r="Y8" s="31">
        <f>+L8+(L8*'DATOS '!$F$18)</f>
        <v>516400</v>
      </c>
      <c r="Z8" s="31">
        <f>+M8+(M8*'DATOS '!$F$18)</f>
        <v>516400</v>
      </c>
      <c r="AA8" s="31">
        <f>+N8+(N8*'DATOS '!$F$18)</f>
        <v>516400</v>
      </c>
      <c r="AB8" s="31">
        <f>+O8+(O8*'DATOS '!$F$18)</f>
        <v>516400</v>
      </c>
      <c r="AC8" s="32">
        <f t="shared" si="4"/>
        <v>6196800</v>
      </c>
      <c r="AD8" s="30">
        <f>+Q8+(Q8*'DATOS '!$G$18)</f>
        <v>533957.6</v>
      </c>
      <c r="AE8" s="31">
        <f>+R8+(R8*'DATOS '!$G$18)</f>
        <v>533957.6</v>
      </c>
      <c r="AF8" s="31">
        <f>+S8+(S8*'DATOS '!$G$18)</f>
        <v>533957.6</v>
      </c>
      <c r="AG8" s="31">
        <f>+T8+(T8*'DATOS '!$G$18)</f>
        <v>533957.6</v>
      </c>
      <c r="AH8" s="31">
        <f>+U8+(U8*'DATOS '!$G$18)</f>
        <v>533957.6</v>
      </c>
      <c r="AI8" s="31">
        <f>+V8+(V8*'DATOS '!$G$18)</f>
        <v>533957.6</v>
      </c>
      <c r="AJ8" s="31">
        <f>+W8+(W8*'DATOS '!$G$18)</f>
        <v>533957.6</v>
      </c>
      <c r="AK8" s="31">
        <f>+X8+(X8*'DATOS '!$G$18)</f>
        <v>533957.6</v>
      </c>
      <c r="AL8" s="31">
        <f>+Y8+(Y8*'DATOS '!$G$18)</f>
        <v>533957.6</v>
      </c>
      <c r="AM8" s="31">
        <f>+Z8+(Z8*'DATOS '!$G$18)</f>
        <v>533957.6</v>
      </c>
      <c r="AN8" s="31">
        <f>+AA8+(AA8*'DATOS '!$G$18)</f>
        <v>533957.6</v>
      </c>
      <c r="AO8" s="31">
        <f>+AB8+(AB8*'DATOS '!$G$18)</f>
        <v>533957.6</v>
      </c>
      <c r="AP8" s="32">
        <f t="shared" si="5"/>
        <v>6407491.1999999983</v>
      </c>
      <c r="AQ8" s="30">
        <f>+AD8+(AD8*'DATOS '!$H$18)</f>
        <v>553180.0736</v>
      </c>
      <c r="AR8" s="31">
        <f>+AE8+(AE8*'DATOS '!$H$18)</f>
        <v>553180.0736</v>
      </c>
      <c r="AS8" s="31">
        <f>+AF8+(AF8*'DATOS '!$H$18)</f>
        <v>553180.0736</v>
      </c>
      <c r="AT8" s="31">
        <f>+AG8+(AG8*'DATOS '!$H$18)</f>
        <v>553180.0736</v>
      </c>
      <c r="AU8" s="31">
        <f>+AH8+(AH8*'DATOS '!$H$18)</f>
        <v>553180.0736</v>
      </c>
      <c r="AV8" s="31">
        <f>+AI8+(AI8*'DATOS '!$H$18)</f>
        <v>553180.0736</v>
      </c>
      <c r="AW8" s="31">
        <f>+AJ8+(AJ8*'DATOS '!$H$18)</f>
        <v>553180.0736</v>
      </c>
      <c r="AX8" s="31">
        <f>+AK8+(AK8*'DATOS '!$H$18)</f>
        <v>553180.0736</v>
      </c>
      <c r="AY8" s="31">
        <f>+AL8+(AL8*'DATOS '!$H$18)</f>
        <v>553180.0736</v>
      </c>
      <c r="AZ8" s="31">
        <f>+AM8+(AM8*'DATOS '!$H$18)</f>
        <v>553180.0736</v>
      </c>
      <c r="BA8" s="31">
        <f>+AN8+(AN8*'DATOS '!$H$18)</f>
        <v>553180.0736</v>
      </c>
      <c r="BB8" s="31">
        <f>+AO8+(AO8*'DATOS '!$H$18)</f>
        <v>553180.0736</v>
      </c>
      <c r="BC8" s="32">
        <f t="shared" si="6"/>
        <v>6638160.8831999982</v>
      </c>
      <c r="BD8" s="30">
        <f>+AQ8+(AQ8*'DATOS '!$I$18)</f>
        <v>573094.55624960002</v>
      </c>
      <c r="BE8" s="31">
        <f>+AR8+(AR8*'DATOS '!$I$18)</f>
        <v>573094.55624960002</v>
      </c>
      <c r="BF8" s="31">
        <f>+AS8+(AS8*'DATOS '!$I$18)</f>
        <v>573094.55624960002</v>
      </c>
      <c r="BG8" s="31">
        <f>+AT8+(AT8*'DATOS '!$I$18)</f>
        <v>573094.55624960002</v>
      </c>
      <c r="BH8" s="31">
        <f>+AU8+(AU8*'DATOS '!$I$18)</f>
        <v>573094.55624960002</v>
      </c>
      <c r="BI8" s="31">
        <f>+AV8+(AV8*'DATOS '!$I$18)</f>
        <v>573094.55624960002</v>
      </c>
      <c r="BJ8" s="31">
        <f>+AW8+(AW8*'DATOS '!$I$18)</f>
        <v>573094.55624960002</v>
      </c>
      <c r="BK8" s="31">
        <f>+AX8+(AX8*'DATOS '!$I$18)</f>
        <v>573094.55624960002</v>
      </c>
      <c r="BL8" s="31">
        <f>+AY8+(AY8*'DATOS '!$I$18)</f>
        <v>573094.55624960002</v>
      </c>
      <c r="BM8" s="31">
        <f>+AZ8+(AZ8*'DATOS '!$I$18)</f>
        <v>573094.55624960002</v>
      </c>
      <c r="BN8" s="31">
        <f>+BA8+(BA8*'DATOS '!$I$18)</f>
        <v>573094.55624960002</v>
      </c>
      <c r="BO8" s="31">
        <f>+BB8+(BB8*'DATOS '!$I$18)</f>
        <v>573094.55624960002</v>
      </c>
      <c r="BP8" s="32">
        <f t="shared" si="7"/>
        <v>6877134.6749951998</v>
      </c>
    </row>
    <row r="9" spans="3:68" x14ac:dyDescent="0.25">
      <c r="C9" s="22" t="s">
        <v>202</v>
      </c>
      <c r="D9" s="27">
        <f>10000000/12</f>
        <v>833333.33333333337</v>
      </c>
      <c r="E9" s="28">
        <f t="shared" ref="E9:O9" si="8">10000000/12</f>
        <v>833333.33333333337</v>
      </c>
      <c r="F9" s="28">
        <f t="shared" si="8"/>
        <v>833333.33333333337</v>
      </c>
      <c r="G9" s="28">
        <f t="shared" si="8"/>
        <v>833333.33333333337</v>
      </c>
      <c r="H9" s="28">
        <f t="shared" si="8"/>
        <v>833333.33333333337</v>
      </c>
      <c r="I9" s="28">
        <f t="shared" si="8"/>
        <v>833333.33333333337</v>
      </c>
      <c r="J9" s="28">
        <f t="shared" si="8"/>
        <v>833333.33333333337</v>
      </c>
      <c r="K9" s="28">
        <f t="shared" si="8"/>
        <v>833333.33333333337</v>
      </c>
      <c r="L9" s="28">
        <f t="shared" si="8"/>
        <v>833333.33333333337</v>
      </c>
      <c r="M9" s="28">
        <f t="shared" si="8"/>
        <v>833333.33333333337</v>
      </c>
      <c r="N9" s="28">
        <f t="shared" si="8"/>
        <v>833333.33333333337</v>
      </c>
      <c r="O9" s="28">
        <f t="shared" si="8"/>
        <v>833333.33333333337</v>
      </c>
      <c r="P9" s="29">
        <f t="shared" si="3"/>
        <v>10000000</v>
      </c>
      <c r="Q9" s="30">
        <f>+D9+(D9*'DATOS '!$F$18)</f>
        <v>860666.66666666674</v>
      </c>
      <c r="R9" s="31">
        <f>+E9+(E9*'DATOS '!$F$18)</f>
        <v>860666.66666666674</v>
      </c>
      <c r="S9" s="31">
        <f>+F9+(F9*'DATOS '!$F$18)</f>
        <v>860666.66666666674</v>
      </c>
      <c r="T9" s="31">
        <f>+G9+(G9*'DATOS '!$F$18)</f>
        <v>860666.66666666674</v>
      </c>
      <c r="U9" s="31">
        <f>+H9+(H9*'DATOS '!$F$18)</f>
        <v>860666.66666666674</v>
      </c>
      <c r="V9" s="31">
        <f>+I9+(I9*'DATOS '!$F$18)</f>
        <v>860666.66666666674</v>
      </c>
      <c r="W9" s="31">
        <f>+J9+(J9*'DATOS '!$F$18)</f>
        <v>860666.66666666674</v>
      </c>
      <c r="X9" s="31">
        <f>+K9+(K9*'DATOS '!$F$18)</f>
        <v>860666.66666666674</v>
      </c>
      <c r="Y9" s="31">
        <f>+L9+(L9*'DATOS '!$F$18)</f>
        <v>860666.66666666674</v>
      </c>
      <c r="Z9" s="31">
        <f>+M9+(M9*'DATOS '!$F$18)</f>
        <v>860666.66666666674</v>
      </c>
      <c r="AA9" s="31">
        <f>+N9+(N9*'DATOS '!$F$18)</f>
        <v>860666.66666666674</v>
      </c>
      <c r="AB9" s="31">
        <f>+O9+(O9*'DATOS '!$F$18)</f>
        <v>860666.66666666674</v>
      </c>
      <c r="AC9" s="32">
        <f t="shared" si="4"/>
        <v>10328000</v>
      </c>
      <c r="AD9" s="30">
        <f>+Q9+(Q9*'DATOS '!$G$18)</f>
        <v>889929.33333333337</v>
      </c>
      <c r="AE9" s="31">
        <f>+R9+(R9*'DATOS '!$G$18)</f>
        <v>889929.33333333337</v>
      </c>
      <c r="AF9" s="31">
        <f>+S9+(S9*'DATOS '!$G$18)</f>
        <v>889929.33333333337</v>
      </c>
      <c r="AG9" s="31">
        <f>+T9+(T9*'DATOS '!$G$18)</f>
        <v>889929.33333333337</v>
      </c>
      <c r="AH9" s="31">
        <f>+U9+(U9*'DATOS '!$G$18)</f>
        <v>889929.33333333337</v>
      </c>
      <c r="AI9" s="31">
        <f>+V9+(V9*'DATOS '!$G$18)</f>
        <v>889929.33333333337</v>
      </c>
      <c r="AJ9" s="31">
        <f>+W9+(W9*'DATOS '!$G$18)</f>
        <v>889929.33333333337</v>
      </c>
      <c r="AK9" s="31">
        <f>+X9+(X9*'DATOS '!$G$18)</f>
        <v>889929.33333333337</v>
      </c>
      <c r="AL9" s="31">
        <f>+Y9+(Y9*'DATOS '!$G$18)</f>
        <v>889929.33333333337</v>
      </c>
      <c r="AM9" s="31">
        <f>+Z9+(Z9*'DATOS '!$G$18)</f>
        <v>889929.33333333337</v>
      </c>
      <c r="AN9" s="31">
        <f>+AA9+(AA9*'DATOS '!$G$18)</f>
        <v>889929.33333333337</v>
      </c>
      <c r="AO9" s="31">
        <f>+AB9+(AB9*'DATOS '!$G$18)</f>
        <v>889929.33333333337</v>
      </c>
      <c r="AP9" s="32">
        <f t="shared" si="5"/>
        <v>10679152</v>
      </c>
      <c r="AQ9" s="30">
        <f>+AD9+(AD9*'DATOS '!$H$18)</f>
        <v>921966.78933333338</v>
      </c>
      <c r="AR9" s="31">
        <f>+AE9+(AE9*'DATOS '!$H$18)</f>
        <v>921966.78933333338</v>
      </c>
      <c r="AS9" s="31">
        <f>+AF9+(AF9*'DATOS '!$H$18)</f>
        <v>921966.78933333338</v>
      </c>
      <c r="AT9" s="31">
        <f>+AG9+(AG9*'DATOS '!$H$18)</f>
        <v>921966.78933333338</v>
      </c>
      <c r="AU9" s="31">
        <f>+AH9+(AH9*'DATOS '!$H$18)</f>
        <v>921966.78933333338</v>
      </c>
      <c r="AV9" s="31">
        <f>+AI9+(AI9*'DATOS '!$H$18)</f>
        <v>921966.78933333338</v>
      </c>
      <c r="AW9" s="31">
        <f>+AJ9+(AJ9*'DATOS '!$H$18)</f>
        <v>921966.78933333338</v>
      </c>
      <c r="AX9" s="31">
        <f>+AK9+(AK9*'DATOS '!$H$18)</f>
        <v>921966.78933333338</v>
      </c>
      <c r="AY9" s="31">
        <f>+AL9+(AL9*'DATOS '!$H$18)</f>
        <v>921966.78933333338</v>
      </c>
      <c r="AZ9" s="31">
        <f>+AM9+(AM9*'DATOS '!$H$18)</f>
        <v>921966.78933333338</v>
      </c>
      <c r="BA9" s="31">
        <f>+AN9+(AN9*'DATOS '!$H$18)</f>
        <v>921966.78933333338</v>
      </c>
      <c r="BB9" s="31">
        <f>+AO9+(AO9*'DATOS '!$H$18)</f>
        <v>921966.78933333338</v>
      </c>
      <c r="BC9" s="32">
        <f t="shared" si="6"/>
        <v>11063601.472000003</v>
      </c>
      <c r="BD9" s="30">
        <f>+AQ9+(AQ9*'DATOS '!$I$18)</f>
        <v>955157.59374933341</v>
      </c>
      <c r="BE9" s="31">
        <f>+AR9+(AR9*'DATOS '!$I$18)</f>
        <v>955157.59374933341</v>
      </c>
      <c r="BF9" s="31">
        <f>+AS9+(AS9*'DATOS '!$I$18)</f>
        <v>955157.59374933341</v>
      </c>
      <c r="BG9" s="31">
        <f>+AT9+(AT9*'DATOS '!$I$18)</f>
        <v>955157.59374933341</v>
      </c>
      <c r="BH9" s="31">
        <f>+AU9+(AU9*'DATOS '!$I$18)</f>
        <v>955157.59374933341</v>
      </c>
      <c r="BI9" s="31">
        <f>+AV9+(AV9*'DATOS '!$I$18)</f>
        <v>955157.59374933341</v>
      </c>
      <c r="BJ9" s="31">
        <f>+AW9+(AW9*'DATOS '!$I$18)</f>
        <v>955157.59374933341</v>
      </c>
      <c r="BK9" s="31">
        <f>+AX9+(AX9*'DATOS '!$I$18)</f>
        <v>955157.59374933341</v>
      </c>
      <c r="BL9" s="31">
        <f>+AY9+(AY9*'DATOS '!$I$18)</f>
        <v>955157.59374933341</v>
      </c>
      <c r="BM9" s="31">
        <f>+AZ9+(AZ9*'DATOS '!$I$18)</f>
        <v>955157.59374933341</v>
      </c>
      <c r="BN9" s="31">
        <f>+BA9+(BA9*'DATOS '!$I$18)</f>
        <v>955157.59374933341</v>
      </c>
      <c r="BO9" s="31">
        <f>+BB9+(BB9*'DATOS '!$I$18)</f>
        <v>955157.59374933341</v>
      </c>
      <c r="BP9" s="32">
        <f t="shared" si="7"/>
        <v>11461891.124992</v>
      </c>
    </row>
    <row r="10" spans="3:68" x14ac:dyDescent="0.25">
      <c r="C10" s="22" t="s">
        <v>203</v>
      </c>
      <c r="D10" s="27">
        <f>3500000/12</f>
        <v>291666.66666666669</v>
      </c>
      <c r="E10" s="28">
        <f t="shared" ref="E10:O10" si="9">3500000/12</f>
        <v>291666.66666666669</v>
      </c>
      <c r="F10" s="28">
        <f t="shared" si="9"/>
        <v>291666.66666666669</v>
      </c>
      <c r="G10" s="28">
        <f t="shared" si="9"/>
        <v>291666.66666666669</v>
      </c>
      <c r="H10" s="28">
        <f t="shared" si="9"/>
        <v>291666.66666666669</v>
      </c>
      <c r="I10" s="28">
        <f t="shared" si="9"/>
        <v>291666.66666666669</v>
      </c>
      <c r="J10" s="28">
        <f t="shared" si="9"/>
        <v>291666.66666666669</v>
      </c>
      <c r="K10" s="28">
        <f t="shared" si="9"/>
        <v>291666.66666666669</v>
      </c>
      <c r="L10" s="28">
        <f t="shared" si="9"/>
        <v>291666.66666666669</v>
      </c>
      <c r="M10" s="28">
        <f t="shared" si="9"/>
        <v>291666.66666666669</v>
      </c>
      <c r="N10" s="28">
        <f t="shared" si="9"/>
        <v>291666.66666666669</v>
      </c>
      <c r="O10" s="28">
        <f t="shared" si="9"/>
        <v>291666.66666666669</v>
      </c>
      <c r="P10" s="29">
        <f t="shared" si="3"/>
        <v>3499999.9999999995</v>
      </c>
      <c r="Q10" s="30">
        <f>+D10+(D10*'DATOS '!$F$18)</f>
        <v>301233.33333333337</v>
      </c>
      <c r="R10" s="31">
        <f>+E10+(E10*'DATOS '!$F$18)</f>
        <v>301233.33333333337</v>
      </c>
      <c r="S10" s="31">
        <f>+F10+(F10*'DATOS '!$F$18)</f>
        <v>301233.33333333337</v>
      </c>
      <c r="T10" s="31">
        <f>+G10+(G10*'DATOS '!$F$18)</f>
        <v>301233.33333333337</v>
      </c>
      <c r="U10" s="31">
        <f>+H10+(H10*'DATOS '!$F$18)</f>
        <v>301233.33333333337</v>
      </c>
      <c r="V10" s="31">
        <f>+I10+(I10*'DATOS '!$F$18)</f>
        <v>301233.33333333337</v>
      </c>
      <c r="W10" s="31">
        <f>+J10+(J10*'DATOS '!$F$18)</f>
        <v>301233.33333333337</v>
      </c>
      <c r="X10" s="31">
        <f>+K10+(K10*'DATOS '!$F$18)</f>
        <v>301233.33333333337</v>
      </c>
      <c r="Y10" s="31">
        <f>+L10+(L10*'DATOS '!$F$18)</f>
        <v>301233.33333333337</v>
      </c>
      <c r="Z10" s="31">
        <f>+M10+(M10*'DATOS '!$F$18)</f>
        <v>301233.33333333337</v>
      </c>
      <c r="AA10" s="31">
        <f>+N10+(N10*'DATOS '!$F$18)</f>
        <v>301233.33333333337</v>
      </c>
      <c r="AB10" s="31">
        <f>+O10+(O10*'DATOS '!$F$18)</f>
        <v>301233.33333333337</v>
      </c>
      <c r="AC10" s="32">
        <f t="shared" si="4"/>
        <v>3614800.0000000014</v>
      </c>
      <c r="AD10" s="30">
        <f>+Q10+(Q10*'DATOS '!$G$18)</f>
        <v>311475.26666666672</v>
      </c>
      <c r="AE10" s="31">
        <f>+R10+(R10*'DATOS '!$G$18)</f>
        <v>311475.26666666672</v>
      </c>
      <c r="AF10" s="31">
        <f>+S10+(S10*'DATOS '!$G$18)</f>
        <v>311475.26666666672</v>
      </c>
      <c r="AG10" s="31">
        <f>+T10+(T10*'DATOS '!$G$18)</f>
        <v>311475.26666666672</v>
      </c>
      <c r="AH10" s="31">
        <f>+U10+(U10*'DATOS '!$G$18)</f>
        <v>311475.26666666672</v>
      </c>
      <c r="AI10" s="31">
        <f>+V10+(V10*'DATOS '!$G$18)</f>
        <v>311475.26666666672</v>
      </c>
      <c r="AJ10" s="31">
        <f>+W10+(W10*'DATOS '!$G$18)</f>
        <v>311475.26666666672</v>
      </c>
      <c r="AK10" s="31">
        <f>+X10+(X10*'DATOS '!$G$18)</f>
        <v>311475.26666666672</v>
      </c>
      <c r="AL10" s="31">
        <f>+Y10+(Y10*'DATOS '!$G$18)</f>
        <v>311475.26666666672</v>
      </c>
      <c r="AM10" s="31">
        <f>+Z10+(Z10*'DATOS '!$G$18)</f>
        <v>311475.26666666672</v>
      </c>
      <c r="AN10" s="31">
        <f>+AA10+(AA10*'DATOS '!$G$18)</f>
        <v>311475.26666666672</v>
      </c>
      <c r="AO10" s="31">
        <f>+AB10+(AB10*'DATOS '!$G$18)</f>
        <v>311475.26666666672</v>
      </c>
      <c r="AP10" s="32">
        <f t="shared" si="5"/>
        <v>3737703.1999999997</v>
      </c>
      <c r="AQ10" s="30">
        <f>+AD10+(AD10*'DATOS '!$H$18)</f>
        <v>322688.37626666675</v>
      </c>
      <c r="AR10" s="31">
        <f>+AE10+(AE10*'DATOS '!$H$18)</f>
        <v>322688.37626666675</v>
      </c>
      <c r="AS10" s="31">
        <f>+AF10+(AF10*'DATOS '!$H$18)</f>
        <v>322688.37626666675</v>
      </c>
      <c r="AT10" s="31">
        <f>+AG10+(AG10*'DATOS '!$H$18)</f>
        <v>322688.37626666675</v>
      </c>
      <c r="AU10" s="31">
        <f>+AH10+(AH10*'DATOS '!$H$18)</f>
        <v>322688.37626666675</v>
      </c>
      <c r="AV10" s="31">
        <f>+AI10+(AI10*'DATOS '!$H$18)</f>
        <v>322688.37626666675</v>
      </c>
      <c r="AW10" s="31">
        <f>+AJ10+(AJ10*'DATOS '!$H$18)</f>
        <v>322688.37626666675</v>
      </c>
      <c r="AX10" s="31">
        <f>+AK10+(AK10*'DATOS '!$H$18)</f>
        <v>322688.37626666675</v>
      </c>
      <c r="AY10" s="31">
        <f>+AL10+(AL10*'DATOS '!$H$18)</f>
        <v>322688.37626666675</v>
      </c>
      <c r="AZ10" s="31">
        <f>+AM10+(AM10*'DATOS '!$H$18)</f>
        <v>322688.37626666675</v>
      </c>
      <c r="BA10" s="31">
        <f>+AN10+(AN10*'DATOS '!$H$18)</f>
        <v>322688.37626666675</v>
      </c>
      <c r="BB10" s="31">
        <f>+AO10+(AO10*'DATOS '!$H$18)</f>
        <v>322688.37626666675</v>
      </c>
      <c r="BC10" s="32">
        <f t="shared" si="6"/>
        <v>3872260.5152000007</v>
      </c>
      <c r="BD10" s="30">
        <f>+AQ10+(AQ10*'DATOS '!$I$18)</f>
        <v>334305.15781226673</v>
      </c>
      <c r="BE10" s="31">
        <f>+AR10+(AR10*'DATOS '!$I$18)</f>
        <v>334305.15781226673</v>
      </c>
      <c r="BF10" s="31">
        <f>+AS10+(AS10*'DATOS '!$I$18)</f>
        <v>334305.15781226673</v>
      </c>
      <c r="BG10" s="31">
        <f>+AT10+(AT10*'DATOS '!$I$18)</f>
        <v>334305.15781226673</v>
      </c>
      <c r="BH10" s="31">
        <f>+AU10+(AU10*'DATOS '!$I$18)</f>
        <v>334305.15781226673</v>
      </c>
      <c r="BI10" s="31">
        <f>+AV10+(AV10*'DATOS '!$I$18)</f>
        <v>334305.15781226673</v>
      </c>
      <c r="BJ10" s="31">
        <f>+AW10+(AW10*'DATOS '!$I$18)</f>
        <v>334305.15781226673</v>
      </c>
      <c r="BK10" s="31">
        <f>+AX10+(AX10*'DATOS '!$I$18)</f>
        <v>334305.15781226673</v>
      </c>
      <c r="BL10" s="31">
        <f>+AY10+(AY10*'DATOS '!$I$18)</f>
        <v>334305.15781226673</v>
      </c>
      <c r="BM10" s="31">
        <f>+AZ10+(AZ10*'DATOS '!$I$18)</f>
        <v>334305.15781226673</v>
      </c>
      <c r="BN10" s="31">
        <f>+BA10+(BA10*'DATOS '!$I$18)</f>
        <v>334305.15781226673</v>
      </c>
      <c r="BO10" s="31">
        <f>+BB10+(BB10*'DATOS '!$I$18)</f>
        <v>334305.15781226673</v>
      </c>
      <c r="BP10" s="32">
        <f t="shared" si="7"/>
        <v>4011661.8937471998</v>
      </c>
    </row>
    <row r="11" spans="3:68" x14ac:dyDescent="0.25">
      <c r="C11" s="22" t="s">
        <v>208</v>
      </c>
      <c r="D11" s="27">
        <f>1000000/12</f>
        <v>83333.333333333328</v>
      </c>
      <c r="E11" s="28">
        <f t="shared" ref="E11:N11" si="10">1000000/12</f>
        <v>83333.333333333328</v>
      </c>
      <c r="F11" s="28">
        <f t="shared" si="10"/>
        <v>83333.333333333328</v>
      </c>
      <c r="G11" s="28">
        <f t="shared" si="10"/>
        <v>83333.333333333328</v>
      </c>
      <c r="H11" s="28">
        <f t="shared" si="10"/>
        <v>83333.333333333328</v>
      </c>
      <c r="I11" s="28">
        <f t="shared" si="10"/>
        <v>83333.333333333328</v>
      </c>
      <c r="J11" s="28">
        <f t="shared" si="10"/>
        <v>83333.333333333328</v>
      </c>
      <c r="K11" s="28">
        <f t="shared" si="10"/>
        <v>83333.333333333328</v>
      </c>
      <c r="L11" s="28">
        <f t="shared" si="10"/>
        <v>83333.333333333328</v>
      </c>
      <c r="M11" s="28">
        <f t="shared" si="10"/>
        <v>83333.333333333328</v>
      </c>
      <c r="N11" s="28">
        <f t="shared" si="10"/>
        <v>83333.333333333328</v>
      </c>
      <c r="O11" s="28">
        <f>1000000/12</f>
        <v>83333.333333333328</v>
      </c>
      <c r="P11" s="29">
        <f t="shared" si="3"/>
        <v>1000000.0000000001</v>
      </c>
      <c r="Q11" s="30">
        <f>+D11+(D11*'DATOS '!$F$18)</f>
        <v>86066.666666666657</v>
      </c>
      <c r="R11" s="31">
        <f>+E11+(E11*'DATOS '!$F$18)</f>
        <v>86066.666666666657</v>
      </c>
      <c r="S11" s="31">
        <f>+F11+(F11*'DATOS '!$F$18)</f>
        <v>86066.666666666657</v>
      </c>
      <c r="T11" s="31">
        <f>+G11+(G11*'DATOS '!$F$18)</f>
        <v>86066.666666666657</v>
      </c>
      <c r="U11" s="31">
        <f>+H11+(H11*'DATOS '!$F$18)</f>
        <v>86066.666666666657</v>
      </c>
      <c r="V11" s="31">
        <f>+I11+(I11*'DATOS '!$F$18)</f>
        <v>86066.666666666657</v>
      </c>
      <c r="W11" s="31">
        <f>+J11+(J11*'DATOS '!$F$18)</f>
        <v>86066.666666666657</v>
      </c>
      <c r="X11" s="31">
        <f>+K11+(K11*'DATOS '!$F$18)</f>
        <v>86066.666666666657</v>
      </c>
      <c r="Y11" s="31">
        <f>+L11+(L11*'DATOS '!$F$18)</f>
        <v>86066.666666666657</v>
      </c>
      <c r="Z11" s="31">
        <f>+M11+(M11*'DATOS '!$F$18)</f>
        <v>86066.666666666657</v>
      </c>
      <c r="AA11" s="31">
        <f>+N11+(N11*'DATOS '!$F$18)</f>
        <v>86066.666666666657</v>
      </c>
      <c r="AB11" s="31">
        <f>+O11+(O11*'DATOS '!$F$18)</f>
        <v>86066.666666666657</v>
      </c>
      <c r="AC11" s="32">
        <f t="shared" si="4"/>
        <v>1032799.9999999997</v>
      </c>
      <c r="AD11" s="30">
        <f>+Q11+(Q11*'DATOS '!$G$18)</f>
        <v>88992.93333333332</v>
      </c>
      <c r="AE11" s="31">
        <f>+R11+(R11*'DATOS '!$G$18)</f>
        <v>88992.93333333332</v>
      </c>
      <c r="AF11" s="31">
        <f>+S11+(S11*'DATOS '!$G$18)</f>
        <v>88992.93333333332</v>
      </c>
      <c r="AG11" s="31">
        <f>+T11+(T11*'DATOS '!$G$18)</f>
        <v>88992.93333333332</v>
      </c>
      <c r="AH11" s="31">
        <f>+U11+(U11*'DATOS '!$G$18)</f>
        <v>88992.93333333332</v>
      </c>
      <c r="AI11" s="31">
        <f>+V11+(V11*'DATOS '!$G$18)</f>
        <v>88992.93333333332</v>
      </c>
      <c r="AJ11" s="31">
        <f>+W11+(W11*'DATOS '!$G$18)</f>
        <v>88992.93333333332</v>
      </c>
      <c r="AK11" s="31">
        <f>+X11+(X11*'DATOS '!$G$18)</f>
        <v>88992.93333333332</v>
      </c>
      <c r="AL11" s="31">
        <f>+Y11+(Y11*'DATOS '!$G$18)</f>
        <v>88992.93333333332</v>
      </c>
      <c r="AM11" s="31">
        <f>+Z11+(Z11*'DATOS '!$G$18)</f>
        <v>88992.93333333332</v>
      </c>
      <c r="AN11" s="31">
        <f>+AA11+(AA11*'DATOS '!$G$18)</f>
        <v>88992.93333333332</v>
      </c>
      <c r="AO11" s="31">
        <f>+AB11+(AB11*'DATOS '!$G$18)</f>
        <v>88992.93333333332</v>
      </c>
      <c r="AP11" s="32">
        <f t="shared" si="5"/>
        <v>1067915.2</v>
      </c>
      <c r="AQ11" s="30">
        <f>+AD11+(AD11*'DATOS '!$H$18)</f>
        <v>92196.678933333314</v>
      </c>
      <c r="AR11" s="31">
        <f>+AE11+(AE11*'DATOS '!$H$18)</f>
        <v>92196.678933333314</v>
      </c>
      <c r="AS11" s="31">
        <f>+AF11+(AF11*'DATOS '!$H$18)</f>
        <v>92196.678933333314</v>
      </c>
      <c r="AT11" s="31">
        <f>+AG11+(AG11*'DATOS '!$H$18)</f>
        <v>92196.678933333314</v>
      </c>
      <c r="AU11" s="31">
        <f>+AH11+(AH11*'DATOS '!$H$18)</f>
        <v>92196.678933333314</v>
      </c>
      <c r="AV11" s="31">
        <f>+AI11+(AI11*'DATOS '!$H$18)</f>
        <v>92196.678933333314</v>
      </c>
      <c r="AW11" s="31">
        <f>+AJ11+(AJ11*'DATOS '!$H$18)</f>
        <v>92196.678933333314</v>
      </c>
      <c r="AX11" s="31">
        <f>+AK11+(AK11*'DATOS '!$H$18)</f>
        <v>92196.678933333314</v>
      </c>
      <c r="AY11" s="31">
        <f>+AL11+(AL11*'DATOS '!$H$18)</f>
        <v>92196.678933333314</v>
      </c>
      <c r="AZ11" s="31">
        <f>+AM11+(AM11*'DATOS '!$H$18)</f>
        <v>92196.678933333314</v>
      </c>
      <c r="BA11" s="31">
        <f>+AN11+(AN11*'DATOS '!$H$18)</f>
        <v>92196.678933333314</v>
      </c>
      <c r="BB11" s="31">
        <f>+AO11+(AO11*'DATOS '!$H$18)</f>
        <v>92196.678933333314</v>
      </c>
      <c r="BC11" s="32">
        <f t="shared" si="6"/>
        <v>1106360.1472</v>
      </c>
      <c r="BD11" s="30">
        <f>+AQ11+(AQ11*'DATOS '!$I$18)</f>
        <v>95515.759374933317</v>
      </c>
      <c r="BE11" s="31">
        <f>+AR11+(AR11*'DATOS '!$I$18)</f>
        <v>95515.759374933317</v>
      </c>
      <c r="BF11" s="31">
        <f>+AS11+(AS11*'DATOS '!$I$18)</f>
        <v>95515.759374933317</v>
      </c>
      <c r="BG11" s="31">
        <f>+AT11+(AT11*'DATOS '!$I$18)</f>
        <v>95515.759374933317</v>
      </c>
      <c r="BH11" s="31">
        <f>+AU11+(AU11*'DATOS '!$I$18)</f>
        <v>95515.759374933317</v>
      </c>
      <c r="BI11" s="31">
        <f>+AV11+(AV11*'DATOS '!$I$18)</f>
        <v>95515.759374933317</v>
      </c>
      <c r="BJ11" s="31">
        <f>+AW11+(AW11*'DATOS '!$I$18)</f>
        <v>95515.759374933317</v>
      </c>
      <c r="BK11" s="31">
        <f>+AX11+(AX11*'DATOS '!$I$18)</f>
        <v>95515.759374933317</v>
      </c>
      <c r="BL11" s="31">
        <f>+AY11+(AY11*'DATOS '!$I$18)</f>
        <v>95515.759374933317</v>
      </c>
      <c r="BM11" s="31">
        <f>+AZ11+(AZ11*'DATOS '!$I$18)</f>
        <v>95515.759374933317</v>
      </c>
      <c r="BN11" s="31">
        <f>+BA11+(BA11*'DATOS '!$I$18)</f>
        <v>95515.759374933317</v>
      </c>
      <c r="BO11" s="31">
        <f>+BB11+(BB11*'DATOS '!$I$18)</f>
        <v>95515.759374933317</v>
      </c>
      <c r="BP11" s="32">
        <f t="shared" si="7"/>
        <v>1146189.1124991998</v>
      </c>
    </row>
    <row r="12" spans="3:68" x14ac:dyDescent="0.25">
      <c r="C12" s="22" t="s">
        <v>201</v>
      </c>
      <c r="D12" s="27">
        <f>2000000/12</f>
        <v>166666.66666666666</v>
      </c>
      <c r="E12" s="28">
        <f t="shared" ref="E12:O12" si="11">2000000/12</f>
        <v>166666.66666666666</v>
      </c>
      <c r="F12" s="28">
        <f t="shared" si="11"/>
        <v>166666.66666666666</v>
      </c>
      <c r="G12" s="28">
        <f t="shared" si="11"/>
        <v>166666.66666666666</v>
      </c>
      <c r="H12" s="28">
        <f t="shared" si="11"/>
        <v>166666.66666666666</v>
      </c>
      <c r="I12" s="28">
        <f t="shared" si="11"/>
        <v>166666.66666666666</v>
      </c>
      <c r="J12" s="28">
        <f t="shared" si="11"/>
        <v>166666.66666666666</v>
      </c>
      <c r="K12" s="28">
        <f t="shared" si="11"/>
        <v>166666.66666666666</v>
      </c>
      <c r="L12" s="28">
        <f t="shared" si="11"/>
        <v>166666.66666666666</v>
      </c>
      <c r="M12" s="28">
        <f t="shared" si="11"/>
        <v>166666.66666666666</v>
      </c>
      <c r="N12" s="28">
        <f t="shared" si="11"/>
        <v>166666.66666666666</v>
      </c>
      <c r="O12" s="28">
        <f t="shared" si="11"/>
        <v>166666.66666666666</v>
      </c>
      <c r="P12" s="29">
        <f t="shared" ref="P12:P13" si="12">SUM(D12:O12)</f>
        <v>2000000.0000000002</v>
      </c>
      <c r="Q12" s="30">
        <f>+D12+(D12*'DATOS '!$F$18)</f>
        <v>172133.33333333331</v>
      </c>
      <c r="R12" s="31">
        <f>+E12+(E12*'DATOS '!$F$18)</f>
        <v>172133.33333333331</v>
      </c>
      <c r="S12" s="31">
        <f>+F12+(F12*'DATOS '!$F$18)</f>
        <v>172133.33333333331</v>
      </c>
      <c r="T12" s="31">
        <f>+G12+(G12*'DATOS '!$F$18)</f>
        <v>172133.33333333331</v>
      </c>
      <c r="U12" s="31">
        <f>+H12+(H12*'DATOS '!$F$18)</f>
        <v>172133.33333333331</v>
      </c>
      <c r="V12" s="31">
        <f>+I12+(I12*'DATOS '!$F$18)</f>
        <v>172133.33333333331</v>
      </c>
      <c r="W12" s="31">
        <f>+J12+(J12*'DATOS '!$F$18)</f>
        <v>172133.33333333331</v>
      </c>
      <c r="X12" s="31">
        <f>+K12+(K12*'DATOS '!$F$18)</f>
        <v>172133.33333333331</v>
      </c>
      <c r="Y12" s="31">
        <f>+L12+(L12*'DATOS '!$F$18)</f>
        <v>172133.33333333331</v>
      </c>
      <c r="Z12" s="31">
        <f>+M12+(M12*'DATOS '!$F$18)</f>
        <v>172133.33333333331</v>
      </c>
      <c r="AA12" s="31">
        <f>+N12+(N12*'DATOS '!$F$18)</f>
        <v>172133.33333333331</v>
      </c>
      <c r="AB12" s="31">
        <f>+O12+(O12*'DATOS '!$F$18)</f>
        <v>172133.33333333331</v>
      </c>
      <c r="AC12" s="32">
        <f t="shared" si="4"/>
        <v>2065599.9999999993</v>
      </c>
      <c r="AD12" s="30">
        <f>+Q12+(Q12*'DATOS '!$G$18)</f>
        <v>177985.86666666664</v>
      </c>
      <c r="AE12" s="31">
        <f>+R12+(R12*'DATOS '!$G$18)</f>
        <v>177985.86666666664</v>
      </c>
      <c r="AF12" s="31">
        <f>+S12+(S12*'DATOS '!$G$18)</f>
        <v>177985.86666666664</v>
      </c>
      <c r="AG12" s="31">
        <f>+T12+(T12*'DATOS '!$G$18)</f>
        <v>177985.86666666664</v>
      </c>
      <c r="AH12" s="31">
        <f>+U12+(U12*'DATOS '!$G$18)</f>
        <v>177985.86666666664</v>
      </c>
      <c r="AI12" s="31">
        <f>+V12+(V12*'DATOS '!$G$18)</f>
        <v>177985.86666666664</v>
      </c>
      <c r="AJ12" s="31">
        <f>+W12+(W12*'DATOS '!$G$18)</f>
        <v>177985.86666666664</v>
      </c>
      <c r="AK12" s="31">
        <f>+X12+(X12*'DATOS '!$G$18)</f>
        <v>177985.86666666664</v>
      </c>
      <c r="AL12" s="31">
        <f>+Y12+(Y12*'DATOS '!$G$18)</f>
        <v>177985.86666666664</v>
      </c>
      <c r="AM12" s="31">
        <f>+Z12+(Z12*'DATOS '!$G$18)</f>
        <v>177985.86666666664</v>
      </c>
      <c r="AN12" s="31">
        <f>+AA12+(AA12*'DATOS '!$G$18)</f>
        <v>177985.86666666664</v>
      </c>
      <c r="AO12" s="31">
        <f>+AB12+(AB12*'DATOS '!$G$18)</f>
        <v>177985.86666666664</v>
      </c>
      <c r="AP12" s="32">
        <f t="shared" si="5"/>
        <v>2135830.4</v>
      </c>
      <c r="AQ12" s="30">
        <f>+AD12+(AD12*'DATOS '!$H$18)</f>
        <v>184393.35786666663</v>
      </c>
      <c r="AR12" s="31">
        <f>+AE12+(AE12*'DATOS '!$H$18)</f>
        <v>184393.35786666663</v>
      </c>
      <c r="AS12" s="31">
        <f>+AF12+(AF12*'DATOS '!$H$18)</f>
        <v>184393.35786666663</v>
      </c>
      <c r="AT12" s="31">
        <f>+AG12+(AG12*'DATOS '!$H$18)</f>
        <v>184393.35786666663</v>
      </c>
      <c r="AU12" s="31">
        <f>+AH12+(AH12*'DATOS '!$H$18)</f>
        <v>184393.35786666663</v>
      </c>
      <c r="AV12" s="31">
        <f>+AI12+(AI12*'DATOS '!$H$18)</f>
        <v>184393.35786666663</v>
      </c>
      <c r="AW12" s="31">
        <f>+AJ12+(AJ12*'DATOS '!$H$18)</f>
        <v>184393.35786666663</v>
      </c>
      <c r="AX12" s="31">
        <f>+AK12+(AK12*'DATOS '!$H$18)</f>
        <v>184393.35786666663</v>
      </c>
      <c r="AY12" s="31">
        <f>+AL12+(AL12*'DATOS '!$H$18)</f>
        <v>184393.35786666663</v>
      </c>
      <c r="AZ12" s="31">
        <f>+AM12+(AM12*'DATOS '!$H$18)</f>
        <v>184393.35786666663</v>
      </c>
      <c r="BA12" s="31">
        <f>+AN12+(AN12*'DATOS '!$H$18)</f>
        <v>184393.35786666663</v>
      </c>
      <c r="BB12" s="31">
        <f>+AO12+(AO12*'DATOS '!$H$18)</f>
        <v>184393.35786666663</v>
      </c>
      <c r="BC12" s="32">
        <f t="shared" si="6"/>
        <v>2212720.2944</v>
      </c>
      <c r="BD12" s="30">
        <f>+AQ12+(AQ12*'DATOS '!$I$18)</f>
        <v>191031.51874986663</v>
      </c>
      <c r="BE12" s="31">
        <f>+AR12+(AR12*'DATOS '!$I$18)</f>
        <v>191031.51874986663</v>
      </c>
      <c r="BF12" s="31">
        <f>+AS12+(AS12*'DATOS '!$I$18)</f>
        <v>191031.51874986663</v>
      </c>
      <c r="BG12" s="31">
        <f>+AT12+(AT12*'DATOS '!$I$18)</f>
        <v>191031.51874986663</v>
      </c>
      <c r="BH12" s="31">
        <f>+AU12+(AU12*'DATOS '!$I$18)</f>
        <v>191031.51874986663</v>
      </c>
      <c r="BI12" s="31">
        <f>+AV12+(AV12*'DATOS '!$I$18)</f>
        <v>191031.51874986663</v>
      </c>
      <c r="BJ12" s="31">
        <f>+AW12+(AW12*'DATOS '!$I$18)</f>
        <v>191031.51874986663</v>
      </c>
      <c r="BK12" s="31">
        <f>+AX12+(AX12*'DATOS '!$I$18)</f>
        <v>191031.51874986663</v>
      </c>
      <c r="BL12" s="31">
        <f>+AY12+(AY12*'DATOS '!$I$18)</f>
        <v>191031.51874986663</v>
      </c>
      <c r="BM12" s="31">
        <f>+AZ12+(AZ12*'DATOS '!$I$18)</f>
        <v>191031.51874986663</v>
      </c>
      <c r="BN12" s="31">
        <f>+BA12+(BA12*'DATOS '!$I$18)</f>
        <v>191031.51874986663</v>
      </c>
      <c r="BO12" s="31">
        <f>+BB12+(BB12*'DATOS '!$I$18)</f>
        <v>191031.51874986663</v>
      </c>
      <c r="BP12" s="32">
        <f t="shared" si="7"/>
        <v>2292378.2249983996</v>
      </c>
    </row>
    <row r="13" spans="3:68" ht="16.5" thickBot="1" x14ac:dyDescent="0.3">
      <c r="C13" s="22" t="s">
        <v>169</v>
      </c>
      <c r="D13" s="33">
        <f>5000000/12</f>
        <v>416666.66666666669</v>
      </c>
      <c r="E13" s="34">
        <f t="shared" ref="E13:O13" si="13">5000000/12</f>
        <v>416666.66666666669</v>
      </c>
      <c r="F13" s="34">
        <f t="shared" si="13"/>
        <v>416666.66666666669</v>
      </c>
      <c r="G13" s="34">
        <f t="shared" si="13"/>
        <v>416666.66666666669</v>
      </c>
      <c r="H13" s="34">
        <f t="shared" si="13"/>
        <v>416666.66666666669</v>
      </c>
      <c r="I13" s="34">
        <f t="shared" si="13"/>
        <v>416666.66666666669</v>
      </c>
      <c r="J13" s="34">
        <f t="shared" si="13"/>
        <v>416666.66666666669</v>
      </c>
      <c r="K13" s="34">
        <f t="shared" si="13"/>
        <v>416666.66666666669</v>
      </c>
      <c r="L13" s="34">
        <f t="shared" si="13"/>
        <v>416666.66666666669</v>
      </c>
      <c r="M13" s="34">
        <f t="shared" si="13"/>
        <v>416666.66666666669</v>
      </c>
      <c r="N13" s="34">
        <f t="shared" si="13"/>
        <v>416666.66666666669</v>
      </c>
      <c r="O13" s="34">
        <f t="shared" si="13"/>
        <v>416666.66666666669</v>
      </c>
      <c r="P13" s="35">
        <f t="shared" si="12"/>
        <v>5000000</v>
      </c>
      <c r="Q13" s="36">
        <f>+D13+(D13*'DATOS '!$F$18)</f>
        <v>430333.33333333337</v>
      </c>
      <c r="R13" s="37">
        <f>+E13+(E13*'DATOS '!$F$18)</f>
        <v>430333.33333333337</v>
      </c>
      <c r="S13" s="37">
        <f>+F13+(F13*'DATOS '!$F$18)</f>
        <v>430333.33333333337</v>
      </c>
      <c r="T13" s="37">
        <f>+G13+(G13*'DATOS '!$F$18)</f>
        <v>430333.33333333337</v>
      </c>
      <c r="U13" s="37">
        <f>+H13+(H13*'DATOS '!$F$18)</f>
        <v>430333.33333333337</v>
      </c>
      <c r="V13" s="37">
        <f>+I13+(I13*'DATOS '!$F$18)</f>
        <v>430333.33333333337</v>
      </c>
      <c r="W13" s="37">
        <f>+J13+(J13*'DATOS '!$F$18)</f>
        <v>430333.33333333337</v>
      </c>
      <c r="X13" s="37">
        <f>+K13+(K13*'DATOS '!$F$18)</f>
        <v>430333.33333333337</v>
      </c>
      <c r="Y13" s="37">
        <f>+L13+(L13*'DATOS '!$F$18)</f>
        <v>430333.33333333337</v>
      </c>
      <c r="Z13" s="37">
        <f>+M13+(M13*'DATOS '!$F$18)</f>
        <v>430333.33333333337</v>
      </c>
      <c r="AA13" s="37">
        <f>+N13+(N13*'DATOS '!$F$18)</f>
        <v>430333.33333333337</v>
      </c>
      <c r="AB13" s="37">
        <f>+O13+(O13*'DATOS '!$F$18)</f>
        <v>430333.33333333337</v>
      </c>
      <c r="AC13" s="38">
        <f t="shared" si="4"/>
        <v>5164000</v>
      </c>
      <c r="AD13" s="36">
        <f>+Q13+(Q13*'DATOS '!$G$18)</f>
        <v>444964.66666666669</v>
      </c>
      <c r="AE13" s="37">
        <f>+R13+(R13*'DATOS '!$G$18)</f>
        <v>444964.66666666669</v>
      </c>
      <c r="AF13" s="37">
        <f>+S13+(S13*'DATOS '!$G$18)</f>
        <v>444964.66666666669</v>
      </c>
      <c r="AG13" s="37">
        <f>+T13+(T13*'DATOS '!$G$18)</f>
        <v>444964.66666666669</v>
      </c>
      <c r="AH13" s="37">
        <f>+U13+(U13*'DATOS '!$G$18)</f>
        <v>444964.66666666669</v>
      </c>
      <c r="AI13" s="37">
        <f>+V13+(V13*'DATOS '!$G$18)</f>
        <v>444964.66666666669</v>
      </c>
      <c r="AJ13" s="37">
        <f>+W13+(W13*'DATOS '!$G$18)</f>
        <v>444964.66666666669</v>
      </c>
      <c r="AK13" s="37">
        <f>+X13+(X13*'DATOS '!$G$18)</f>
        <v>444964.66666666669</v>
      </c>
      <c r="AL13" s="37">
        <f>+Y13+(Y13*'DATOS '!$G$18)</f>
        <v>444964.66666666669</v>
      </c>
      <c r="AM13" s="37">
        <f>+Z13+(Z13*'DATOS '!$G$18)</f>
        <v>444964.66666666669</v>
      </c>
      <c r="AN13" s="37">
        <f>+AA13+(AA13*'DATOS '!$G$18)</f>
        <v>444964.66666666669</v>
      </c>
      <c r="AO13" s="37">
        <f>+AB13+(AB13*'DATOS '!$G$18)</f>
        <v>444964.66666666669</v>
      </c>
      <c r="AP13" s="38">
        <f t="shared" si="5"/>
        <v>5339576</v>
      </c>
      <c r="AQ13" s="36">
        <f>+AD13+(AD13*'DATOS '!$H$18)</f>
        <v>460983.39466666669</v>
      </c>
      <c r="AR13" s="37">
        <f>+AE13+(AE13*'DATOS '!$H$18)</f>
        <v>460983.39466666669</v>
      </c>
      <c r="AS13" s="37">
        <f>+AF13+(AF13*'DATOS '!$H$18)</f>
        <v>460983.39466666669</v>
      </c>
      <c r="AT13" s="37">
        <f>+AG13+(AG13*'DATOS '!$H$18)</f>
        <v>460983.39466666669</v>
      </c>
      <c r="AU13" s="37">
        <f>+AH13+(AH13*'DATOS '!$H$18)</f>
        <v>460983.39466666669</v>
      </c>
      <c r="AV13" s="37">
        <f>+AI13+(AI13*'DATOS '!$H$18)</f>
        <v>460983.39466666669</v>
      </c>
      <c r="AW13" s="37">
        <f>+AJ13+(AJ13*'DATOS '!$H$18)</f>
        <v>460983.39466666669</v>
      </c>
      <c r="AX13" s="37">
        <f>+AK13+(AK13*'DATOS '!$H$18)</f>
        <v>460983.39466666669</v>
      </c>
      <c r="AY13" s="37">
        <f>+AL13+(AL13*'DATOS '!$H$18)</f>
        <v>460983.39466666669</v>
      </c>
      <c r="AZ13" s="37">
        <f>+AM13+(AM13*'DATOS '!$H$18)</f>
        <v>460983.39466666669</v>
      </c>
      <c r="BA13" s="37">
        <f>+AN13+(AN13*'DATOS '!$H$18)</f>
        <v>460983.39466666669</v>
      </c>
      <c r="BB13" s="37">
        <f>+AO13+(AO13*'DATOS '!$H$18)</f>
        <v>460983.39466666669</v>
      </c>
      <c r="BC13" s="38">
        <f t="shared" si="6"/>
        <v>5531800.7360000014</v>
      </c>
      <c r="BD13" s="36">
        <f>+AQ13+(AQ13*'DATOS '!$I$18)</f>
        <v>477578.7968746667</v>
      </c>
      <c r="BE13" s="37">
        <f>+AR13+(AR13*'DATOS '!$I$18)</f>
        <v>477578.7968746667</v>
      </c>
      <c r="BF13" s="37">
        <f>+AS13+(AS13*'DATOS '!$I$18)</f>
        <v>477578.7968746667</v>
      </c>
      <c r="BG13" s="37">
        <f>+AT13+(AT13*'DATOS '!$I$18)</f>
        <v>477578.7968746667</v>
      </c>
      <c r="BH13" s="37">
        <f>+AU13+(AU13*'DATOS '!$I$18)</f>
        <v>477578.7968746667</v>
      </c>
      <c r="BI13" s="37">
        <f>+AV13+(AV13*'DATOS '!$I$18)</f>
        <v>477578.7968746667</v>
      </c>
      <c r="BJ13" s="37">
        <f>+AW13+(AW13*'DATOS '!$I$18)</f>
        <v>477578.7968746667</v>
      </c>
      <c r="BK13" s="37">
        <f>+AX13+(AX13*'DATOS '!$I$18)</f>
        <v>477578.7968746667</v>
      </c>
      <c r="BL13" s="37">
        <f>+AY13+(AY13*'DATOS '!$I$18)</f>
        <v>477578.7968746667</v>
      </c>
      <c r="BM13" s="37">
        <f>+AZ13+(AZ13*'DATOS '!$I$18)</f>
        <v>477578.7968746667</v>
      </c>
      <c r="BN13" s="37">
        <f>+BA13+(BA13*'DATOS '!$I$18)</f>
        <v>477578.7968746667</v>
      </c>
      <c r="BO13" s="37">
        <f>+BB13+(BB13*'DATOS '!$I$18)</f>
        <v>477578.7968746667</v>
      </c>
      <c r="BP13" s="38">
        <f t="shared" si="7"/>
        <v>5730945.562496</v>
      </c>
    </row>
    <row r="14" spans="3:68" ht="16.5" thickTop="1" x14ac:dyDescent="0.25">
      <c r="C14" s="23" t="s">
        <v>205</v>
      </c>
      <c r="D14" s="27">
        <f t="shared" ref="D14:AI14" si="14">SUM(D6:D13)</f>
        <v>3854166.6666666665</v>
      </c>
      <c r="E14" s="28">
        <f t="shared" si="14"/>
        <v>3854166.6666666665</v>
      </c>
      <c r="F14" s="28">
        <f t="shared" si="14"/>
        <v>3854166.6666666665</v>
      </c>
      <c r="G14" s="28">
        <f t="shared" si="14"/>
        <v>3854166.6666666665</v>
      </c>
      <c r="H14" s="28">
        <f t="shared" si="14"/>
        <v>3854166.6666666665</v>
      </c>
      <c r="I14" s="28">
        <f t="shared" si="14"/>
        <v>3854166.6666666665</v>
      </c>
      <c r="J14" s="28">
        <f t="shared" si="14"/>
        <v>3854166.6666666665</v>
      </c>
      <c r="K14" s="28">
        <f t="shared" si="14"/>
        <v>3854166.6666666665</v>
      </c>
      <c r="L14" s="28">
        <f t="shared" si="14"/>
        <v>3854166.6666666665</v>
      </c>
      <c r="M14" s="28">
        <f t="shared" si="14"/>
        <v>3854166.6666666665</v>
      </c>
      <c r="N14" s="28">
        <f t="shared" si="14"/>
        <v>3854166.6666666665</v>
      </c>
      <c r="O14" s="28">
        <f t="shared" si="14"/>
        <v>3854166.6666666665</v>
      </c>
      <c r="P14" s="39">
        <f t="shared" si="14"/>
        <v>46250000</v>
      </c>
      <c r="Q14" s="30">
        <f t="shared" si="14"/>
        <v>3980583.333333334</v>
      </c>
      <c r="R14" s="31">
        <f t="shared" si="14"/>
        <v>3980583.333333334</v>
      </c>
      <c r="S14" s="31">
        <f t="shared" si="14"/>
        <v>3980583.333333334</v>
      </c>
      <c r="T14" s="31">
        <f t="shared" si="14"/>
        <v>3980583.333333334</v>
      </c>
      <c r="U14" s="31">
        <f t="shared" si="14"/>
        <v>3980583.333333334</v>
      </c>
      <c r="V14" s="31">
        <f t="shared" si="14"/>
        <v>3980583.333333334</v>
      </c>
      <c r="W14" s="31">
        <f t="shared" si="14"/>
        <v>3980583.333333334</v>
      </c>
      <c r="X14" s="31">
        <f t="shared" si="14"/>
        <v>3980583.333333334</v>
      </c>
      <c r="Y14" s="31">
        <f t="shared" si="14"/>
        <v>3980583.333333334</v>
      </c>
      <c r="Z14" s="31">
        <f t="shared" si="14"/>
        <v>3980583.333333334</v>
      </c>
      <c r="AA14" s="31">
        <f t="shared" si="14"/>
        <v>3980583.333333334</v>
      </c>
      <c r="AB14" s="31">
        <f t="shared" si="14"/>
        <v>3980583.333333334</v>
      </c>
      <c r="AC14" s="40">
        <f t="shared" si="14"/>
        <v>47767000</v>
      </c>
      <c r="AD14" s="30">
        <f t="shared" si="14"/>
        <v>4115923.1666666665</v>
      </c>
      <c r="AE14" s="31">
        <f t="shared" si="14"/>
        <v>4115923.1666666665</v>
      </c>
      <c r="AF14" s="31">
        <f t="shared" si="14"/>
        <v>4115923.1666666665</v>
      </c>
      <c r="AG14" s="31">
        <f t="shared" si="14"/>
        <v>4115923.1666666665</v>
      </c>
      <c r="AH14" s="31">
        <f t="shared" si="14"/>
        <v>4115923.1666666665</v>
      </c>
      <c r="AI14" s="31">
        <f t="shared" si="14"/>
        <v>4115923.1666666665</v>
      </c>
      <c r="AJ14" s="31">
        <f t="shared" ref="AJ14:BO14" si="15">SUM(AJ6:AJ13)</f>
        <v>4115923.1666666665</v>
      </c>
      <c r="AK14" s="31">
        <f t="shared" si="15"/>
        <v>4115923.1666666665</v>
      </c>
      <c r="AL14" s="31">
        <f t="shared" si="15"/>
        <v>4115923.1666666665</v>
      </c>
      <c r="AM14" s="31">
        <f t="shared" si="15"/>
        <v>4115923.1666666665</v>
      </c>
      <c r="AN14" s="31">
        <f t="shared" si="15"/>
        <v>4115923.1666666665</v>
      </c>
      <c r="AO14" s="31">
        <f t="shared" si="15"/>
        <v>4115923.1666666665</v>
      </c>
      <c r="AP14" s="40">
        <f t="shared" si="15"/>
        <v>49391078.000000007</v>
      </c>
      <c r="AQ14" s="30">
        <f t="shared" si="15"/>
        <v>4264096.4006666671</v>
      </c>
      <c r="AR14" s="31">
        <f t="shared" si="15"/>
        <v>4264096.4006666671</v>
      </c>
      <c r="AS14" s="31">
        <f t="shared" si="15"/>
        <v>4264096.4006666671</v>
      </c>
      <c r="AT14" s="31">
        <f t="shared" si="15"/>
        <v>4264096.4006666671</v>
      </c>
      <c r="AU14" s="31">
        <f t="shared" si="15"/>
        <v>4264096.4006666671</v>
      </c>
      <c r="AV14" s="31">
        <f t="shared" si="15"/>
        <v>4264096.4006666671</v>
      </c>
      <c r="AW14" s="31">
        <f t="shared" si="15"/>
        <v>4264096.4006666671</v>
      </c>
      <c r="AX14" s="31">
        <f t="shared" si="15"/>
        <v>4264096.4006666671</v>
      </c>
      <c r="AY14" s="31">
        <f t="shared" si="15"/>
        <v>4264096.4006666671</v>
      </c>
      <c r="AZ14" s="31">
        <f t="shared" si="15"/>
        <v>4264096.4006666671</v>
      </c>
      <c r="BA14" s="31">
        <f t="shared" si="15"/>
        <v>4264096.4006666671</v>
      </c>
      <c r="BB14" s="31">
        <f t="shared" si="15"/>
        <v>4264096.4006666671</v>
      </c>
      <c r="BC14" s="40">
        <f t="shared" si="15"/>
        <v>51169156.808000006</v>
      </c>
      <c r="BD14" s="30">
        <f t="shared" si="15"/>
        <v>4417603.8710906664</v>
      </c>
      <c r="BE14" s="31">
        <f t="shared" si="15"/>
        <v>4417603.8710906664</v>
      </c>
      <c r="BF14" s="31">
        <f t="shared" si="15"/>
        <v>4417603.8710906664</v>
      </c>
      <c r="BG14" s="31">
        <f t="shared" si="15"/>
        <v>4417603.8710906664</v>
      </c>
      <c r="BH14" s="31">
        <f t="shared" si="15"/>
        <v>4417603.8710906664</v>
      </c>
      <c r="BI14" s="31">
        <f t="shared" si="15"/>
        <v>4417603.8710906664</v>
      </c>
      <c r="BJ14" s="31">
        <f t="shared" si="15"/>
        <v>4417603.8710906664</v>
      </c>
      <c r="BK14" s="31">
        <f t="shared" si="15"/>
        <v>4417603.8710906664</v>
      </c>
      <c r="BL14" s="31">
        <f t="shared" si="15"/>
        <v>4417603.8710906664</v>
      </c>
      <c r="BM14" s="31">
        <f t="shared" si="15"/>
        <v>4417603.8710906664</v>
      </c>
      <c r="BN14" s="31">
        <f t="shared" si="15"/>
        <v>4417603.8710906664</v>
      </c>
      <c r="BO14" s="31">
        <f t="shared" si="15"/>
        <v>4417603.8710906664</v>
      </c>
      <c r="BP14" s="40">
        <f t="shared" ref="BP14" si="16">SUM(BP6:BP13)</f>
        <v>53011246.453088</v>
      </c>
    </row>
    <row r="15" spans="3:68" x14ac:dyDescent="0.25">
      <c r="C15" s="22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30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2"/>
      <c r="AD15" s="22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2"/>
      <c r="AQ15" s="22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2"/>
      <c r="BD15" s="22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2"/>
    </row>
    <row r="16" spans="3:68" x14ac:dyDescent="0.25">
      <c r="C16" s="23" t="s">
        <v>173</v>
      </c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22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22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2"/>
      <c r="AQ16" s="22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2"/>
      <c r="BD16" s="22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2"/>
    </row>
    <row r="17" spans="3:68" x14ac:dyDescent="0.25">
      <c r="C17" s="22" t="s">
        <v>170</v>
      </c>
      <c r="D17" s="27">
        <f>+NOMINA!V26</f>
        <v>15776535.280000001</v>
      </c>
      <c r="E17" s="28">
        <f>+D17</f>
        <v>15776535.280000001</v>
      </c>
      <c r="F17" s="28">
        <f>+E17</f>
        <v>15776535.280000001</v>
      </c>
      <c r="G17" s="28">
        <f>+F17</f>
        <v>15776535.280000001</v>
      </c>
      <c r="H17" s="28">
        <f t="shared" ref="H17:I17" si="17">+G17</f>
        <v>15776535.280000001</v>
      </c>
      <c r="I17" s="28">
        <f t="shared" si="17"/>
        <v>15776535.280000001</v>
      </c>
      <c r="J17" s="28">
        <f>+I17</f>
        <v>15776535.280000001</v>
      </c>
      <c r="K17" s="28">
        <f t="shared" ref="K17:L17" si="18">+J17</f>
        <v>15776535.280000001</v>
      </c>
      <c r="L17" s="28">
        <f t="shared" si="18"/>
        <v>15776535.280000001</v>
      </c>
      <c r="M17" s="28">
        <f>+L17</f>
        <v>15776535.280000001</v>
      </c>
      <c r="N17" s="28">
        <f t="shared" ref="N17:O17" si="19">+M17</f>
        <v>15776535.280000001</v>
      </c>
      <c r="O17" s="28">
        <f t="shared" si="19"/>
        <v>15776535.280000001</v>
      </c>
      <c r="P17" s="29">
        <f>SUM(D17:O17)</f>
        <v>189318423.36000001</v>
      </c>
      <c r="Q17" s="30">
        <f>+D17+(D17*'DATOS '!$F$22)</f>
        <v>16565362.044000002</v>
      </c>
      <c r="R17" s="31">
        <f>+E17+(E17*'DATOS '!$F$22)</f>
        <v>16565362.044000002</v>
      </c>
      <c r="S17" s="31">
        <f>+F17+(F17*'DATOS '!$F$22)</f>
        <v>16565362.044000002</v>
      </c>
      <c r="T17" s="31">
        <f>+G17+(G17*'DATOS '!$F$22)</f>
        <v>16565362.044000002</v>
      </c>
      <c r="U17" s="31">
        <f>+H17+(H17*'DATOS '!$F$22)</f>
        <v>16565362.044000002</v>
      </c>
      <c r="V17" s="31">
        <f>+I17+(I17*'DATOS '!$F$22)</f>
        <v>16565362.044000002</v>
      </c>
      <c r="W17" s="31">
        <f>+J17+(J17*'DATOS '!$F$22)</f>
        <v>16565362.044000002</v>
      </c>
      <c r="X17" s="31">
        <f>+K17+(K17*'DATOS '!$F$22)</f>
        <v>16565362.044000002</v>
      </c>
      <c r="Y17" s="31">
        <f>+L17+(L17*'DATOS '!$F$22)</f>
        <v>16565362.044000002</v>
      </c>
      <c r="Z17" s="31">
        <f>+M17+(M17*'DATOS '!$F$22)</f>
        <v>16565362.044000002</v>
      </c>
      <c r="AA17" s="31">
        <f>+N17+(N17*'DATOS '!$F$22)</f>
        <v>16565362.044000002</v>
      </c>
      <c r="AB17" s="31">
        <f>+O17+(O17*'DATOS '!$F$22)</f>
        <v>16565362.044000002</v>
      </c>
      <c r="AC17" s="32">
        <f>SUM(Q17:AB17)</f>
        <v>198784344.52800003</v>
      </c>
      <c r="AD17" s="30">
        <f>+Q17+(Q17*'DATOS '!$G$22)</f>
        <v>17393630.146200001</v>
      </c>
      <c r="AE17" s="31">
        <f>+R17+(R17*'DATOS '!$G$22)</f>
        <v>17393630.146200001</v>
      </c>
      <c r="AF17" s="31">
        <f>+S17+(S17*'DATOS '!$G$22)</f>
        <v>17393630.146200001</v>
      </c>
      <c r="AG17" s="31">
        <f>+T17+(T17*'DATOS '!$G$22)</f>
        <v>17393630.146200001</v>
      </c>
      <c r="AH17" s="31">
        <f>+U17+(U17*'DATOS '!$G$22)</f>
        <v>17393630.146200001</v>
      </c>
      <c r="AI17" s="31">
        <f>+V17+(V17*'DATOS '!$G$22)</f>
        <v>17393630.146200001</v>
      </c>
      <c r="AJ17" s="31">
        <f>+W17+(W17*'DATOS '!$G$22)</f>
        <v>17393630.146200001</v>
      </c>
      <c r="AK17" s="31">
        <f>+X17+(X17*'DATOS '!$G$22)</f>
        <v>17393630.146200001</v>
      </c>
      <c r="AL17" s="31">
        <f>+Y17+(Y17*'DATOS '!$G$22)</f>
        <v>17393630.146200001</v>
      </c>
      <c r="AM17" s="31">
        <f>+Z17+(Z17*'DATOS '!$G$22)</f>
        <v>17393630.146200001</v>
      </c>
      <c r="AN17" s="31">
        <f>+AA17+(AA17*'DATOS '!$G$22)</f>
        <v>17393630.146200001</v>
      </c>
      <c r="AO17" s="31">
        <f>+AB17+(AB17*'DATOS '!$G$22)</f>
        <v>17393630.146200001</v>
      </c>
      <c r="AP17" s="32">
        <f>SUM(AD17:AO17)</f>
        <v>208723561.75440001</v>
      </c>
      <c r="AQ17" s="30">
        <f>+AD17+(AD17*'DATOS '!$H$22)</f>
        <v>18263311.653510001</v>
      </c>
      <c r="AR17" s="31">
        <f>+AE17+(AE17*'DATOS '!$H$22)</f>
        <v>18263311.653510001</v>
      </c>
      <c r="AS17" s="31">
        <f>+AF17+(AF17*'DATOS '!$H$22)</f>
        <v>18263311.653510001</v>
      </c>
      <c r="AT17" s="31">
        <f>+AG17+(AG17*'DATOS '!$H$22)</f>
        <v>18263311.653510001</v>
      </c>
      <c r="AU17" s="31">
        <f>+AH17+(AH17*'DATOS '!$H$22)</f>
        <v>18263311.653510001</v>
      </c>
      <c r="AV17" s="31">
        <f>+AI17+(AI17*'DATOS '!$H$22)</f>
        <v>18263311.653510001</v>
      </c>
      <c r="AW17" s="31">
        <f>+AJ17+(AJ17*'DATOS '!$H$22)</f>
        <v>18263311.653510001</v>
      </c>
      <c r="AX17" s="31">
        <f>+AK17+(AK17*'DATOS '!$H$22)</f>
        <v>18263311.653510001</v>
      </c>
      <c r="AY17" s="31">
        <f>+AL17+(AL17*'DATOS '!$H$22)</f>
        <v>18263311.653510001</v>
      </c>
      <c r="AZ17" s="31">
        <f>+AM17+(AM17*'DATOS '!$H$22)</f>
        <v>18263311.653510001</v>
      </c>
      <c r="BA17" s="31">
        <f>+AN17+(AN17*'DATOS '!$H$22)</f>
        <v>18263311.653510001</v>
      </c>
      <c r="BB17" s="31">
        <f>+AO17+(AO17*'DATOS '!$H$22)</f>
        <v>18263311.653510001</v>
      </c>
      <c r="BC17" s="32">
        <f>SUM(AQ17:BB17)</f>
        <v>219159739.84212002</v>
      </c>
      <c r="BD17" s="30">
        <f>+AQ17+(AQ17*'DATOS '!$I$22)</f>
        <v>19359110.3527206</v>
      </c>
      <c r="BE17" s="31">
        <f>+AR17+(AR17*'DATOS '!$I$22)</f>
        <v>19359110.3527206</v>
      </c>
      <c r="BF17" s="31">
        <f>+AS17+(AS17*'DATOS '!$I$22)</f>
        <v>19359110.3527206</v>
      </c>
      <c r="BG17" s="31">
        <f>+AT17+(AT17*'DATOS '!$I$22)</f>
        <v>19359110.3527206</v>
      </c>
      <c r="BH17" s="31">
        <f>+AU17+(AU17*'DATOS '!$I$22)</f>
        <v>19359110.3527206</v>
      </c>
      <c r="BI17" s="31">
        <f>+AV17+(AV17*'DATOS '!$I$22)</f>
        <v>19359110.3527206</v>
      </c>
      <c r="BJ17" s="31">
        <f>+AW17+(AW17*'DATOS '!$I$22)</f>
        <v>19359110.3527206</v>
      </c>
      <c r="BK17" s="31">
        <f>+AX17+(AX17*'DATOS '!$I$22)</f>
        <v>19359110.3527206</v>
      </c>
      <c r="BL17" s="31">
        <f>+AY17+(AY17*'DATOS '!$I$22)</f>
        <v>19359110.3527206</v>
      </c>
      <c r="BM17" s="31">
        <f>+AZ17+(AZ17*'DATOS '!$I$22)</f>
        <v>19359110.3527206</v>
      </c>
      <c r="BN17" s="31">
        <f>+BA17+(BA17*'DATOS '!$I$22)</f>
        <v>19359110.3527206</v>
      </c>
      <c r="BO17" s="31">
        <f>+BB17+(BB17*'DATOS '!$I$22)</f>
        <v>19359110.3527206</v>
      </c>
      <c r="BP17" s="32">
        <f>SUM(BD17:BO17)</f>
        <v>232309324.23264715</v>
      </c>
    </row>
    <row r="18" spans="3:68" x14ac:dyDescent="0.25">
      <c r="C18" s="22" t="s">
        <v>204</v>
      </c>
      <c r="D18" s="27">
        <f>4000000/12</f>
        <v>333333.33333333331</v>
      </c>
      <c r="E18" s="28">
        <f t="shared" ref="E18:O18" si="20">4000000/12</f>
        <v>333333.33333333331</v>
      </c>
      <c r="F18" s="28">
        <f t="shared" si="20"/>
        <v>333333.33333333331</v>
      </c>
      <c r="G18" s="28">
        <f t="shared" si="20"/>
        <v>333333.33333333331</v>
      </c>
      <c r="H18" s="28">
        <f t="shared" si="20"/>
        <v>333333.33333333331</v>
      </c>
      <c r="I18" s="28">
        <f t="shared" si="20"/>
        <v>333333.33333333331</v>
      </c>
      <c r="J18" s="28">
        <f t="shared" si="20"/>
        <v>333333.33333333331</v>
      </c>
      <c r="K18" s="28">
        <f t="shared" si="20"/>
        <v>333333.33333333331</v>
      </c>
      <c r="L18" s="28">
        <f t="shared" si="20"/>
        <v>333333.33333333331</v>
      </c>
      <c r="M18" s="28">
        <f t="shared" si="20"/>
        <v>333333.33333333331</v>
      </c>
      <c r="N18" s="28">
        <f t="shared" si="20"/>
        <v>333333.33333333331</v>
      </c>
      <c r="O18" s="28">
        <f t="shared" si="20"/>
        <v>333333.33333333331</v>
      </c>
      <c r="P18" s="29">
        <f>SUM(D18:O18)</f>
        <v>4000000.0000000005</v>
      </c>
      <c r="Q18" s="30">
        <f>+D18+(D18*'DATOS '!$F$18)</f>
        <v>344266.66666666663</v>
      </c>
      <c r="R18" s="31">
        <f>+E18+(E18*'DATOS '!$F$18)</f>
        <v>344266.66666666663</v>
      </c>
      <c r="S18" s="31">
        <f>+F18+(F18*'DATOS '!$F$18)</f>
        <v>344266.66666666663</v>
      </c>
      <c r="T18" s="31">
        <f>+G18+(G18*'DATOS '!$F$18)</f>
        <v>344266.66666666663</v>
      </c>
      <c r="U18" s="31">
        <f>+H18+(H18*'DATOS '!$F$18)</f>
        <v>344266.66666666663</v>
      </c>
      <c r="V18" s="31">
        <f>+I18+(I18*'DATOS '!$F$18)</f>
        <v>344266.66666666663</v>
      </c>
      <c r="W18" s="31">
        <f>+J18+(J18*'DATOS '!$F$18)</f>
        <v>344266.66666666663</v>
      </c>
      <c r="X18" s="31">
        <f>+K18+(K18*'DATOS '!$F$18)</f>
        <v>344266.66666666663</v>
      </c>
      <c r="Y18" s="31">
        <f>+L18+(L18*'DATOS '!$F$18)</f>
        <v>344266.66666666663</v>
      </c>
      <c r="Z18" s="31">
        <f>+M18+(M18*'DATOS '!$F$18)</f>
        <v>344266.66666666663</v>
      </c>
      <c r="AA18" s="31">
        <f>+N18+(N18*'DATOS '!$F$18)</f>
        <v>344266.66666666663</v>
      </c>
      <c r="AB18" s="31">
        <f>+O18+(O18*'DATOS '!$F$18)</f>
        <v>344266.66666666663</v>
      </c>
      <c r="AC18" s="32">
        <f>SUM(Q18:AB18)</f>
        <v>4131199.9999999986</v>
      </c>
      <c r="AD18" s="30">
        <f>+Q18+(Q18*'DATOS '!$G$18)</f>
        <v>355971.73333333328</v>
      </c>
      <c r="AE18" s="31">
        <f>+R18+(R18*'DATOS '!$G$18)</f>
        <v>355971.73333333328</v>
      </c>
      <c r="AF18" s="31">
        <f>+S18+(S18*'DATOS '!$G$18)</f>
        <v>355971.73333333328</v>
      </c>
      <c r="AG18" s="31">
        <f>+T18+(T18*'DATOS '!$G$18)</f>
        <v>355971.73333333328</v>
      </c>
      <c r="AH18" s="31">
        <f>+U18+(U18*'DATOS '!$G$18)</f>
        <v>355971.73333333328</v>
      </c>
      <c r="AI18" s="31">
        <f>+V18+(V18*'DATOS '!$G$18)</f>
        <v>355971.73333333328</v>
      </c>
      <c r="AJ18" s="31">
        <f>+W18+(W18*'DATOS '!$G$18)</f>
        <v>355971.73333333328</v>
      </c>
      <c r="AK18" s="31">
        <f>+X18+(X18*'DATOS '!$G$18)</f>
        <v>355971.73333333328</v>
      </c>
      <c r="AL18" s="31">
        <f>+Y18+(Y18*'DATOS '!$G$18)</f>
        <v>355971.73333333328</v>
      </c>
      <c r="AM18" s="31">
        <f>+Z18+(Z18*'DATOS '!$G$18)</f>
        <v>355971.73333333328</v>
      </c>
      <c r="AN18" s="31">
        <f>+AA18+(AA18*'DATOS '!$G$18)</f>
        <v>355971.73333333328</v>
      </c>
      <c r="AO18" s="31">
        <f>+AB18+(AB18*'DATOS '!$G$18)</f>
        <v>355971.73333333328</v>
      </c>
      <c r="AP18" s="32">
        <f>SUM(AD18:AO18)</f>
        <v>4271660.8</v>
      </c>
      <c r="AQ18" s="30">
        <f>+AD18+(AD18*'DATOS '!$H$18)</f>
        <v>368786.71573333326</v>
      </c>
      <c r="AR18" s="31">
        <f>+AE18+(AE18*'DATOS '!$H$18)</f>
        <v>368786.71573333326</v>
      </c>
      <c r="AS18" s="31">
        <f>+AF18+(AF18*'DATOS '!$H$18)</f>
        <v>368786.71573333326</v>
      </c>
      <c r="AT18" s="31">
        <f>+AG18+(AG18*'DATOS '!$H$18)</f>
        <v>368786.71573333326</v>
      </c>
      <c r="AU18" s="31">
        <f>+AH18+(AH18*'DATOS '!$H$18)</f>
        <v>368786.71573333326</v>
      </c>
      <c r="AV18" s="31">
        <f>+AI18+(AI18*'DATOS '!$H$18)</f>
        <v>368786.71573333326</v>
      </c>
      <c r="AW18" s="31">
        <f>+AJ18+(AJ18*'DATOS '!$H$18)</f>
        <v>368786.71573333326</v>
      </c>
      <c r="AX18" s="31">
        <f>+AK18+(AK18*'DATOS '!$H$18)</f>
        <v>368786.71573333326</v>
      </c>
      <c r="AY18" s="31">
        <f>+AL18+(AL18*'DATOS '!$H$18)</f>
        <v>368786.71573333326</v>
      </c>
      <c r="AZ18" s="31">
        <f>+AM18+(AM18*'DATOS '!$H$18)</f>
        <v>368786.71573333326</v>
      </c>
      <c r="BA18" s="31">
        <f>+AN18+(AN18*'DATOS '!$H$18)</f>
        <v>368786.71573333326</v>
      </c>
      <c r="BB18" s="31">
        <f>+AO18+(AO18*'DATOS '!$H$18)</f>
        <v>368786.71573333326</v>
      </c>
      <c r="BC18" s="32">
        <f>SUM(AQ18:BB18)</f>
        <v>4425440.5888</v>
      </c>
      <c r="BD18" s="30">
        <f>+AQ18+(AQ18*'DATOS '!$I$18)</f>
        <v>382063.03749973327</v>
      </c>
      <c r="BE18" s="31">
        <f>+AR18+(AR18*'DATOS '!$I$18)</f>
        <v>382063.03749973327</v>
      </c>
      <c r="BF18" s="31">
        <f>+AS18+(AS18*'DATOS '!$I$18)</f>
        <v>382063.03749973327</v>
      </c>
      <c r="BG18" s="31">
        <f>+AT18+(AT18*'DATOS '!$I$18)</f>
        <v>382063.03749973327</v>
      </c>
      <c r="BH18" s="31">
        <f>+AU18+(AU18*'DATOS '!$I$18)</f>
        <v>382063.03749973327</v>
      </c>
      <c r="BI18" s="31">
        <f>+AV18+(AV18*'DATOS '!$I$18)</f>
        <v>382063.03749973327</v>
      </c>
      <c r="BJ18" s="31">
        <f>+AW18+(AW18*'DATOS '!$I$18)</f>
        <v>382063.03749973327</v>
      </c>
      <c r="BK18" s="31">
        <f>+AX18+(AX18*'DATOS '!$I$18)</f>
        <v>382063.03749973327</v>
      </c>
      <c r="BL18" s="31">
        <f>+AY18+(AY18*'DATOS '!$I$18)</f>
        <v>382063.03749973327</v>
      </c>
      <c r="BM18" s="31">
        <f>+AZ18+(AZ18*'DATOS '!$I$18)</f>
        <v>382063.03749973327</v>
      </c>
      <c r="BN18" s="31">
        <f>+BA18+(BA18*'DATOS '!$I$18)</f>
        <v>382063.03749973327</v>
      </c>
      <c r="BO18" s="31">
        <f>+BB18+(BB18*'DATOS '!$I$18)</f>
        <v>382063.03749973327</v>
      </c>
      <c r="BP18" s="32">
        <f>SUM(BD18:BO18)</f>
        <v>4584756.4499967992</v>
      </c>
    </row>
    <row r="19" spans="3:68" x14ac:dyDescent="0.25">
      <c r="C19" s="22" t="s">
        <v>171</v>
      </c>
      <c r="D19" s="27">
        <v>912000</v>
      </c>
      <c r="E19" s="28">
        <v>912000</v>
      </c>
      <c r="F19" s="28">
        <v>912000</v>
      </c>
      <c r="G19" s="28">
        <v>912000</v>
      </c>
      <c r="H19" s="28">
        <v>912000</v>
      </c>
      <c r="I19" s="28">
        <v>912000</v>
      </c>
      <c r="J19" s="28">
        <v>912000</v>
      </c>
      <c r="K19" s="28">
        <v>912000</v>
      </c>
      <c r="L19" s="28">
        <v>912000</v>
      </c>
      <c r="M19" s="28">
        <v>912000</v>
      </c>
      <c r="N19" s="28">
        <v>912000</v>
      </c>
      <c r="O19" s="28">
        <v>912000</v>
      </c>
      <c r="P19" s="29">
        <f t="shared" ref="P19:P28" si="21">SUM(D19:O19)</f>
        <v>10944000</v>
      </c>
      <c r="Q19" s="30">
        <f>+D19+(D19*'DATOS '!$F$18)</f>
        <v>941913.59999999998</v>
      </c>
      <c r="R19" s="31">
        <f>+E19+(E19*'DATOS '!$F$18)</f>
        <v>941913.59999999998</v>
      </c>
      <c r="S19" s="31">
        <f>+F19+(F19*'DATOS '!$F$18)</f>
        <v>941913.59999999998</v>
      </c>
      <c r="T19" s="31">
        <f>+G19+(G19*'DATOS '!$F$18)</f>
        <v>941913.59999999998</v>
      </c>
      <c r="U19" s="31">
        <f>+H19+(H19*'DATOS '!$F$18)</f>
        <v>941913.59999999998</v>
      </c>
      <c r="V19" s="31">
        <f>+I19+(I19*'DATOS '!$F$18)</f>
        <v>941913.59999999998</v>
      </c>
      <c r="W19" s="31">
        <f>+J19+(J19*'DATOS '!$F$18)</f>
        <v>941913.59999999998</v>
      </c>
      <c r="X19" s="31">
        <f>+K19+(K19*'DATOS '!$F$18)</f>
        <v>941913.59999999998</v>
      </c>
      <c r="Y19" s="31">
        <f>+L19+(L19*'DATOS '!$F$18)</f>
        <v>941913.59999999998</v>
      </c>
      <c r="Z19" s="31">
        <f>+M19+(M19*'DATOS '!$F$18)</f>
        <v>941913.59999999998</v>
      </c>
      <c r="AA19" s="31">
        <f>+N19+(N19*'DATOS '!$F$18)</f>
        <v>941913.59999999998</v>
      </c>
      <c r="AB19" s="31">
        <f>+O19+(O19*'DATOS '!$F$18)</f>
        <v>941913.59999999998</v>
      </c>
      <c r="AC19" s="32">
        <f t="shared" ref="AC19:AC23" si="22">SUM(Q19:AB19)</f>
        <v>11302963.199999997</v>
      </c>
      <c r="AD19" s="30">
        <f>+Q19+(Q19*'DATOS '!$G$18)</f>
        <v>973938.66240000003</v>
      </c>
      <c r="AE19" s="31">
        <f>+R19+(R19*'DATOS '!$G$18)</f>
        <v>973938.66240000003</v>
      </c>
      <c r="AF19" s="31">
        <f>+S19+(S19*'DATOS '!$G$18)</f>
        <v>973938.66240000003</v>
      </c>
      <c r="AG19" s="31">
        <f>+T19+(T19*'DATOS '!$G$18)</f>
        <v>973938.66240000003</v>
      </c>
      <c r="AH19" s="31">
        <f>+U19+(U19*'DATOS '!$G$18)</f>
        <v>973938.66240000003</v>
      </c>
      <c r="AI19" s="31">
        <f>+V19+(V19*'DATOS '!$G$18)</f>
        <v>973938.66240000003</v>
      </c>
      <c r="AJ19" s="31">
        <f>+W19+(W19*'DATOS '!$G$18)</f>
        <v>973938.66240000003</v>
      </c>
      <c r="AK19" s="31">
        <f>+X19+(X19*'DATOS '!$G$18)</f>
        <v>973938.66240000003</v>
      </c>
      <c r="AL19" s="31">
        <f>+Y19+(Y19*'DATOS '!$G$18)</f>
        <v>973938.66240000003</v>
      </c>
      <c r="AM19" s="31">
        <f>+Z19+(Z19*'DATOS '!$G$18)</f>
        <v>973938.66240000003</v>
      </c>
      <c r="AN19" s="31">
        <f>+AA19+(AA19*'DATOS '!$G$18)</f>
        <v>973938.66240000003</v>
      </c>
      <c r="AO19" s="31">
        <f>+AB19+(AB19*'DATOS '!$G$18)</f>
        <v>973938.66240000003</v>
      </c>
      <c r="AP19" s="32">
        <f t="shared" ref="AP19:AP23" si="23">SUM(AD19:AO19)</f>
        <v>11687263.948799999</v>
      </c>
      <c r="AQ19" s="30">
        <f>+AD19+(AD19*'DATOS '!$H$18)</f>
        <v>1009000.4542464</v>
      </c>
      <c r="AR19" s="31">
        <f>+AE19+(AE19*'DATOS '!$H$18)</f>
        <v>1009000.4542464</v>
      </c>
      <c r="AS19" s="31">
        <f>+AF19+(AF19*'DATOS '!$H$18)</f>
        <v>1009000.4542464</v>
      </c>
      <c r="AT19" s="31">
        <f>+AG19+(AG19*'DATOS '!$H$18)</f>
        <v>1009000.4542464</v>
      </c>
      <c r="AU19" s="31">
        <f>+AH19+(AH19*'DATOS '!$H$18)</f>
        <v>1009000.4542464</v>
      </c>
      <c r="AV19" s="31">
        <f>+AI19+(AI19*'DATOS '!$H$18)</f>
        <v>1009000.4542464</v>
      </c>
      <c r="AW19" s="31">
        <f>+AJ19+(AJ19*'DATOS '!$H$18)</f>
        <v>1009000.4542464</v>
      </c>
      <c r="AX19" s="31">
        <f>+AK19+(AK19*'DATOS '!$H$18)</f>
        <v>1009000.4542464</v>
      </c>
      <c r="AY19" s="31">
        <f>+AL19+(AL19*'DATOS '!$H$18)</f>
        <v>1009000.4542464</v>
      </c>
      <c r="AZ19" s="31">
        <f>+AM19+(AM19*'DATOS '!$H$18)</f>
        <v>1009000.4542464</v>
      </c>
      <c r="BA19" s="31">
        <f>+AN19+(AN19*'DATOS '!$H$18)</f>
        <v>1009000.4542464</v>
      </c>
      <c r="BB19" s="31">
        <f>+AO19+(AO19*'DATOS '!$H$18)</f>
        <v>1009000.4542464</v>
      </c>
      <c r="BC19" s="32">
        <f t="shared" ref="BC19:BC23" si="24">SUM(AQ19:BB19)</f>
        <v>12108005.450956801</v>
      </c>
      <c r="BD19" s="30">
        <f>+AQ19+(AQ19*'DATOS '!$I$18)</f>
        <v>1045324.4705992704</v>
      </c>
      <c r="BE19" s="31">
        <f>+AR19+(AR19*'DATOS '!$I$18)</f>
        <v>1045324.4705992704</v>
      </c>
      <c r="BF19" s="31">
        <f>+AS19+(AS19*'DATOS '!$I$18)</f>
        <v>1045324.4705992704</v>
      </c>
      <c r="BG19" s="31">
        <f>+AT19+(AT19*'DATOS '!$I$18)</f>
        <v>1045324.4705992704</v>
      </c>
      <c r="BH19" s="31">
        <f>+AU19+(AU19*'DATOS '!$I$18)</f>
        <v>1045324.4705992704</v>
      </c>
      <c r="BI19" s="31">
        <f>+AV19+(AV19*'DATOS '!$I$18)</f>
        <v>1045324.4705992704</v>
      </c>
      <c r="BJ19" s="31">
        <f>+AW19+(AW19*'DATOS '!$I$18)</f>
        <v>1045324.4705992704</v>
      </c>
      <c r="BK19" s="31">
        <f>+AX19+(AX19*'DATOS '!$I$18)</f>
        <v>1045324.4705992704</v>
      </c>
      <c r="BL19" s="31">
        <f>+AY19+(AY19*'DATOS '!$I$18)</f>
        <v>1045324.4705992704</v>
      </c>
      <c r="BM19" s="31">
        <f>+AZ19+(AZ19*'DATOS '!$I$18)</f>
        <v>1045324.4705992704</v>
      </c>
      <c r="BN19" s="31">
        <f>+BA19+(BA19*'DATOS '!$I$18)</f>
        <v>1045324.4705992704</v>
      </c>
      <c r="BO19" s="31">
        <f>+BB19+(BB19*'DATOS '!$I$18)</f>
        <v>1045324.4705992704</v>
      </c>
      <c r="BP19" s="32">
        <f t="shared" ref="BP19:BP23" si="25">SUM(BD19:BO19)</f>
        <v>12543893.647191249</v>
      </c>
    </row>
    <row r="20" spans="3:68" x14ac:dyDescent="0.25">
      <c r="C20" s="22" t="s">
        <v>172</v>
      </c>
      <c r="D20" s="27">
        <f>2500000/12</f>
        <v>208333.33333333334</v>
      </c>
      <c r="E20" s="28">
        <f t="shared" ref="E20:O20" si="26">2500000/12</f>
        <v>208333.33333333334</v>
      </c>
      <c r="F20" s="28">
        <f t="shared" si="26"/>
        <v>208333.33333333334</v>
      </c>
      <c r="G20" s="28">
        <f t="shared" si="26"/>
        <v>208333.33333333334</v>
      </c>
      <c r="H20" s="28">
        <f t="shared" si="26"/>
        <v>208333.33333333334</v>
      </c>
      <c r="I20" s="28">
        <f t="shared" si="26"/>
        <v>208333.33333333334</v>
      </c>
      <c r="J20" s="28">
        <f t="shared" si="26"/>
        <v>208333.33333333334</v>
      </c>
      <c r="K20" s="28">
        <f t="shared" si="26"/>
        <v>208333.33333333334</v>
      </c>
      <c r="L20" s="28">
        <f t="shared" si="26"/>
        <v>208333.33333333334</v>
      </c>
      <c r="M20" s="28">
        <f t="shared" si="26"/>
        <v>208333.33333333334</v>
      </c>
      <c r="N20" s="28">
        <f t="shared" si="26"/>
        <v>208333.33333333334</v>
      </c>
      <c r="O20" s="28">
        <f t="shared" si="26"/>
        <v>208333.33333333334</v>
      </c>
      <c r="P20" s="29">
        <f t="shared" si="21"/>
        <v>2500000</v>
      </c>
      <c r="Q20" s="30">
        <f>+D20+(D20*'DATOS '!$F$18)</f>
        <v>215166.66666666669</v>
      </c>
      <c r="R20" s="31">
        <f>+E20+(E20*'DATOS '!$F$18)</f>
        <v>215166.66666666669</v>
      </c>
      <c r="S20" s="31">
        <f>+F20+(F20*'DATOS '!$F$18)</f>
        <v>215166.66666666669</v>
      </c>
      <c r="T20" s="31">
        <f>+G20+(G20*'DATOS '!$F$18)</f>
        <v>215166.66666666669</v>
      </c>
      <c r="U20" s="31">
        <f>+H20+(H20*'DATOS '!$F$18)</f>
        <v>215166.66666666669</v>
      </c>
      <c r="V20" s="31">
        <f>+I20+(I20*'DATOS '!$F$18)</f>
        <v>215166.66666666669</v>
      </c>
      <c r="W20" s="31">
        <f>+J20+(J20*'DATOS '!$F$18)</f>
        <v>215166.66666666669</v>
      </c>
      <c r="X20" s="31">
        <f>+K20+(K20*'DATOS '!$F$18)</f>
        <v>215166.66666666669</v>
      </c>
      <c r="Y20" s="31">
        <f>+L20+(L20*'DATOS '!$F$18)</f>
        <v>215166.66666666669</v>
      </c>
      <c r="Z20" s="31">
        <f>+M20+(M20*'DATOS '!$F$18)</f>
        <v>215166.66666666669</v>
      </c>
      <c r="AA20" s="31">
        <f>+N20+(N20*'DATOS '!$F$18)</f>
        <v>215166.66666666669</v>
      </c>
      <c r="AB20" s="31">
        <f>+O20+(O20*'DATOS '!$F$18)</f>
        <v>215166.66666666669</v>
      </c>
      <c r="AC20" s="32">
        <f t="shared" si="22"/>
        <v>2582000</v>
      </c>
      <c r="AD20" s="30">
        <f>+Q20+(Q20*'DATOS '!$G$18)</f>
        <v>222482.33333333334</v>
      </c>
      <c r="AE20" s="31">
        <f>+R20+(R20*'DATOS '!$G$18)</f>
        <v>222482.33333333334</v>
      </c>
      <c r="AF20" s="31">
        <f>+S20+(S20*'DATOS '!$G$18)</f>
        <v>222482.33333333334</v>
      </c>
      <c r="AG20" s="31">
        <f>+T20+(T20*'DATOS '!$G$18)</f>
        <v>222482.33333333334</v>
      </c>
      <c r="AH20" s="31">
        <f>+U20+(U20*'DATOS '!$G$18)</f>
        <v>222482.33333333334</v>
      </c>
      <c r="AI20" s="31">
        <f>+V20+(V20*'DATOS '!$G$18)</f>
        <v>222482.33333333334</v>
      </c>
      <c r="AJ20" s="31">
        <f>+W20+(W20*'DATOS '!$G$18)</f>
        <v>222482.33333333334</v>
      </c>
      <c r="AK20" s="31">
        <f>+X20+(X20*'DATOS '!$G$18)</f>
        <v>222482.33333333334</v>
      </c>
      <c r="AL20" s="31">
        <f>+Y20+(Y20*'DATOS '!$G$18)</f>
        <v>222482.33333333334</v>
      </c>
      <c r="AM20" s="31">
        <f>+Z20+(Z20*'DATOS '!$G$18)</f>
        <v>222482.33333333334</v>
      </c>
      <c r="AN20" s="31">
        <f>+AA20+(AA20*'DATOS '!$G$18)</f>
        <v>222482.33333333334</v>
      </c>
      <c r="AO20" s="31">
        <f>+AB20+(AB20*'DATOS '!$G$18)</f>
        <v>222482.33333333334</v>
      </c>
      <c r="AP20" s="32">
        <f t="shared" si="23"/>
        <v>2669788</v>
      </c>
      <c r="AQ20" s="30">
        <f>+AD20+(AD20*'DATOS '!$H$18)</f>
        <v>230491.69733333334</v>
      </c>
      <c r="AR20" s="31">
        <f>+AE20+(AE20*'DATOS '!$H$18)</f>
        <v>230491.69733333334</v>
      </c>
      <c r="AS20" s="31">
        <f>+AF20+(AF20*'DATOS '!$H$18)</f>
        <v>230491.69733333334</v>
      </c>
      <c r="AT20" s="31">
        <f>+AG20+(AG20*'DATOS '!$H$18)</f>
        <v>230491.69733333334</v>
      </c>
      <c r="AU20" s="31">
        <f>+AH20+(AH20*'DATOS '!$H$18)</f>
        <v>230491.69733333334</v>
      </c>
      <c r="AV20" s="31">
        <f>+AI20+(AI20*'DATOS '!$H$18)</f>
        <v>230491.69733333334</v>
      </c>
      <c r="AW20" s="31">
        <f>+AJ20+(AJ20*'DATOS '!$H$18)</f>
        <v>230491.69733333334</v>
      </c>
      <c r="AX20" s="31">
        <f>+AK20+(AK20*'DATOS '!$H$18)</f>
        <v>230491.69733333334</v>
      </c>
      <c r="AY20" s="31">
        <f>+AL20+(AL20*'DATOS '!$H$18)</f>
        <v>230491.69733333334</v>
      </c>
      <c r="AZ20" s="31">
        <f>+AM20+(AM20*'DATOS '!$H$18)</f>
        <v>230491.69733333334</v>
      </c>
      <c r="BA20" s="31">
        <f>+AN20+(AN20*'DATOS '!$H$18)</f>
        <v>230491.69733333334</v>
      </c>
      <c r="BB20" s="31">
        <f>+AO20+(AO20*'DATOS '!$H$18)</f>
        <v>230491.69733333334</v>
      </c>
      <c r="BC20" s="32">
        <f t="shared" si="24"/>
        <v>2765900.3680000007</v>
      </c>
      <c r="BD20" s="30">
        <f>+AQ20+(AQ20*'DATOS '!$I$18)</f>
        <v>238789.39843733335</v>
      </c>
      <c r="BE20" s="31">
        <f>+AR20+(AR20*'DATOS '!$I$18)</f>
        <v>238789.39843733335</v>
      </c>
      <c r="BF20" s="31">
        <f>+AS20+(AS20*'DATOS '!$I$18)</f>
        <v>238789.39843733335</v>
      </c>
      <c r="BG20" s="31">
        <f>+AT20+(AT20*'DATOS '!$I$18)</f>
        <v>238789.39843733335</v>
      </c>
      <c r="BH20" s="31">
        <f>+AU20+(AU20*'DATOS '!$I$18)</f>
        <v>238789.39843733335</v>
      </c>
      <c r="BI20" s="31">
        <f>+AV20+(AV20*'DATOS '!$I$18)</f>
        <v>238789.39843733335</v>
      </c>
      <c r="BJ20" s="31">
        <f>+AW20+(AW20*'DATOS '!$I$18)</f>
        <v>238789.39843733335</v>
      </c>
      <c r="BK20" s="31">
        <f>+AX20+(AX20*'DATOS '!$I$18)</f>
        <v>238789.39843733335</v>
      </c>
      <c r="BL20" s="31">
        <f>+AY20+(AY20*'DATOS '!$I$18)</f>
        <v>238789.39843733335</v>
      </c>
      <c r="BM20" s="31">
        <f>+AZ20+(AZ20*'DATOS '!$I$18)</f>
        <v>238789.39843733335</v>
      </c>
      <c r="BN20" s="31">
        <f>+BA20+(BA20*'DATOS '!$I$18)</f>
        <v>238789.39843733335</v>
      </c>
      <c r="BO20" s="31">
        <f>+BB20+(BB20*'DATOS '!$I$18)</f>
        <v>238789.39843733335</v>
      </c>
      <c r="BP20" s="32">
        <f t="shared" si="25"/>
        <v>2865472.781248</v>
      </c>
    </row>
    <row r="21" spans="3:68" x14ac:dyDescent="0.25">
      <c r="C21" s="22" t="s">
        <v>175</v>
      </c>
      <c r="D21" s="27">
        <f>300000/12</f>
        <v>25000</v>
      </c>
      <c r="E21" s="28">
        <f>300000/12</f>
        <v>25000</v>
      </c>
      <c r="F21" s="28">
        <f t="shared" ref="F21:O21" si="27">300000/12</f>
        <v>25000</v>
      </c>
      <c r="G21" s="28">
        <f t="shared" si="27"/>
        <v>25000</v>
      </c>
      <c r="H21" s="28">
        <f t="shared" si="27"/>
        <v>25000</v>
      </c>
      <c r="I21" s="28">
        <f t="shared" si="27"/>
        <v>25000</v>
      </c>
      <c r="J21" s="28">
        <f t="shared" si="27"/>
        <v>25000</v>
      </c>
      <c r="K21" s="28">
        <f t="shared" si="27"/>
        <v>25000</v>
      </c>
      <c r="L21" s="28">
        <f t="shared" si="27"/>
        <v>25000</v>
      </c>
      <c r="M21" s="28">
        <f t="shared" si="27"/>
        <v>25000</v>
      </c>
      <c r="N21" s="28">
        <f t="shared" si="27"/>
        <v>25000</v>
      </c>
      <c r="O21" s="28">
        <f t="shared" si="27"/>
        <v>25000</v>
      </c>
      <c r="P21" s="29">
        <f t="shared" si="21"/>
        <v>300000</v>
      </c>
      <c r="Q21" s="30">
        <f>+D21+(D21*'DATOS '!$F$18)</f>
        <v>25820</v>
      </c>
      <c r="R21" s="31">
        <f>+E21+(E21*'DATOS '!$F$18)</f>
        <v>25820</v>
      </c>
      <c r="S21" s="31">
        <f>+F21+(F21*'DATOS '!$F$18)</f>
        <v>25820</v>
      </c>
      <c r="T21" s="31">
        <f>+G21+(G21*'DATOS '!$F$18)</f>
        <v>25820</v>
      </c>
      <c r="U21" s="31">
        <f>+H21+(H21*'DATOS '!$F$18)</f>
        <v>25820</v>
      </c>
      <c r="V21" s="31">
        <f>+I21+(I21*'DATOS '!$F$18)</f>
        <v>25820</v>
      </c>
      <c r="W21" s="31">
        <f>+J21+(J21*'DATOS '!$F$18)</f>
        <v>25820</v>
      </c>
      <c r="X21" s="31">
        <f>+K21+(K21*'DATOS '!$F$18)</f>
        <v>25820</v>
      </c>
      <c r="Y21" s="31">
        <f>+L21+(L21*'DATOS '!$F$18)</f>
        <v>25820</v>
      </c>
      <c r="Z21" s="31">
        <f>+M21+(M21*'DATOS '!$F$18)</f>
        <v>25820</v>
      </c>
      <c r="AA21" s="31">
        <f>+N21+(N21*'DATOS '!$F$18)</f>
        <v>25820</v>
      </c>
      <c r="AB21" s="31">
        <f>+O21+(O21*'DATOS '!$F$18)</f>
        <v>25820</v>
      </c>
      <c r="AC21" s="32">
        <f t="shared" si="22"/>
        <v>309840</v>
      </c>
      <c r="AD21" s="30">
        <f>+Q21+(Q21*'DATOS '!$G$18)</f>
        <v>26697.88</v>
      </c>
      <c r="AE21" s="31">
        <f>+R21+(R21*'DATOS '!$G$18)</f>
        <v>26697.88</v>
      </c>
      <c r="AF21" s="31">
        <f>+S21+(S21*'DATOS '!$G$18)</f>
        <v>26697.88</v>
      </c>
      <c r="AG21" s="31">
        <f>+T21+(T21*'DATOS '!$G$18)</f>
        <v>26697.88</v>
      </c>
      <c r="AH21" s="31">
        <f>+U21+(U21*'DATOS '!$G$18)</f>
        <v>26697.88</v>
      </c>
      <c r="AI21" s="31">
        <f>+V21+(V21*'DATOS '!$G$18)</f>
        <v>26697.88</v>
      </c>
      <c r="AJ21" s="31">
        <f>+W21+(W21*'DATOS '!$G$18)</f>
        <v>26697.88</v>
      </c>
      <c r="AK21" s="31">
        <f>+X21+(X21*'DATOS '!$G$18)</f>
        <v>26697.88</v>
      </c>
      <c r="AL21" s="31">
        <f>+Y21+(Y21*'DATOS '!$G$18)</f>
        <v>26697.88</v>
      </c>
      <c r="AM21" s="31">
        <f>+Z21+(Z21*'DATOS '!$G$18)</f>
        <v>26697.88</v>
      </c>
      <c r="AN21" s="31">
        <f>+AA21+(AA21*'DATOS '!$G$18)</f>
        <v>26697.88</v>
      </c>
      <c r="AO21" s="31">
        <f>+AB21+(AB21*'DATOS '!$G$18)</f>
        <v>26697.88</v>
      </c>
      <c r="AP21" s="32">
        <f t="shared" si="23"/>
        <v>320374.56</v>
      </c>
      <c r="AQ21" s="30">
        <f>+AD21+(AD21*'DATOS '!$H$18)</f>
        <v>27659.003680000002</v>
      </c>
      <c r="AR21" s="31">
        <f>+AE21+(AE21*'DATOS '!$H$18)</f>
        <v>27659.003680000002</v>
      </c>
      <c r="AS21" s="31">
        <f>+AF21+(AF21*'DATOS '!$H$18)</f>
        <v>27659.003680000002</v>
      </c>
      <c r="AT21" s="31">
        <f>+AG21+(AG21*'DATOS '!$H$18)</f>
        <v>27659.003680000002</v>
      </c>
      <c r="AU21" s="31">
        <f>+AH21+(AH21*'DATOS '!$H$18)</f>
        <v>27659.003680000002</v>
      </c>
      <c r="AV21" s="31">
        <f>+AI21+(AI21*'DATOS '!$H$18)</f>
        <v>27659.003680000002</v>
      </c>
      <c r="AW21" s="31">
        <f>+AJ21+(AJ21*'DATOS '!$H$18)</f>
        <v>27659.003680000002</v>
      </c>
      <c r="AX21" s="31">
        <f>+AK21+(AK21*'DATOS '!$H$18)</f>
        <v>27659.003680000002</v>
      </c>
      <c r="AY21" s="31">
        <f>+AL21+(AL21*'DATOS '!$H$18)</f>
        <v>27659.003680000002</v>
      </c>
      <c r="AZ21" s="31">
        <f>+AM21+(AM21*'DATOS '!$H$18)</f>
        <v>27659.003680000002</v>
      </c>
      <c r="BA21" s="31">
        <f>+AN21+(AN21*'DATOS '!$H$18)</f>
        <v>27659.003680000002</v>
      </c>
      <c r="BB21" s="31">
        <f>+AO21+(AO21*'DATOS '!$H$18)</f>
        <v>27659.003680000002</v>
      </c>
      <c r="BC21" s="32">
        <f t="shared" si="24"/>
        <v>331908.04416000005</v>
      </c>
      <c r="BD21" s="30">
        <f>+AQ21+(AQ21*'DATOS '!$I$18)</f>
        <v>28654.727812480003</v>
      </c>
      <c r="BE21" s="31">
        <f>+AR21+(AR21*'DATOS '!$I$18)</f>
        <v>28654.727812480003</v>
      </c>
      <c r="BF21" s="31">
        <f>+AS21+(AS21*'DATOS '!$I$18)</f>
        <v>28654.727812480003</v>
      </c>
      <c r="BG21" s="31">
        <f>+AT21+(AT21*'DATOS '!$I$18)</f>
        <v>28654.727812480003</v>
      </c>
      <c r="BH21" s="31">
        <f>+AU21+(AU21*'DATOS '!$I$18)</f>
        <v>28654.727812480003</v>
      </c>
      <c r="BI21" s="31">
        <f>+AV21+(AV21*'DATOS '!$I$18)</f>
        <v>28654.727812480003</v>
      </c>
      <c r="BJ21" s="31">
        <f>+AW21+(AW21*'DATOS '!$I$18)</f>
        <v>28654.727812480003</v>
      </c>
      <c r="BK21" s="31">
        <f>+AX21+(AX21*'DATOS '!$I$18)</f>
        <v>28654.727812480003</v>
      </c>
      <c r="BL21" s="31">
        <f>+AY21+(AY21*'DATOS '!$I$18)</f>
        <v>28654.727812480003</v>
      </c>
      <c r="BM21" s="31">
        <f>+AZ21+(AZ21*'DATOS '!$I$18)</f>
        <v>28654.727812480003</v>
      </c>
      <c r="BN21" s="31">
        <f>+BA21+(BA21*'DATOS '!$I$18)</f>
        <v>28654.727812480003</v>
      </c>
      <c r="BO21" s="31">
        <f>+BB21+(BB21*'DATOS '!$I$18)</f>
        <v>28654.727812480003</v>
      </c>
      <c r="BP21" s="32">
        <f t="shared" si="25"/>
        <v>343856.73374976002</v>
      </c>
    </row>
    <row r="22" spans="3:68" x14ac:dyDescent="0.25">
      <c r="C22" s="22" t="s">
        <v>176</v>
      </c>
      <c r="D22" s="27">
        <f>(1900000+300000)/12</f>
        <v>183333.33333333334</v>
      </c>
      <c r="E22" s="28">
        <f t="shared" ref="E22:O22" si="28">(1900000+300000)/12</f>
        <v>183333.33333333334</v>
      </c>
      <c r="F22" s="28">
        <f t="shared" si="28"/>
        <v>183333.33333333334</v>
      </c>
      <c r="G22" s="28">
        <f t="shared" si="28"/>
        <v>183333.33333333334</v>
      </c>
      <c r="H22" s="28">
        <f t="shared" si="28"/>
        <v>183333.33333333334</v>
      </c>
      <c r="I22" s="28">
        <f t="shared" si="28"/>
        <v>183333.33333333334</v>
      </c>
      <c r="J22" s="28">
        <f t="shared" si="28"/>
        <v>183333.33333333334</v>
      </c>
      <c r="K22" s="28">
        <f t="shared" si="28"/>
        <v>183333.33333333334</v>
      </c>
      <c r="L22" s="28">
        <f t="shared" si="28"/>
        <v>183333.33333333334</v>
      </c>
      <c r="M22" s="28">
        <f t="shared" si="28"/>
        <v>183333.33333333334</v>
      </c>
      <c r="N22" s="28">
        <f t="shared" si="28"/>
        <v>183333.33333333334</v>
      </c>
      <c r="O22" s="28">
        <f t="shared" si="28"/>
        <v>183333.33333333334</v>
      </c>
      <c r="P22" s="29">
        <f t="shared" si="21"/>
        <v>2199999.9999999995</v>
      </c>
      <c r="Q22" s="30">
        <f>+D22+(D22*'DATOS '!$F$18)</f>
        <v>189346.66666666669</v>
      </c>
      <c r="R22" s="31">
        <f>+E22+(E22*'DATOS '!$F$18)</f>
        <v>189346.66666666669</v>
      </c>
      <c r="S22" s="31">
        <f>+F22+(F22*'DATOS '!$F$18)</f>
        <v>189346.66666666669</v>
      </c>
      <c r="T22" s="31">
        <f>+G22+(G22*'DATOS '!$F$18)</f>
        <v>189346.66666666669</v>
      </c>
      <c r="U22" s="31">
        <f>+H22+(H22*'DATOS '!$F$18)</f>
        <v>189346.66666666669</v>
      </c>
      <c r="V22" s="31">
        <f>+I22+(I22*'DATOS '!$F$18)</f>
        <v>189346.66666666669</v>
      </c>
      <c r="W22" s="31">
        <f>+J22+(J22*'DATOS '!$F$18)</f>
        <v>189346.66666666669</v>
      </c>
      <c r="X22" s="31">
        <f>+K22+(K22*'DATOS '!$F$18)</f>
        <v>189346.66666666669</v>
      </c>
      <c r="Y22" s="31">
        <f>+L22+(L22*'DATOS '!$F$18)</f>
        <v>189346.66666666669</v>
      </c>
      <c r="Z22" s="31">
        <f>+M22+(M22*'DATOS '!$F$18)</f>
        <v>189346.66666666669</v>
      </c>
      <c r="AA22" s="31">
        <f>+N22+(N22*'DATOS '!$F$18)</f>
        <v>189346.66666666669</v>
      </c>
      <c r="AB22" s="31">
        <f>+O22+(O22*'DATOS '!$F$18)</f>
        <v>189346.66666666669</v>
      </c>
      <c r="AC22" s="32">
        <f t="shared" si="22"/>
        <v>2272160.0000000005</v>
      </c>
      <c r="AD22" s="30">
        <f>+Q22+(Q22*'DATOS '!$G$18)</f>
        <v>195784.45333333337</v>
      </c>
      <c r="AE22" s="31">
        <f>+R22+(R22*'DATOS '!$G$18)</f>
        <v>195784.45333333337</v>
      </c>
      <c r="AF22" s="31">
        <f>+S22+(S22*'DATOS '!$G$18)</f>
        <v>195784.45333333337</v>
      </c>
      <c r="AG22" s="31">
        <f>+T22+(T22*'DATOS '!$G$18)</f>
        <v>195784.45333333337</v>
      </c>
      <c r="AH22" s="31">
        <f>+U22+(U22*'DATOS '!$G$18)</f>
        <v>195784.45333333337</v>
      </c>
      <c r="AI22" s="31">
        <f>+V22+(V22*'DATOS '!$G$18)</f>
        <v>195784.45333333337</v>
      </c>
      <c r="AJ22" s="31">
        <f>+W22+(W22*'DATOS '!$G$18)</f>
        <v>195784.45333333337</v>
      </c>
      <c r="AK22" s="31">
        <f>+X22+(X22*'DATOS '!$G$18)</f>
        <v>195784.45333333337</v>
      </c>
      <c r="AL22" s="31">
        <f>+Y22+(Y22*'DATOS '!$G$18)</f>
        <v>195784.45333333337</v>
      </c>
      <c r="AM22" s="31">
        <f>+Z22+(Z22*'DATOS '!$G$18)</f>
        <v>195784.45333333337</v>
      </c>
      <c r="AN22" s="31">
        <f>+AA22+(AA22*'DATOS '!$G$18)</f>
        <v>195784.45333333337</v>
      </c>
      <c r="AO22" s="31">
        <f>+AB22+(AB22*'DATOS '!$G$18)</f>
        <v>195784.45333333337</v>
      </c>
      <c r="AP22" s="32">
        <f t="shared" si="23"/>
        <v>2349413.4400000004</v>
      </c>
      <c r="AQ22" s="30">
        <f>+AD22+(AD22*'DATOS '!$H$18)</f>
        <v>202832.69365333338</v>
      </c>
      <c r="AR22" s="31">
        <f>+AE22+(AE22*'DATOS '!$H$18)</f>
        <v>202832.69365333338</v>
      </c>
      <c r="AS22" s="31">
        <f>+AF22+(AF22*'DATOS '!$H$18)</f>
        <v>202832.69365333338</v>
      </c>
      <c r="AT22" s="31">
        <f>+AG22+(AG22*'DATOS '!$H$18)</f>
        <v>202832.69365333338</v>
      </c>
      <c r="AU22" s="31">
        <f>+AH22+(AH22*'DATOS '!$H$18)</f>
        <v>202832.69365333338</v>
      </c>
      <c r="AV22" s="31">
        <f>+AI22+(AI22*'DATOS '!$H$18)</f>
        <v>202832.69365333338</v>
      </c>
      <c r="AW22" s="31">
        <f>+AJ22+(AJ22*'DATOS '!$H$18)</f>
        <v>202832.69365333338</v>
      </c>
      <c r="AX22" s="31">
        <f>+AK22+(AK22*'DATOS '!$H$18)</f>
        <v>202832.69365333338</v>
      </c>
      <c r="AY22" s="31">
        <f>+AL22+(AL22*'DATOS '!$H$18)</f>
        <v>202832.69365333338</v>
      </c>
      <c r="AZ22" s="31">
        <f>+AM22+(AM22*'DATOS '!$H$18)</f>
        <v>202832.69365333338</v>
      </c>
      <c r="BA22" s="31">
        <f>+AN22+(AN22*'DATOS '!$H$18)</f>
        <v>202832.69365333338</v>
      </c>
      <c r="BB22" s="31">
        <f>+AO22+(AO22*'DATOS '!$H$18)</f>
        <v>202832.69365333338</v>
      </c>
      <c r="BC22" s="32">
        <f t="shared" si="24"/>
        <v>2433992.3238400011</v>
      </c>
      <c r="BD22" s="30">
        <f>+AQ22+(AQ22*'DATOS '!$I$18)</f>
        <v>210134.67062485337</v>
      </c>
      <c r="BE22" s="31">
        <f>+AR22+(AR22*'DATOS '!$I$18)</f>
        <v>210134.67062485337</v>
      </c>
      <c r="BF22" s="31">
        <f>+AS22+(AS22*'DATOS '!$I$18)</f>
        <v>210134.67062485337</v>
      </c>
      <c r="BG22" s="31">
        <f>+AT22+(AT22*'DATOS '!$I$18)</f>
        <v>210134.67062485337</v>
      </c>
      <c r="BH22" s="31">
        <f>+AU22+(AU22*'DATOS '!$I$18)</f>
        <v>210134.67062485337</v>
      </c>
      <c r="BI22" s="31">
        <f>+AV22+(AV22*'DATOS '!$I$18)</f>
        <v>210134.67062485337</v>
      </c>
      <c r="BJ22" s="31">
        <f>+AW22+(AW22*'DATOS '!$I$18)</f>
        <v>210134.67062485337</v>
      </c>
      <c r="BK22" s="31">
        <f>+AX22+(AX22*'DATOS '!$I$18)</f>
        <v>210134.67062485337</v>
      </c>
      <c r="BL22" s="31">
        <f>+AY22+(AY22*'DATOS '!$I$18)</f>
        <v>210134.67062485337</v>
      </c>
      <c r="BM22" s="31">
        <f>+AZ22+(AZ22*'DATOS '!$I$18)</f>
        <v>210134.67062485337</v>
      </c>
      <c r="BN22" s="31">
        <f>+BA22+(BA22*'DATOS '!$I$18)</f>
        <v>210134.67062485337</v>
      </c>
      <c r="BO22" s="31">
        <f>+BB22+(BB22*'DATOS '!$I$18)</f>
        <v>210134.67062485337</v>
      </c>
      <c r="BP22" s="32">
        <f t="shared" si="25"/>
        <v>2521616.0474982411</v>
      </c>
    </row>
    <row r="23" spans="3:68" ht="16.5" thickBot="1" x14ac:dyDescent="0.3">
      <c r="C23" s="22" t="s">
        <v>174</v>
      </c>
      <c r="D23" s="33">
        <v>400000</v>
      </c>
      <c r="E23" s="34">
        <v>400000</v>
      </c>
      <c r="F23" s="34">
        <v>400000</v>
      </c>
      <c r="G23" s="34">
        <v>400000</v>
      </c>
      <c r="H23" s="34">
        <v>400000</v>
      </c>
      <c r="I23" s="34">
        <v>400000</v>
      </c>
      <c r="J23" s="34">
        <v>400000</v>
      </c>
      <c r="K23" s="34">
        <v>400000</v>
      </c>
      <c r="L23" s="34">
        <v>400000</v>
      </c>
      <c r="M23" s="34">
        <v>400000</v>
      </c>
      <c r="N23" s="34">
        <v>400000</v>
      </c>
      <c r="O23" s="43">
        <v>400000</v>
      </c>
      <c r="P23" s="35">
        <f t="shared" si="21"/>
        <v>4800000</v>
      </c>
      <c r="Q23" s="33">
        <v>400000</v>
      </c>
      <c r="R23" s="34">
        <v>400000</v>
      </c>
      <c r="S23" s="34">
        <v>400000</v>
      </c>
      <c r="T23" s="34">
        <v>400000</v>
      </c>
      <c r="U23" s="34">
        <v>400000</v>
      </c>
      <c r="V23" s="34">
        <v>400000</v>
      </c>
      <c r="W23" s="34">
        <v>400000</v>
      </c>
      <c r="X23" s="34">
        <v>400000</v>
      </c>
      <c r="Y23" s="34">
        <v>400000</v>
      </c>
      <c r="Z23" s="34">
        <v>400000</v>
      </c>
      <c r="AA23" s="34">
        <v>400000</v>
      </c>
      <c r="AB23" s="34">
        <v>400000</v>
      </c>
      <c r="AC23" s="38">
        <f t="shared" si="22"/>
        <v>4800000</v>
      </c>
      <c r="AD23" s="33">
        <v>400000</v>
      </c>
      <c r="AE23" s="34">
        <v>400000</v>
      </c>
      <c r="AF23" s="34">
        <v>400000</v>
      </c>
      <c r="AG23" s="34">
        <v>400000</v>
      </c>
      <c r="AH23" s="34">
        <v>400000</v>
      </c>
      <c r="AI23" s="34">
        <v>400000</v>
      </c>
      <c r="AJ23" s="34">
        <v>400000</v>
      </c>
      <c r="AK23" s="34">
        <v>400000</v>
      </c>
      <c r="AL23" s="34">
        <v>400000</v>
      </c>
      <c r="AM23" s="34">
        <v>400000</v>
      </c>
      <c r="AN23" s="34">
        <v>400000</v>
      </c>
      <c r="AO23" s="34">
        <v>400000</v>
      </c>
      <c r="AP23" s="38">
        <f t="shared" si="23"/>
        <v>4800000</v>
      </c>
      <c r="AQ23" s="33">
        <v>400000</v>
      </c>
      <c r="AR23" s="34">
        <v>400000</v>
      </c>
      <c r="AS23" s="34">
        <v>400000</v>
      </c>
      <c r="AT23" s="34">
        <v>400000</v>
      </c>
      <c r="AU23" s="34">
        <v>400000</v>
      </c>
      <c r="AV23" s="34">
        <v>400000</v>
      </c>
      <c r="AW23" s="34">
        <v>400000</v>
      </c>
      <c r="AX23" s="34">
        <v>400000</v>
      </c>
      <c r="AY23" s="34">
        <v>400000</v>
      </c>
      <c r="AZ23" s="34">
        <v>400000</v>
      </c>
      <c r="BA23" s="34">
        <v>400000</v>
      </c>
      <c r="BB23" s="34">
        <v>400000</v>
      </c>
      <c r="BC23" s="38">
        <f t="shared" si="24"/>
        <v>4800000</v>
      </c>
      <c r="BD23" s="33">
        <v>400000</v>
      </c>
      <c r="BE23" s="34">
        <v>400000</v>
      </c>
      <c r="BF23" s="34">
        <v>400000</v>
      </c>
      <c r="BG23" s="34">
        <v>400000</v>
      </c>
      <c r="BH23" s="34">
        <v>400000</v>
      </c>
      <c r="BI23" s="34">
        <v>400000</v>
      </c>
      <c r="BJ23" s="34">
        <v>400000</v>
      </c>
      <c r="BK23" s="34">
        <v>400000</v>
      </c>
      <c r="BL23" s="34">
        <v>400000</v>
      </c>
      <c r="BM23" s="34">
        <v>400000</v>
      </c>
      <c r="BN23" s="34">
        <v>400000</v>
      </c>
      <c r="BO23" s="34">
        <v>400000</v>
      </c>
      <c r="BP23" s="38">
        <f t="shared" si="25"/>
        <v>4800000</v>
      </c>
    </row>
    <row r="24" spans="3:68" ht="16.5" thickTop="1" x14ac:dyDescent="0.25">
      <c r="C24" s="23" t="s">
        <v>206</v>
      </c>
      <c r="D24" s="27">
        <f t="shared" ref="D24:AI24" si="29">SUM(D17:D23)</f>
        <v>17838535.280000001</v>
      </c>
      <c r="E24" s="28">
        <f t="shared" si="29"/>
        <v>17838535.280000001</v>
      </c>
      <c r="F24" s="28">
        <f t="shared" si="29"/>
        <v>17838535.280000001</v>
      </c>
      <c r="G24" s="28">
        <f t="shared" si="29"/>
        <v>17838535.280000001</v>
      </c>
      <c r="H24" s="28">
        <f t="shared" si="29"/>
        <v>17838535.280000001</v>
      </c>
      <c r="I24" s="28">
        <f t="shared" si="29"/>
        <v>17838535.280000001</v>
      </c>
      <c r="J24" s="28">
        <f t="shared" si="29"/>
        <v>17838535.280000001</v>
      </c>
      <c r="K24" s="28">
        <f t="shared" si="29"/>
        <v>17838535.280000001</v>
      </c>
      <c r="L24" s="28">
        <f t="shared" si="29"/>
        <v>17838535.280000001</v>
      </c>
      <c r="M24" s="28">
        <f t="shared" si="29"/>
        <v>17838535.280000001</v>
      </c>
      <c r="N24" s="28">
        <f t="shared" si="29"/>
        <v>17838535.280000001</v>
      </c>
      <c r="O24" s="28">
        <f t="shared" si="29"/>
        <v>17838535.280000001</v>
      </c>
      <c r="P24" s="39">
        <f t="shared" si="29"/>
        <v>214062423.36000001</v>
      </c>
      <c r="Q24" s="27">
        <f t="shared" si="29"/>
        <v>18681875.644000005</v>
      </c>
      <c r="R24" s="28">
        <f t="shared" si="29"/>
        <v>18681875.644000005</v>
      </c>
      <c r="S24" s="28">
        <f t="shared" si="29"/>
        <v>18681875.644000005</v>
      </c>
      <c r="T24" s="28">
        <f t="shared" si="29"/>
        <v>18681875.644000005</v>
      </c>
      <c r="U24" s="28">
        <f t="shared" si="29"/>
        <v>18681875.644000005</v>
      </c>
      <c r="V24" s="28">
        <f t="shared" si="29"/>
        <v>18681875.644000005</v>
      </c>
      <c r="W24" s="28">
        <f t="shared" si="29"/>
        <v>18681875.644000005</v>
      </c>
      <c r="X24" s="28">
        <f t="shared" si="29"/>
        <v>18681875.644000005</v>
      </c>
      <c r="Y24" s="28">
        <f t="shared" si="29"/>
        <v>18681875.644000005</v>
      </c>
      <c r="Z24" s="28">
        <f t="shared" si="29"/>
        <v>18681875.644000005</v>
      </c>
      <c r="AA24" s="28">
        <f t="shared" si="29"/>
        <v>18681875.644000005</v>
      </c>
      <c r="AB24" s="28">
        <f t="shared" si="29"/>
        <v>18681875.644000005</v>
      </c>
      <c r="AC24" s="39">
        <f t="shared" si="29"/>
        <v>224182507.72800002</v>
      </c>
      <c r="AD24" s="27">
        <f t="shared" si="29"/>
        <v>19568505.2086</v>
      </c>
      <c r="AE24" s="28">
        <f t="shared" si="29"/>
        <v>19568505.2086</v>
      </c>
      <c r="AF24" s="28">
        <f t="shared" si="29"/>
        <v>19568505.2086</v>
      </c>
      <c r="AG24" s="28">
        <f t="shared" si="29"/>
        <v>19568505.2086</v>
      </c>
      <c r="AH24" s="28">
        <f t="shared" si="29"/>
        <v>19568505.2086</v>
      </c>
      <c r="AI24" s="28">
        <f t="shared" si="29"/>
        <v>19568505.2086</v>
      </c>
      <c r="AJ24" s="28">
        <f t="shared" ref="AJ24:BO24" si="30">SUM(AJ17:AJ23)</f>
        <v>19568505.2086</v>
      </c>
      <c r="AK24" s="28">
        <f t="shared" si="30"/>
        <v>19568505.2086</v>
      </c>
      <c r="AL24" s="28">
        <f t="shared" si="30"/>
        <v>19568505.2086</v>
      </c>
      <c r="AM24" s="28">
        <f t="shared" si="30"/>
        <v>19568505.2086</v>
      </c>
      <c r="AN24" s="28">
        <f t="shared" si="30"/>
        <v>19568505.2086</v>
      </c>
      <c r="AO24" s="28">
        <f t="shared" si="30"/>
        <v>19568505.2086</v>
      </c>
      <c r="AP24" s="39">
        <f t="shared" si="30"/>
        <v>234822062.50320002</v>
      </c>
      <c r="AQ24" s="27">
        <f t="shared" si="30"/>
        <v>20502082.218156401</v>
      </c>
      <c r="AR24" s="28">
        <f t="shared" si="30"/>
        <v>20502082.218156401</v>
      </c>
      <c r="AS24" s="28">
        <f t="shared" si="30"/>
        <v>20502082.218156401</v>
      </c>
      <c r="AT24" s="28">
        <f t="shared" si="30"/>
        <v>20502082.218156401</v>
      </c>
      <c r="AU24" s="28">
        <f t="shared" si="30"/>
        <v>20502082.218156401</v>
      </c>
      <c r="AV24" s="28">
        <f t="shared" si="30"/>
        <v>20502082.218156401</v>
      </c>
      <c r="AW24" s="28">
        <f t="shared" si="30"/>
        <v>20502082.218156401</v>
      </c>
      <c r="AX24" s="28">
        <f t="shared" si="30"/>
        <v>20502082.218156401</v>
      </c>
      <c r="AY24" s="28">
        <f t="shared" si="30"/>
        <v>20502082.218156401</v>
      </c>
      <c r="AZ24" s="28">
        <f t="shared" si="30"/>
        <v>20502082.218156401</v>
      </c>
      <c r="BA24" s="28">
        <f t="shared" si="30"/>
        <v>20502082.218156401</v>
      </c>
      <c r="BB24" s="28">
        <f t="shared" si="30"/>
        <v>20502082.218156401</v>
      </c>
      <c r="BC24" s="39">
        <f t="shared" si="30"/>
        <v>246024986.61787683</v>
      </c>
      <c r="BD24" s="27">
        <f t="shared" si="30"/>
        <v>21664076.657694269</v>
      </c>
      <c r="BE24" s="28">
        <f t="shared" si="30"/>
        <v>21664076.657694269</v>
      </c>
      <c r="BF24" s="28">
        <f t="shared" si="30"/>
        <v>21664076.657694269</v>
      </c>
      <c r="BG24" s="28">
        <f t="shared" si="30"/>
        <v>21664076.657694269</v>
      </c>
      <c r="BH24" s="28">
        <f t="shared" si="30"/>
        <v>21664076.657694269</v>
      </c>
      <c r="BI24" s="28">
        <f t="shared" si="30"/>
        <v>21664076.657694269</v>
      </c>
      <c r="BJ24" s="28">
        <f t="shared" si="30"/>
        <v>21664076.657694269</v>
      </c>
      <c r="BK24" s="28">
        <f t="shared" si="30"/>
        <v>21664076.657694269</v>
      </c>
      <c r="BL24" s="28">
        <f t="shared" si="30"/>
        <v>21664076.657694269</v>
      </c>
      <c r="BM24" s="28">
        <f t="shared" si="30"/>
        <v>21664076.657694269</v>
      </c>
      <c r="BN24" s="28">
        <f t="shared" si="30"/>
        <v>21664076.657694269</v>
      </c>
      <c r="BO24" s="28">
        <f t="shared" si="30"/>
        <v>21664076.657694269</v>
      </c>
      <c r="BP24" s="39">
        <f t="shared" ref="BP24" si="31">SUM(BP17:BP23)</f>
        <v>259968919.89233118</v>
      </c>
    </row>
    <row r="25" spans="3:68" x14ac:dyDescent="0.25">
      <c r="C25" s="22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  <c r="Q25" s="22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22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2"/>
      <c r="AQ25" s="22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2"/>
      <c r="BD25" s="22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2"/>
    </row>
    <row r="26" spans="3:68" x14ac:dyDescent="0.25">
      <c r="C26" s="22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  <c r="Q26" s="22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22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2"/>
      <c r="AQ26" s="22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2"/>
      <c r="BD26" s="22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2"/>
    </row>
    <row r="27" spans="3:68" ht="16.5" thickBot="1" x14ac:dyDescent="0.3">
      <c r="C27" s="23" t="s">
        <v>177</v>
      </c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5"/>
      <c r="Q27" s="44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6"/>
      <c r="AD27" s="44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6"/>
      <c r="AQ27" s="44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6"/>
      <c r="BD27" s="44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6"/>
    </row>
    <row r="28" spans="3:68" ht="16.5" thickTop="1" x14ac:dyDescent="0.25">
      <c r="C28" s="22" t="s">
        <v>178</v>
      </c>
      <c r="D28" s="27">
        <f>10000000/12</f>
        <v>833333.33333333337</v>
      </c>
      <c r="E28" s="28">
        <f t="shared" ref="E28:O28" si="32">10000000/12</f>
        <v>833333.33333333337</v>
      </c>
      <c r="F28" s="28">
        <f t="shared" si="32"/>
        <v>833333.33333333337</v>
      </c>
      <c r="G28" s="28">
        <f t="shared" si="32"/>
        <v>833333.33333333337</v>
      </c>
      <c r="H28" s="28">
        <f t="shared" si="32"/>
        <v>833333.33333333337</v>
      </c>
      <c r="I28" s="28">
        <f t="shared" si="32"/>
        <v>833333.33333333337</v>
      </c>
      <c r="J28" s="28">
        <f t="shared" si="32"/>
        <v>833333.33333333337</v>
      </c>
      <c r="K28" s="28">
        <f t="shared" si="32"/>
        <v>833333.33333333337</v>
      </c>
      <c r="L28" s="28">
        <f t="shared" si="32"/>
        <v>833333.33333333337</v>
      </c>
      <c r="M28" s="28">
        <f t="shared" si="32"/>
        <v>833333.33333333337</v>
      </c>
      <c r="N28" s="28">
        <f t="shared" si="32"/>
        <v>833333.33333333337</v>
      </c>
      <c r="O28" s="28">
        <f t="shared" si="32"/>
        <v>833333.33333333337</v>
      </c>
      <c r="P28" s="39">
        <f t="shared" si="21"/>
        <v>10000000</v>
      </c>
      <c r="Q28" s="47">
        <f>+D28+(D28*'DATOS '!$F$18)</f>
        <v>860666.66666666674</v>
      </c>
      <c r="R28" s="48">
        <f>+E28+(E28*'DATOS '!$F$18)</f>
        <v>860666.66666666674</v>
      </c>
      <c r="S28" s="48">
        <f>+F28+(F28*'DATOS '!$F$18)</f>
        <v>860666.66666666674</v>
      </c>
      <c r="T28" s="48">
        <f>+G28+(G28*'DATOS '!$F$18)</f>
        <v>860666.66666666674</v>
      </c>
      <c r="U28" s="48">
        <f>+H28+(H28*'DATOS '!$F$18)</f>
        <v>860666.66666666674</v>
      </c>
      <c r="V28" s="48">
        <f>+I28+(I28*'DATOS '!$F$18)</f>
        <v>860666.66666666674</v>
      </c>
      <c r="W28" s="48">
        <f>+J28+(J28*'DATOS '!$F$18)</f>
        <v>860666.66666666674</v>
      </c>
      <c r="X28" s="48">
        <f>+K28+(K28*'DATOS '!$F$18)</f>
        <v>860666.66666666674</v>
      </c>
      <c r="Y28" s="48">
        <f>+L28+(L28*'DATOS '!$F$18)</f>
        <v>860666.66666666674</v>
      </c>
      <c r="Z28" s="48">
        <f>+M28+(M28*'DATOS '!$F$18)</f>
        <v>860666.66666666674</v>
      </c>
      <c r="AA28" s="48">
        <f>+N28+(N28*'DATOS '!$F$18)</f>
        <v>860666.66666666674</v>
      </c>
      <c r="AB28" s="48">
        <f>+O28+(O28*'DATOS '!$F$18)</f>
        <v>860666.66666666674</v>
      </c>
      <c r="AC28" s="40">
        <f>SUM(Q28:AB28)</f>
        <v>10328000</v>
      </c>
      <c r="AD28" s="47">
        <f>+Q28+(Q28*'DATOS '!$G$18)</f>
        <v>889929.33333333337</v>
      </c>
      <c r="AE28" s="48">
        <f>+R28+(R28*'DATOS '!$G$18)</f>
        <v>889929.33333333337</v>
      </c>
      <c r="AF28" s="48">
        <f>+S28+(S28*'DATOS '!$G$18)</f>
        <v>889929.33333333337</v>
      </c>
      <c r="AG28" s="48">
        <f>+T28+(T28*'DATOS '!$G$18)</f>
        <v>889929.33333333337</v>
      </c>
      <c r="AH28" s="48">
        <f>+U28+(U28*'DATOS '!$G$18)</f>
        <v>889929.33333333337</v>
      </c>
      <c r="AI28" s="48">
        <f>+V28+(V28*'DATOS '!$G$18)</f>
        <v>889929.33333333337</v>
      </c>
      <c r="AJ28" s="48">
        <f>+W28+(W28*'DATOS '!$G$18)</f>
        <v>889929.33333333337</v>
      </c>
      <c r="AK28" s="48">
        <f>+X28+(X28*'DATOS '!$G$18)</f>
        <v>889929.33333333337</v>
      </c>
      <c r="AL28" s="48">
        <f>+Y28+(Y28*'DATOS '!$G$18)</f>
        <v>889929.33333333337</v>
      </c>
      <c r="AM28" s="48">
        <f>+Z28+(Z28*'DATOS '!$G$18)</f>
        <v>889929.33333333337</v>
      </c>
      <c r="AN28" s="48">
        <f>+AA28+(AA28*'DATOS '!$G$18)</f>
        <v>889929.33333333337</v>
      </c>
      <c r="AO28" s="48">
        <f>+AB28+(AB28*'DATOS '!$G$18)</f>
        <v>889929.33333333337</v>
      </c>
      <c r="AP28" s="40">
        <f>SUM(AD28:AO28)</f>
        <v>10679152</v>
      </c>
      <c r="AQ28" s="47">
        <f>+AD28+(AD28*'DATOS '!$H$18)</f>
        <v>921966.78933333338</v>
      </c>
      <c r="AR28" s="48">
        <f>+AE28+(AE28*'DATOS '!$H$18)</f>
        <v>921966.78933333338</v>
      </c>
      <c r="AS28" s="48">
        <f>+AF28+(AF28*'DATOS '!$H$18)</f>
        <v>921966.78933333338</v>
      </c>
      <c r="AT28" s="48">
        <f>+AG28+(AG28*'DATOS '!$H$18)</f>
        <v>921966.78933333338</v>
      </c>
      <c r="AU28" s="48">
        <f>+AH28+(AH28*'DATOS '!$H$18)</f>
        <v>921966.78933333338</v>
      </c>
      <c r="AV28" s="48">
        <f>+AI28+(AI28*'DATOS '!$H$18)</f>
        <v>921966.78933333338</v>
      </c>
      <c r="AW28" s="48">
        <f>+AJ28+(AJ28*'DATOS '!$H$18)</f>
        <v>921966.78933333338</v>
      </c>
      <c r="AX28" s="48">
        <f>+AK28+(AK28*'DATOS '!$H$18)</f>
        <v>921966.78933333338</v>
      </c>
      <c r="AY28" s="48">
        <f>+AL28+(AL28*'DATOS '!$H$18)</f>
        <v>921966.78933333338</v>
      </c>
      <c r="AZ28" s="48">
        <f>+AM28+(AM28*'DATOS '!$H$18)</f>
        <v>921966.78933333338</v>
      </c>
      <c r="BA28" s="48">
        <f>+AN28+(AN28*'DATOS '!$H$18)</f>
        <v>921966.78933333338</v>
      </c>
      <c r="BB28" s="48">
        <f>+AO28+(AO28*'DATOS '!$H$18)</f>
        <v>921966.78933333338</v>
      </c>
      <c r="BC28" s="40">
        <f>SUM(AQ28:BB28)</f>
        <v>11063601.472000003</v>
      </c>
      <c r="BD28" s="47">
        <f>+AQ28+(AQ28*'DATOS '!$I$18)</f>
        <v>955157.59374933341</v>
      </c>
      <c r="BE28" s="48">
        <f>+AR28+(AR28*'DATOS '!$I$18)</f>
        <v>955157.59374933341</v>
      </c>
      <c r="BF28" s="48">
        <f>+AS28+(AS28*'DATOS '!$I$18)</f>
        <v>955157.59374933341</v>
      </c>
      <c r="BG28" s="48">
        <f>+AT28+(AT28*'DATOS '!$I$18)</f>
        <v>955157.59374933341</v>
      </c>
      <c r="BH28" s="48">
        <f>+AU28+(AU28*'DATOS '!$I$18)</f>
        <v>955157.59374933341</v>
      </c>
      <c r="BI28" s="48">
        <f>+AV28+(AV28*'DATOS '!$I$18)</f>
        <v>955157.59374933341</v>
      </c>
      <c r="BJ28" s="48">
        <f>+AW28+(AW28*'DATOS '!$I$18)</f>
        <v>955157.59374933341</v>
      </c>
      <c r="BK28" s="48">
        <f>+AX28+(AX28*'DATOS '!$I$18)</f>
        <v>955157.59374933341</v>
      </c>
      <c r="BL28" s="48">
        <f>+AY28+(AY28*'DATOS '!$I$18)</f>
        <v>955157.59374933341</v>
      </c>
      <c r="BM28" s="48">
        <f>+AZ28+(AZ28*'DATOS '!$I$18)</f>
        <v>955157.59374933341</v>
      </c>
      <c r="BN28" s="48">
        <f>+BA28+(BA28*'DATOS '!$I$18)</f>
        <v>955157.59374933341</v>
      </c>
      <c r="BO28" s="48">
        <f>+BB28+(BB28*'DATOS '!$I$18)</f>
        <v>955157.59374933341</v>
      </c>
      <c r="BP28" s="40">
        <f>SUM(BD28:BO28)</f>
        <v>11461891.124992</v>
      </c>
    </row>
    <row r="29" spans="3:68" ht="16.5" thickBot="1" x14ac:dyDescent="0.3">
      <c r="C29" s="22"/>
      <c r="D29" s="22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29"/>
      <c r="Q29" s="22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2"/>
      <c r="AD29" s="22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2"/>
      <c r="AQ29" s="22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2"/>
      <c r="BD29" s="22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2"/>
    </row>
    <row r="30" spans="3:68" s="4" customFormat="1" ht="16.5" thickBot="1" x14ac:dyDescent="0.3">
      <c r="C30" s="49" t="s">
        <v>200</v>
      </c>
      <c r="D30" s="50">
        <f t="shared" ref="D30:AI30" si="33">+D14+D24+D28</f>
        <v>22526035.280000001</v>
      </c>
      <c r="E30" s="51">
        <f t="shared" si="33"/>
        <v>22526035.280000001</v>
      </c>
      <c r="F30" s="51">
        <f t="shared" si="33"/>
        <v>22526035.280000001</v>
      </c>
      <c r="G30" s="51">
        <f t="shared" si="33"/>
        <v>22526035.280000001</v>
      </c>
      <c r="H30" s="51">
        <f t="shared" si="33"/>
        <v>22526035.280000001</v>
      </c>
      <c r="I30" s="51">
        <f t="shared" si="33"/>
        <v>22526035.280000001</v>
      </c>
      <c r="J30" s="51">
        <f t="shared" si="33"/>
        <v>22526035.280000001</v>
      </c>
      <c r="K30" s="51">
        <f t="shared" si="33"/>
        <v>22526035.280000001</v>
      </c>
      <c r="L30" s="51">
        <f t="shared" si="33"/>
        <v>22526035.280000001</v>
      </c>
      <c r="M30" s="51">
        <f t="shared" si="33"/>
        <v>22526035.280000001</v>
      </c>
      <c r="N30" s="51">
        <f t="shared" si="33"/>
        <v>22526035.280000001</v>
      </c>
      <c r="O30" s="51">
        <f t="shared" si="33"/>
        <v>22526035.280000001</v>
      </c>
      <c r="P30" s="52">
        <f t="shared" si="33"/>
        <v>270312423.36000001</v>
      </c>
      <c r="Q30" s="53">
        <f t="shared" si="33"/>
        <v>23523125.644000005</v>
      </c>
      <c r="R30" s="54">
        <f t="shared" si="33"/>
        <v>23523125.644000005</v>
      </c>
      <c r="S30" s="54">
        <f t="shared" si="33"/>
        <v>23523125.644000005</v>
      </c>
      <c r="T30" s="54">
        <f t="shared" si="33"/>
        <v>23523125.644000005</v>
      </c>
      <c r="U30" s="54">
        <f t="shared" si="33"/>
        <v>23523125.644000005</v>
      </c>
      <c r="V30" s="54">
        <f t="shared" si="33"/>
        <v>23523125.644000005</v>
      </c>
      <c r="W30" s="54">
        <f t="shared" si="33"/>
        <v>23523125.644000005</v>
      </c>
      <c r="X30" s="54">
        <f t="shared" si="33"/>
        <v>23523125.644000005</v>
      </c>
      <c r="Y30" s="54">
        <f t="shared" si="33"/>
        <v>23523125.644000005</v>
      </c>
      <c r="Z30" s="54">
        <f t="shared" si="33"/>
        <v>23523125.644000005</v>
      </c>
      <c r="AA30" s="54">
        <f t="shared" si="33"/>
        <v>23523125.644000005</v>
      </c>
      <c r="AB30" s="54">
        <f t="shared" si="33"/>
        <v>23523125.644000005</v>
      </c>
      <c r="AC30" s="55">
        <f t="shared" si="33"/>
        <v>282277507.72800004</v>
      </c>
      <c r="AD30" s="53">
        <f t="shared" si="33"/>
        <v>24574357.7086</v>
      </c>
      <c r="AE30" s="54">
        <f t="shared" si="33"/>
        <v>24574357.7086</v>
      </c>
      <c r="AF30" s="54">
        <f t="shared" si="33"/>
        <v>24574357.7086</v>
      </c>
      <c r="AG30" s="54">
        <f t="shared" si="33"/>
        <v>24574357.7086</v>
      </c>
      <c r="AH30" s="54">
        <f t="shared" si="33"/>
        <v>24574357.7086</v>
      </c>
      <c r="AI30" s="54">
        <f t="shared" si="33"/>
        <v>24574357.7086</v>
      </c>
      <c r="AJ30" s="54">
        <f t="shared" ref="AJ30:BP30" si="34">+AJ14+AJ24+AJ28</f>
        <v>24574357.7086</v>
      </c>
      <c r="AK30" s="54">
        <f t="shared" si="34"/>
        <v>24574357.7086</v>
      </c>
      <c r="AL30" s="54">
        <f t="shared" si="34"/>
        <v>24574357.7086</v>
      </c>
      <c r="AM30" s="54">
        <f t="shared" si="34"/>
        <v>24574357.7086</v>
      </c>
      <c r="AN30" s="54">
        <f t="shared" si="34"/>
        <v>24574357.7086</v>
      </c>
      <c r="AO30" s="54">
        <f t="shared" si="34"/>
        <v>24574357.7086</v>
      </c>
      <c r="AP30" s="55">
        <f t="shared" si="34"/>
        <v>294892292.50320005</v>
      </c>
      <c r="AQ30" s="53">
        <f t="shared" si="34"/>
        <v>25688145.408156399</v>
      </c>
      <c r="AR30" s="54">
        <f t="shared" si="34"/>
        <v>25688145.408156399</v>
      </c>
      <c r="AS30" s="54">
        <f t="shared" si="34"/>
        <v>25688145.408156399</v>
      </c>
      <c r="AT30" s="54">
        <f t="shared" si="34"/>
        <v>25688145.408156399</v>
      </c>
      <c r="AU30" s="54">
        <f t="shared" si="34"/>
        <v>25688145.408156399</v>
      </c>
      <c r="AV30" s="54">
        <f t="shared" si="34"/>
        <v>25688145.408156399</v>
      </c>
      <c r="AW30" s="54">
        <f t="shared" si="34"/>
        <v>25688145.408156399</v>
      </c>
      <c r="AX30" s="54">
        <f t="shared" si="34"/>
        <v>25688145.408156399</v>
      </c>
      <c r="AY30" s="54">
        <f t="shared" si="34"/>
        <v>25688145.408156399</v>
      </c>
      <c r="AZ30" s="54">
        <f t="shared" si="34"/>
        <v>25688145.408156399</v>
      </c>
      <c r="BA30" s="54">
        <f t="shared" si="34"/>
        <v>25688145.408156399</v>
      </c>
      <c r="BB30" s="54">
        <f t="shared" si="34"/>
        <v>25688145.408156399</v>
      </c>
      <c r="BC30" s="55">
        <f t="shared" si="34"/>
        <v>308257744.89787686</v>
      </c>
      <c r="BD30" s="53">
        <f t="shared" si="34"/>
        <v>27036838.122534268</v>
      </c>
      <c r="BE30" s="54">
        <f t="shared" si="34"/>
        <v>27036838.122534268</v>
      </c>
      <c r="BF30" s="54">
        <f t="shared" si="34"/>
        <v>27036838.122534268</v>
      </c>
      <c r="BG30" s="54">
        <f t="shared" si="34"/>
        <v>27036838.122534268</v>
      </c>
      <c r="BH30" s="54">
        <f t="shared" si="34"/>
        <v>27036838.122534268</v>
      </c>
      <c r="BI30" s="54">
        <f t="shared" si="34"/>
        <v>27036838.122534268</v>
      </c>
      <c r="BJ30" s="54">
        <f t="shared" si="34"/>
        <v>27036838.122534268</v>
      </c>
      <c r="BK30" s="54">
        <f t="shared" si="34"/>
        <v>27036838.122534268</v>
      </c>
      <c r="BL30" s="54">
        <f t="shared" si="34"/>
        <v>27036838.122534268</v>
      </c>
      <c r="BM30" s="54">
        <f t="shared" si="34"/>
        <v>27036838.122534268</v>
      </c>
      <c r="BN30" s="54">
        <f t="shared" si="34"/>
        <v>27036838.122534268</v>
      </c>
      <c r="BO30" s="54">
        <f t="shared" si="34"/>
        <v>27036838.122534268</v>
      </c>
      <c r="BP30" s="55">
        <f t="shared" si="34"/>
        <v>324442057.47041118</v>
      </c>
    </row>
    <row r="31" spans="3:68" x14ac:dyDescent="0.25">
      <c r="P31" s="7"/>
    </row>
    <row r="32" spans="3:68" x14ac:dyDescent="0.25">
      <c r="P32" s="7"/>
    </row>
    <row r="33" spans="16:16" x14ac:dyDescent="0.25">
      <c r="P33" s="7"/>
    </row>
    <row r="34" spans="16:16" x14ac:dyDescent="0.25">
      <c r="P34" s="7"/>
    </row>
    <row r="35" spans="16:16" x14ac:dyDescent="0.25">
      <c r="P35" s="7"/>
    </row>
  </sheetData>
  <mergeCells count="6">
    <mergeCell ref="C3:BP3"/>
    <mergeCell ref="D4:P4"/>
    <mergeCell ref="AD4:AP4"/>
    <mergeCell ref="Q4:AC4"/>
    <mergeCell ref="BD4:BP4"/>
    <mergeCell ref="AQ4:BC4"/>
  </mergeCells>
  <phoneticPr fontId="1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D2D6-D622-407D-816B-144DA9C33ED7}">
  <dimension ref="B1:W43"/>
  <sheetViews>
    <sheetView showGridLines="0" showRowColHeaders="0" topLeftCell="A4" zoomScale="90" zoomScaleNormal="90" workbookViewId="0">
      <selection activeCell="B29" sqref="B29"/>
    </sheetView>
  </sheetViews>
  <sheetFormatPr baseColWidth="10" defaultRowHeight="15.75" outlineLevelCol="1" x14ac:dyDescent="0.25"/>
  <cols>
    <col min="1" max="2" width="11" style="3"/>
    <col min="3" max="3" width="23.75" style="3" bestFit="1" customWidth="1"/>
    <col min="4" max="4" width="12.875" style="3" customWidth="1"/>
    <col min="5" max="5" width="12.75" style="3" customWidth="1"/>
    <col min="6" max="6" width="15.625" style="3" bestFit="1" customWidth="1"/>
    <col min="7" max="7" width="13.125" style="3" bestFit="1" customWidth="1"/>
    <col min="8" max="9" width="10.125" style="3" bestFit="1" customWidth="1"/>
    <col min="10" max="10" width="13.625" style="3" bestFit="1" customWidth="1"/>
    <col min="11" max="11" width="8.25" style="3" hidden="1" customWidth="1" outlineLevel="1"/>
    <col min="12" max="21" width="11.125" style="3" hidden="1" customWidth="1" outlineLevel="1"/>
    <col min="22" max="22" width="11.875" style="3" customWidth="1" collapsed="1"/>
    <col min="23" max="16384" width="11" style="3"/>
  </cols>
  <sheetData>
    <row r="1" spans="2:23" ht="16.5" thickBot="1" x14ac:dyDescent="0.3"/>
    <row r="2" spans="2:23" x14ac:dyDescent="0.25"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/>
    </row>
    <row r="3" spans="2:23" x14ac:dyDescent="0.25">
      <c r="B3" s="22"/>
      <c r="C3" s="627" t="s">
        <v>207</v>
      </c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125"/>
    </row>
    <row r="4" spans="2:23" ht="16.5" thickBot="1" x14ac:dyDescent="0.3">
      <c r="B4" s="2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125"/>
    </row>
    <row r="5" spans="2:23" ht="16.5" thickBot="1" x14ac:dyDescent="0.3">
      <c r="B5" s="22"/>
      <c r="C5" s="57" t="s">
        <v>129</v>
      </c>
      <c r="D5" s="58" t="s">
        <v>111</v>
      </c>
      <c r="E5" s="58" t="s">
        <v>157</v>
      </c>
      <c r="F5" s="58" t="s">
        <v>158</v>
      </c>
      <c r="G5" s="59" t="s">
        <v>117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125"/>
    </row>
    <row r="6" spans="2:23" ht="16.5" thickBot="1" x14ac:dyDescent="0.3">
      <c r="B6" s="22"/>
      <c r="C6" s="60" t="s">
        <v>144</v>
      </c>
      <c r="D6" s="61">
        <v>1</v>
      </c>
      <c r="E6" s="62">
        <v>4000000</v>
      </c>
      <c r="F6" s="62">
        <f>+V20</f>
        <v>5754080</v>
      </c>
      <c r="G6" s="63">
        <f>+F6*$I$6</f>
        <v>69048960</v>
      </c>
      <c r="H6" s="126"/>
      <c r="I6" s="127">
        <v>12</v>
      </c>
      <c r="J6" s="41"/>
      <c r="K6" s="41"/>
      <c r="L6" s="41"/>
      <c r="M6" s="628" t="s">
        <v>154</v>
      </c>
      <c r="N6" s="629"/>
      <c r="O6" s="41"/>
      <c r="P6" s="41"/>
      <c r="Q6" s="41"/>
      <c r="R6" s="41"/>
      <c r="S6" s="41"/>
      <c r="T6" s="41"/>
      <c r="U6" s="41"/>
      <c r="V6" s="41"/>
      <c r="W6" s="125"/>
    </row>
    <row r="7" spans="2:23" x14ac:dyDescent="0.25">
      <c r="B7" s="22"/>
      <c r="C7" s="64" t="s">
        <v>145</v>
      </c>
      <c r="D7" s="9">
        <v>1</v>
      </c>
      <c r="E7" s="56">
        <v>1500000</v>
      </c>
      <c r="F7" s="56">
        <f t="shared" ref="F7:F10" si="0">+V21</f>
        <v>2057780</v>
      </c>
      <c r="G7" s="65">
        <f t="shared" ref="G7:G10" si="1">+F7*$I$6</f>
        <v>24693360</v>
      </c>
      <c r="H7" s="126"/>
      <c r="I7" s="41"/>
      <c r="J7" s="41"/>
      <c r="K7" s="41"/>
      <c r="L7" s="41"/>
      <c r="M7" s="75" t="s">
        <v>150</v>
      </c>
      <c r="N7" s="76">
        <v>0.04</v>
      </c>
      <c r="O7" s="41"/>
      <c r="P7" s="41"/>
      <c r="Q7" s="41"/>
      <c r="R7" s="41"/>
      <c r="S7" s="41"/>
      <c r="T7" s="41"/>
      <c r="U7" s="41"/>
      <c r="V7" s="41"/>
      <c r="W7" s="125"/>
    </row>
    <row r="8" spans="2:23" ht="16.5" thickBot="1" x14ac:dyDescent="0.3">
      <c r="B8" s="22"/>
      <c r="C8" s="64" t="s">
        <v>146</v>
      </c>
      <c r="D8" s="9">
        <v>1</v>
      </c>
      <c r="E8" s="56">
        <v>1600000</v>
      </c>
      <c r="F8" s="56">
        <f t="shared" si="0"/>
        <v>2205632</v>
      </c>
      <c r="G8" s="65">
        <f t="shared" si="1"/>
        <v>26467584</v>
      </c>
      <c r="H8" s="126"/>
      <c r="I8" s="41"/>
      <c r="J8" s="41"/>
      <c r="K8" s="41"/>
      <c r="L8" s="41"/>
      <c r="M8" s="77" t="s">
        <v>151</v>
      </c>
      <c r="N8" s="78">
        <v>0.04</v>
      </c>
      <c r="O8" s="41"/>
      <c r="P8" s="41"/>
      <c r="Q8" s="41"/>
      <c r="R8" s="41"/>
      <c r="S8" s="41"/>
      <c r="T8" s="41"/>
      <c r="U8" s="41"/>
      <c r="V8" s="41"/>
      <c r="W8" s="125"/>
    </row>
    <row r="9" spans="2:23" x14ac:dyDescent="0.25">
      <c r="B9" s="22"/>
      <c r="C9" s="64" t="s">
        <v>148</v>
      </c>
      <c r="D9" s="9">
        <v>1</v>
      </c>
      <c r="E9" s="56">
        <v>1600000</v>
      </c>
      <c r="F9" s="56">
        <f t="shared" si="0"/>
        <v>2205632</v>
      </c>
      <c r="G9" s="65">
        <f t="shared" si="1"/>
        <v>26467584</v>
      </c>
      <c r="H9" s="126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125"/>
    </row>
    <row r="10" spans="2:23" x14ac:dyDescent="0.25">
      <c r="B10" s="22"/>
      <c r="C10" s="64" t="s">
        <v>147</v>
      </c>
      <c r="D10" s="9">
        <v>1</v>
      </c>
      <c r="E10" s="56">
        <v>1100000</v>
      </c>
      <c r="F10" s="56">
        <f t="shared" si="0"/>
        <v>1628853.6400000001</v>
      </c>
      <c r="G10" s="65">
        <f t="shared" si="1"/>
        <v>19546243.68</v>
      </c>
      <c r="H10" s="126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125"/>
    </row>
    <row r="11" spans="2:23" ht="16.5" thickBot="1" x14ac:dyDescent="0.3">
      <c r="B11" s="22"/>
      <c r="C11" s="66" t="s">
        <v>149</v>
      </c>
      <c r="D11" s="67">
        <v>1</v>
      </c>
      <c r="E11" s="68">
        <v>1300000</v>
      </c>
      <c r="F11" s="68">
        <f>+V25</f>
        <v>1924557.6400000001</v>
      </c>
      <c r="G11" s="69">
        <f>+F11*$I$6</f>
        <v>23094691.68</v>
      </c>
      <c r="H11" s="126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125"/>
    </row>
    <row r="12" spans="2:23" ht="16.5" thickBot="1" x14ac:dyDescent="0.3">
      <c r="B12" s="22"/>
      <c r="C12" s="41"/>
      <c r="D12" s="70"/>
      <c r="E12" s="71" t="s">
        <v>159</v>
      </c>
      <c r="F12" s="71"/>
      <c r="G12" s="72">
        <f>SUM(G6:G11)</f>
        <v>189318423.36000001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125"/>
    </row>
    <row r="13" spans="2:23" x14ac:dyDescent="0.25">
      <c r="B13" s="22"/>
      <c r="C13" s="41"/>
      <c r="D13" s="41"/>
      <c r="E13" s="128"/>
      <c r="F13" s="128"/>
      <c r="G13" s="12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125"/>
    </row>
    <row r="14" spans="2:23" x14ac:dyDescent="0.25">
      <c r="B14" s="22"/>
      <c r="C14" s="41"/>
      <c r="D14" s="41"/>
      <c r="E14" s="128"/>
      <c r="F14" s="128"/>
      <c r="G14" s="12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125"/>
    </row>
    <row r="15" spans="2:23" x14ac:dyDescent="0.25">
      <c r="B15" s="22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125"/>
    </row>
    <row r="16" spans="2:23" x14ac:dyDescent="0.25">
      <c r="B16" s="22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125"/>
    </row>
    <row r="17" spans="2:23" ht="16.5" thickBot="1" x14ac:dyDescent="0.3">
      <c r="B17" s="22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125"/>
    </row>
    <row r="18" spans="2:23" ht="31.5" x14ac:dyDescent="0.25">
      <c r="B18" s="22"/>
      <c r="C18" s="630" t="s">
        <v>129</v>
      </c>
      <c r="D18" s="632" t="s">
        <v>130</v>
      </c>
      <c r="E18" s="634" t="s">
        <v>131</v>
      </c>
      <c r="F18" s="632" t="s">
        <v>132</v>
      </c>
      <c r="G18" s="634" t="s">
        <v>155</v>
      </c>
      <c r="H18" s="634"/>
      <c r="I18" s="636"/>
      <c r="J18" s="637" t="s">
        <v>133</v>
      </c>
      <c r="K18" s="623" t="s">
        <v>209</v>
      </c>
      <c r="L18" s="624"/>
      <c r="M18" s="102" t="s">
        <v>134</v>
      </c>
      <c r="N18" s="102" t="s">
        <v>135</v>
      </c>
      <c r="O18" s="102" t="s">
        <v>136</v>
      </c>
      <c r="P18" s="103" t="s">
        <v>211</v>
      </c>
      <c r="Q18" s="103" t="s">
        <v>137</v>
      </c>
      <c r="R18" s="103" t="s">
        <v>138</v>
      </c>
      <c r="S18" s="104" t="s">
        <v>139</v>
      </c>
      <c r="T18" s="103" t="s">
        <v>140</v>
      </c>
      <c r="U18" s="114" t="s">
        <v>141</v>
      </c>
      <c r="V18" s="625" t="s">
        <v>142</v>
      </c>
      <c r="W18" s="125"/>
    </row>
    <row r="19" spans="2:23" ht="16.5" thickBot="1" x14ac:dyDescent="0.3">
      <c r="B19" s="22"/>
      <c r="C19" s="631"/>
      <c r="D19" s="633"/>
      <c r="E19" s="635"/>
      <c r="F19" s="633"/>
      <c r="G19" s="101" t="s">
        <v>134</v>
      </c>
      <c r="H19" s="101" t="s">
        <v>135</v>
      </c>
      <c r="I19" s="109" t="s">
        <v>210</v>
      </c>
      <c r="J19" s="638"/>
      <c r="K19" s="105" t="s">
        <v>156</v>
      </c>
      <c r="L19" s="106" t="s">
        <v>143</v>
      </c>
      <c r="M19" s="107">
        <v>8.5000000000000006E-2</v>
      </c>
      <c r="N19" s="108">
        <v>0.12</v>
      </c>
      <c r="O19" s="107">
        <v>8.3299999999999999E-2</v>
      </c>
      <c r="P19" s="108">
        <v>0.01</v>
      </c>
      <c r="Q19" s="107">
        <v>8.3299999999999999E-2</v>
      </c>
      <c r="R19" s="107">
        <v>4.1700000000000001E-2</v>
      </c>
      <c r="S19" s="108">
        <v>0.04</v>
      </c>
      <c r="T19" s="108">
        <v>0.03</v>
      </c>
      <c r="U19" s="115">
        <v>0.02</v>
      </c>
      <c r="V19" s="626"/>
      <c r="W19" s="125"/>
    </row>
    <row r="20" spans="2:23" x14ac:dyDescent="0.25">
      <c r="B20" s="22"/>
      <c r="C20" s="85" t="s">
        <v>144</v>
      </c>
      <c r="D20" s="86">
        <f>+E6</f>
        <v>4000000</v>
      </c>
      <c r="E20" s="87">
        <v>0</v>
      </c>
      <c r="F20" s="87">
        <f>+D20+E20</f>
        <v>4000000</v>
      </c>
      <c r="G20" s="87">
        <f>+$D$20*$N$7</f>
        <v>160000</v>
      </c>
      <c r="H20" s="87">
        <f>+D20*$N$8</f>
        <v>160000</v>
      </c>
      <c r="I20" s="92">
        <f>+G20+H20</f>
        <v>320000</v>
      </c>
      <c r="J20" s="110">
        <f>+F20-I20</f>
        <v>3680000</v>
      </c>
      <c r="K20" s="96">
        <v>5.2199999999999998E-3</v>
      </c>
      <c r="L20" s="81">
        <f>+F20*K20</f>
        <v>20880</v>
      </c>
      <c r="M20" s="82">
        <f>+$F$20*$M$19</f>
        <v>340000</v>
      </c>
      <c r="N20" s="82">
        <f t="shared" ref="N20:N25" si="2">+F20*$N$19</f>
        <v>480000</v>
      </c>
      <c r="O20" s="82">
        <f>+F20*$O$19</f>
        <v>333200</v>
      </c>
      <c r="P20" s="82">
        <f>+F20*$P$19</f>
        <v>40000</v>
      </c>
      <c r="Q20" s="82">
        <f>+F20*$Q$19</f>
        <v>333200</v>
      </c>
      <c r="R20" s="82">
        <f>+F20*$R$19</f>
        <v>166800</v>
      </c>
      <c r="S20" s="82">
        <f>+F20*$S$19</f>
        <v>160000</v>
      </c>
      <c r="T20" s="82">
        <f>+F20*$T$19</f>
        <v>120000</v>
      </c>
      <c r="U20" s="116">
        <f>+F20*$U$19</f>
        <v>80000</v>
      </c>
      <c r="V20" s="119">
        <f>+J20+L20+M20+N20+O20+P20+Q20+R20+S20+T20+U20</f>
        <v>5754080</v>
      </c>
      <c r="W20" s="125"/>
    </row>
    <row r="21" spans="2:23" x14ac:dyDescent="0.25">
      <c r="B21" s="22"/>
      <c r="C21" s="88" t="s">
        <v>145</v>
      </c>
      <c r="D21" s="79">
        <f t="shared" ref="D21:D25" si="3">+E7</f>
        <v>1500000</v>
      </c>
      <c r="E21" s="80">
        <v>0</v>
      </c>
      <c r="F21" s="80">
        <f t="shared" ref="F21:F25" si="4">+D21+E21</f>
        <v>1500000</v>
      </c>
      <c r="G21" s="80">
        <f>+D21*$N$7</f>
        <v>60000</v>
      </c>
      <c r="H21" s="80">
        <f>+$D$20*$N$8</f>
        <v>160000</v>
      </c>
      <c r="I21" s="93">
        <f t="shared" ref="I21:I25" si="5">+G21+H21</f>
        <v>220000</v>
      </c>
      <c r="J21" s="111">
        <f t="shared" ref="J21:J25" si="6">+F21-I21</f>
        <v>1280000</v>
      </c>
      <c r="K21" s="97">
        <v>5.2199999999999998E-3</v>
      </c>
      <c r="L21" s="74">
        <f t="shared" ref="L21:L25" si="7">+F21*K21</f>
        <v>7830</v>
      </c>
      <c r="M21" s="73">
        <f>+$F$21*$M$19</f>
        <v>127500.00000000001</v>
      </c>
      <c r="N21" s="73">
        <f t="shared" si="2"/>
        <v>180000</v>
      </c>
      <c r="O21" s="73">
        <f t="shared" ref="O21:O25" si="8">+F21*$O$19</f>
        <v>124950</v>
      </c>
      <c r="P21" s="73">
        <f t="shared" ref="P21:P25" si="9">+F21*$P$19</f>
        <v>15000</v>
      </c>
      <c r="Q21" s="73">
        <f t="shared" ref="Q21:Q25" si="10">+F21*$Q$19</f>
        <v>124950</v>
      </c>
      <c r="R21" s="73">
        <f t="shared" ref="R21:R25" si="11">+F21*$R$19</f>
        <v>62550</v>
      </c>
      <c r="S21" s="73">
        <f t="shared" ref="S21:S25" si="12">+F21*$S$19</f>
        <v>60000</v>
      </c>
      <c r="T21" s="73">
        <f t="shared" ref="T21:T25" si="13">+F21*$T$19</f>
        <v>45000</v>
      </c>
      <c r="U21" s="117">
        <f t="shared" ref="U21:U25" si="14">+F21*$U$19</f>
        <v>30000</v>
      </c>
      <c r="V21" s="120">
        <f t="shared" ref="V21:V25" si="15">+J21+L21+M21+N21+O21+P21+Q21+R21+S21+T21+U21</f>
        <v>2057780</v>
      </c>
      <c r="W21" s="125"/>
    </row>
    <row r="22" spans="2:23" x14ac:dyDescent="0.25">
      <c r="B22" s="22"/>
      <c r="C22" s="88" t="s">
        <v>146</v>
      </c>
      <c r="D22" s="79">
        <f t="shared" si="3"/>
        <v>1600000</v>
      </c>
      <c r="E22" s="80">
        <v>0</v>
      </c>
      <c r="F22" s="80">
        <f t="shared" si="4"/>
        <v>1600000</v>
      </c>
      <c r="G22" s="80">
        <f>+D22*$N$7</f>
        <v>64000</v>
      </c>
      <c r="H22" s="80">
        <f>+$D$20*$N$8</f>
        <v>160000</v>
      </c>
      <c r="I22" s="93">
        <f t="shared" si="5"/>
        <v>224000</v>
      </c>
      <c r="J22" s="111">
        <f t="shared" si="6"/>
        <v>1376000</v>
      </c>
      <c r="K22" s="97">
        <v>5.2199999999999998E-3</v>
      </c>
      <c r="L22" s="74">
        <f t="shared" si="7"/>
        <v>8352</v>
      </c>
      <c r="M22" s="73">
        <f>+$F$22*$M$19</f>
        <v>136000</v>
      </c>
      <c r="N22" s="73">
        <f t="shared" si="2"/>
        <v>192000</v>
      </c>
      <c r="O22" s="73">
        <f t="shared" si="8"/>
        <v>133280</v>
      </c>
      <c r="P22" s="73">
        <f t="shared" si="9"/>
        <v>16000</v>
      </c>
      <c r="Q22" s="73">
        <f t="shared" si="10"/>
        <v>133280</v>
      </c>
      <c r="R22" s="73">
        <f t="shared" si="11"/>
        <v>66720</v>
      </c>
      <c r="S22" s="73">
        <f t="shared" si="12"/>
        <v>64000</v>
      </c>
      <c r="T22" s="73">
        <f t="shared" si="13"/>
        <v>48000</v>
      </c>
      <c r="U22" s="117">
        <f t="shared" si="14"/>
        <v>32000</v>
      </c>
      <c r="V22" s="120">
        <f t="shared" si="15"/>
        <v>2205632</v>
      </c>
      <c r="W22" s="125"/>
    </row>
    <row r="23" spans="2:23" x14ac:dyDescent="0.25">
      <c r="B23" s="22"/>
      <c r="C23" s="88" t="s">
        <v>148</v>
      </c>
      <c r="D23" s="79">
        <f t="shared" si="3"/>
        <v>1600000</v>
      </c>
      <c r="E23" s="80">
        <v>0</v>
      </c>
      <c r="F23" s="80">
        <f t="shared" si="4"/>
        <v>1600000</v>
      </c>
      <c r="G23" s="80">
        <f>+D23*$N$7</f>
        <v>64000</v>
      </c>
      <c r="H23" s="80">
        <f>+$D$20*$N$8</f>
        <v>160000</v>
      </c>
      <c r="I23" s="93">
        <f t="shared" si="5"/>
        <v>224000</v>
      </c>
      <c r="J23" s="111">
        <f t="shared" si="6"/>
        <v>1376000</v>
      </c>
      <c r="K23" s="97">
        <v>5.2199999999999998E-3</v>
      </c>
      <c r="L23" s="74">
        <f t="shared" si="7"/>
        <v>8352</v>
      </c>
      <c r="M23" s="73">
        <f>+$F$23*$M$19</f>
        <v>136000</v>
      </c>
      <c r="N23" s="73">
        <f t="shared" si="2"/>
        <v>192000</v>
      </c>
      <c r="O23" s="73">
        <f t="shared" si="8"/>
        <v>133280</v>
      </c>
      <c r="P23" s="73">
        <f t="shared" si="9"/>
        <v>16000</v>
      </c>
      <c r="Q23" s="73">
        <f t="shared" si="10"/>
        <v>133280</v>
      </c>
      <c r="R23" s="73">
        <f t="shared" si="11"/>
        <v>66720</v>
      </c>
      <c r="S23" s="73">
        <f t="shared" si="12"/>
        <v>64000</v>
      </c>
      <c r="T23" s="73">
        <f t="shared" si="13"/>
        <v>48000</v>
      </c>
      <c r="U23" s="117">
        <f t="shared" si="14"/>
        <v>32000</v>
      </c>
      <c r="V23" s="120">
        <f t="shared" si="15"/>
        <v>2205632</v>
      </c>
      <c r="W23" s="125"/>
    </row>
    <row r="24" spans="2:23" x14ac:dyDescent="0.25">
      <c r="B24" s="22"/>
      <c r="C24" s="88" t="s">
        <v>147</v>
      </c>
      <c r="D24" s="79">
        <f t="shared" si="3"/>
        <v>1100000</v>
      </c>
      <c r="E24" s="80">
        <v>107000</v>
      </c>
      <c r="F24" s="80">
        <f t="shared" si="4"/>
        <v>1207000</v>
      </c>
      <c r="G24" s="80">
        <f>+D24*$N$7</f>
        <v>44000</v>
      </c>
      <c r="H24" s="80">
        <f>+$D$20*$N$8</f>
        <v>160000</v>
      </c>
      <c r="I24" s="93">
        <f t="shared" si="5"/>
        <v>204000</v>
      </c>
      <c r="J24" s="111">
        <f t="shared" si="6"/>
        <v>1003000</v>
      </c>
      <c r="K24" s="97">
        <v>5.2199999999999998E-3</v>
      </c>
      <c r="L24" s="74">
        <f t="shared" si="7"/>
        <v>6300.54</v>
      </c>
      <c r="M24" s="73">
        <f>+$F$24*$M$19</f>
        <v>102595.00000000001</v>
      </c>
      <c r="N24" s="73">
        <f t="shared" si="2"/>
        <v>144840</v>
      </c>
      <c r="O24" s="73">
        <f t="shared" si="8"/>
        <v>100543.1</v>
      </c>
      <c r="P24" s="73">
        <f t="shared" si="9"/>
        <v>12070</v>
      </c>
      <c r="Q24" s="73">
        <f t="shared" si="10"/>
        <v>100543.1</v>
      </c>
      <c r="R24" s="73">
        <f t="shared" si="11"/>
        <v>50331.9</v>
      </c>
      <c r="S24" s="73">
        <f t="shared" si="12"/>
        <v>48280</v>
      </c>
      <c r="T24" s="73">
        <f t="shared" si="13"/>
        <v>36210</v>
      </c>
      <c r="U24" s="117">
        <f t="shared" si="14"/>
        <v>24140</v>
      </c>
      <c r="V24" s="120">
        <f t="shared" si="15"/>
        <v>1628853.6400000001</v>
      </c>
      <c r="W24" s="125"/>
    </row>
    <row r="25" spans="2:23" ht="16.5" thickBot="1" x14ac:dyDescent="0.3">
      <c r="B25" s="22"/>
      <c r="C25" s="89" t="s">
        <v>149</v>
      </c>
      <c r="D25" s="90">
        <f t="shared" si="3"/>
        <v>1300000</v>
      </c>
      <c r="E25" s="91">
        <v>107000</v>
      </c>
      <c r="F25" s="91">
        <f t="shared" si="4"/>
        <v>1407000</v>
      </c>
      <c r="G25" s="91">
        <f>+D25*$N$7</f>
        <v>52000</v>
      </c>
      <c r="H25" s="91">
        <f>+$D$20*$N$8</f>
        <v>160000</v>
      </c>
      <c r="I25" s="94">
        <f t="shared" si="5"/>
        <v>212000</v>
      </c>
      <c r="J25" s="112">
        <f t="shared" si="6"/>
        <v>1195000</v>
      </c>
      <c r="K25" s="97">
        <v>5.2199999999999998E-3</v>
      </c>
      <c r="L25" s="74">
        <f t="shared" si="7"/>
        <v>7344.54</v>
      </c>
      <c r="M25" s="73">
        <f>+$F$25*$M$19</f>
        <v>119595.00000000001</v>
      </c>
      <c r="N25" s="73">
        <f t="shared" si="2"/>
        <v>168840</v>
      </c>
      <c r="O25" s="73">
        <f t="shared" si="8"/>
        <v>117203.1</v>
      </c>
      <c r="P25" s="73">
        <f t="shared" si="9"/>
        <v>14070</v>
      </c>
      <c r="Q25" s="73">
        <f t="shared" si="10"/>
        <v>117203.1</v>
      </c>
      <c r="R25" s="73">
        <f t="shared" si="11"/>
        <v>58671.9</v>
      </c>
      <c r="S25" s="73">
        <f t="shared" si="12"/>
        <v>56280</v>
      </c>
      <c r="T25" s="73">
        <f t="shared" si="13"/>
        <v>42210</v>
      </c>
      <c r="U25" s="117">
        <f t="shared" si="14"/>
        <v>28140</v>
      </c>
      <c r="V25" s="120">
        <f t="shared" si="15"/>
        <v>1924557.6400000001</v>
      </c>
      <c r="W25" s="125"/>
    </row>
    <row r="26" spans="2:23" ht="16.5" thickBot="1" x14ac:dyDescent="0.3">
      <c r="B26" s="22"/>
      <c r="C26" s="10"/>
      <c r="D26" s="83">
        <f t="shared" ref="D26:J26" si="16">SUM(D20:D25)</f>
        <v>11100000</v>
      </c>
      <c r="E26" s="84">
        <f t="shared" si="16"/>
        <v>214000</v>
      </c>
      <c r="F26" s="84">
        <f t="shared" si="16"/>
        <v>11314000</v>
      </c>
      <c r="G26" s="84">
        <f t="shared" si="16"/>
        <v>444000</v>
      </c>
      <c r="H26" s="84">
        <f t="shared" si="16"/>
        <v>960000</v>
      </c>
      <c r="I26" s="95">
        <f t="shared" si="16"/>
        <v>1404000</v>
      </c>
      <c r="J26" s="113">
        <f t="shared" si="16"/>
        <v>9910000</v>
      </c>
      <c r="K26" s="98"/>
      <c r="L26" s="99">
        <f>SUM(L20:L25)</f>
        <v>59059.08</v>
      </c>
      <c r="M26" s="100">
        <f>SUM(M19:M25)</f>
        <v>961690.08499999996</v>
      </c>
      <c r="N26" s="100">
        <f>SUM(N19:N25)</f>
        <v>1357680.12</v>
      </c>
      <c r="O26" s="100">
        <f t="shared" ref="O26:U26" si="17">SUM(O19:O25)</f>
        <v>942456.28330000001</v>
      </c>
      <c r="P26" s="100">
        <f t="shared" si="17"/>
        <v>113140.01000000001</v>
      </c>
      <c r="Q26" s="100">
        <f t="shared" si="17"/>
        <v>942456.28330000001</v>
      </c>
      <c r="R26" s="100">
        <f t="shared" si="17"/>
        <v>471793.84170000005</v>
      </c>
      <c r="S26" s="100">
        <f t="shared" si="17"/>
        <v>452560.04000000004</v>
      </c>
      <c r="T26" s="100">
        <f t="shared" si="17"/>
        <v>339420.03</v>
      </c>
      <c r="U26" s="118">
        <f t="shared" si="17"/>
        <v>226280.02000000002</v>
      </c>
      <c r="V26" s="121">
        <f>SUM(V20:V25)</f>
        <v>15776535.280000001</v>
      </c>
      <c r="W26" s="125"/>
    </row>
    <row r="27" spans="2:23" x14ac:dyDescent="0.25">
      <c r="B27" s="2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125"/>
    </row>
    <row r="28" spans="2:23" ht="16.5" thickBot="1" x14ac:dyDescent="0.3">
      <c r="B28" s="77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31"/>
      <c r="W28" s="130"/>
    </row>
    <row r="42" spans="9:9" x14ac:dyDescent="0.25">
      <c r="I42" s="3" t="s">
        <v>152</v>
      </c>
    </row>
    <row r="43" spans="9:9" x14ac:dyDescent="0.25">
      <c r="I43" s="3" t="s">
        <v>153</v>
      </c>
    </row>
  </sheetData>
  <mergeCells count="10">
    <mergeCell ref="K18:L18"/>
    <mergeCell ref="V18:V19"/>
    <mergeCell ref="C3:V3"/>
    <mergeCell ref="M6:N6"/>
    <mergeCell ref="C18:C19"/>
    <mergeCell ref="D18:D19"/>
    <mergeCell ref="E18:E19"/>
    <mergeCell ref="F18:F19"/>
    <mergeCell ref="G18:I18"/>
    <mergeCell ref="J18:J19"/>
  </mergeCells>
  <pageMargins left="0.7" right="0.7" top="0.75" bottom="0.75" header="0.3" footer="0.3"/>
  <ignoredErrors>
    <ignoredError sqref="D21:D23 D24:D25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AA1B-ABE5-4EE6-A76B-8548D89ACBE3}">
  <dimension ref="B1:W48"/>
  <sheetViews>
    <sheetView showGridLines="0" showRowColHeaders="0" topLeftCell="A22" zoomScale="80" zoomScaleNormal="80" workbookViewId="0">
      <selection activeCell="D44" sqref="D44"/>
    </sheetView>
  </sheetViews>
  <sheetFormatPr baseColWidth="10" defaultRowHeight="15.75" outlineLevelRow="1" outlineLevelCol="1" x14ac:dyDescent="0.25"/>
  <cols>
    <col min="1" max="2" width="11" style="3"/>
    <col min="3" max="3" width="29.875" style="3" customWidth="1"/>
    <col min="4" max="6" width="15.25" style="5" bestFit="1" customWidth="1"/>
    <col min="7" max="8" width="14.375" style="5" customWidth="1"/>
    <col min="9" max="9" width="15.625" style="5" customWidth="1"/>
    <col min="10" max="10" width="11" style="3"/>
    <col min="11" max="11" width="19.625" style="3" hidden="1" customWidth="1" outlineLevel="1"/>
    <col min="12" max="12" width="21.75" style="3" hidden="1" customWidth="1" outlineLevel="1"/>
    <col min="13" max="13" width="17.625" style="3" hidden="1" customWidth="1" outlineLevel="1"/>
    <col min="14" max="14" width="14.375" style="3" hidden="1" customWidth="1" outlineLevel="1"/>
    <col min="15" max="15" width="15.125" style="3" hidden="1" customWidth="1" outlineLevel="1"/>
    <col min="16" max="16" width="11" style="3" collapsed="1"/>
    <col min="17" max="18" width="11" style="3"/>
    <col min="19" max="19" width="16.75" style="3" customWidth="1"/>
    <col min="20" max="20" width="11.125" style="3" bestFit="1" customWidth="1"/>
    <col min="21" max="21" width="17.75" style="3" customWidth="1"/>
    <col min="22" max="22" width="15" style="3" customWidth="1"/>
    <col min="23" max="16384" width="11" style="3"/>
  </cols>
  <sheetData>
    <row r="1" spans="2:16" ht="16.5" thickBot="1" x14ac:dyDescent="0.3"/>
    <row r="2" spans="2:16" x14ac:dyDescent="0.25">
      <c r="B2" s="122"/>
      <c r="C2" s="123"/>
      <c r="D2" s="266"/>
      <c r="E2" s="266"/>
      <c r="F2" s="266"/>
      <c r="G2" s="266"/>
      <c r="H2" s="266"/>
      <c r="I2" s="266"/>
      <c r="J2" s="123"/>
      <c r="K2" s="123"/>
      <c r="L2" s="123"/>
      <c r="M2" s="123"/>
      <c r="N2" s="123"/>
      <c r="O2" s="123"/>
      <c r="P2" s="124"/>
    </row>
    <row r="3" spans="2:16" ht="16.5" thickBot="1" x14ac:dyDescent="0.3">
      <c r="B3" s="22"/>
      <c r="C3" s="41"/>
      <c r="D3" s="267"/>
      <c r="E3" s="267"/>
      <c r="F3" s="267"/>
      <c r="G3" s="267"/>
      <c r="H3" s="267"/>
      <c r="I3" s="267"/>
      <c r="J3" s="41"/>
      <c r="K3" s="41"/>
      <c r="L3" s="41"/>
      <c r="M3" s="41"/>
      <c r="N3" s="41"/>
      <c r="O3" s="41"/>
      <c r="P3" s="125"/>
    </row>
    <row r="4" spans="2:16" ht="21.75" thickBot="1" x14ac:dyDescent="0.4">
      <c r="B4" s="22"/>
      <c r="C4" s="645" t="s">
        <v>101</v>
      </c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7"/>
      <c r="P4" s="125"/>
    </row>
    <row r="5" spans="2:16" ht="16.5" thickBot="1" x14ac:dyDescent="0.3">
      <c r="B5" s="22"/>
      <c r="C5" s="41"/>
      <c r="D5" s="267"/>
      <c r="E5" s="267"/>
      <c r="F5" s="267"/>
      <c r="G5" s="267"/>
      <c r="H5" s="267"/>
      <c r="I5" s="267"/>
      <c r="J5" s="41"/>
      <c r="K5" s="41"/>
      <c r="L5" s="41"/>
      <c r="M5" s="41"/>
      <c r="N5" s="41"/>
      <c r="O5" s="41"/>
      <c r="P5" s="125"/>
    </row>
    <row r="6" spans="2:16" ht="16.5" thickBot="1" x14ac:dyDescent="0.3">
      <c r="B6" s="22"/>
      <c r="C6" s="654" t="s">
        <v>68</v>
      </c>
      <c r="D6" s="655"/>
      <c r="E6" s="655"/>
      <c r="F6" s="656"/>
      <c r="G6" s="267"/>
      <c r="H6" s="267"/>
      <c r="I6" s="267"/>
      <c r="J6" s="41"/>
      <c r="K6" s="41"/>
      <c r="L6" s="41"/>
      <c r="M6" s="41"/>
      <c r="N6" s="41"/>
      <c r="O6" s="41"/>
      <c r="P6" s="125"/>
    </row>
    <row r="7" spans="2:16" outlineLevel="1" x14ac:dyDescent="0.25">
      <c r="B7" s="22"/>
      <c r="C7" s="252"/>
      <c r="D7" s="265" t="s">
        <v>111</v>
      </c>
      <c r="E7" s="246" t="s">
        <v>118</v>
      </c>
      <c r="F7" s="247" t="s">
        <v>112</v>
      </c>
      <c r="G7" s="267"/>
      <c r="H7" s="267"/>
      <c r="I7" s="267"/>
      <c r="J7" s="41"/>
      <c r="K7" s="41"/>
      <c r="L7" s="41"/>
      <c r="M7" s="41"/>
      <c r="N7" s="41"/>
      <c r="O7" s="41"/>
      <c r="P7" s="125"/>
    </row>
    <row r="8" spans="2:16" outlineLevel="1" x14ac:dyDescent="0.25">
      <c r="B8" s="22"/>
      <c r="C8" s="253" t="s">
        <v>102</v>
      </c>
      <c r="D8" s="240">
        <v>5</v>
      </c>
      <c r="E8" s="241">
        <v>300000</v>
      </c>
      <c r="F8" s="254">
        <f t="shared" ref="F8:F14" si="0">+E8*D8</f>
        <v>1500000</v>
      </c>
      <c r="G8" s="267"/>
      <c r="H8" s="267"/>
      <c r="I8" s="267"/>
      <c r="J8" s="41"/>
      <c r="K8" s="41"/>
      <c r="L8" s="41"/>
      <c r="M8" s="41"/>
      <c r="N8" s="41"/>
      <c r="O8" s="41"/>
      <c r="P8" s="125"/>
    </row>
    <row r="9" spans="2:16" outlineLevel="1" x14ac:dyDescent="0.25">
      <c r="B9" s="22"/>
      <c r="C9" s="253" t="s">
        <v>103</v>
      </c>
      <c r="D9" s="240">
        <v>5</v>
      </c>
      <c r="E9" s="241">
        <v>350000</v>
      </c>
      <c r="F9" s="254">
        <f t="shared" si="0"/>
        <v>1750000</v>
      </c>
      <c r="G9" s="267"/>
      <c r="H9" s="267"/>
      <c r="I9" s="267"/>
      <c r="J9" s="41"/>
      <c r="K9" s="41"/>
      <c r="L9" s="41"/>
      <c r="M9" s="41"/>
      <c r="N9" s="41"/>
      <c r="O9" s="41"/>
      <c r="P9" s="125"/>
    </row>
    <row r="10" spans="2:16" outlineLevel="1" x14ac:dyDescent="0.25">
      <c r="B10" s="22"/>
      <c r="C10" s="253" t="s">
        <v>104</v>
      </c>
      <c r="D10" s="240">
        <v>1</v>
      </c>
      <c r="E10" s="241">
        <v>380000</v>
      </c>
      <c r="F10" s="254">
        <f t="shared" si="0"/>
        <v>380000</v>
      </c>
      <c r="G10" s="267"/>
      <c r="H10" s="267"/>
      <c r="I10" s="267"/>
      <c r="J10" s="41"/>
      <c r="K10" s="41"/>
      <c r="L10" s="41"/>
      <c r="M10" s="41"/>
      <c r="N10" s="41"/>
      <c r="O10" s="41"/>
      <c r="P10" s="125"/>
    </row>
    <row r="11" spans="2:16" outlineLevel="1" x14ac:dyDescent="0.25">
      <c r="B11" s="22"/>
      <c r="C11" s="253" t="s">
        <v>105</v>
      </c>
      <c r="D11" s="240">
        <v>5</v>
      </c>
      <c r="E11" s="241">
        <v>120000</v>
      </c>
      <c r="F11" s="254">
        <f t="shared" si="0"/>
        <v>600000</v>
      </c>
      <c r="G11" s="267"/>
      <c r="H11" s="267"/>
      <c r="I11" s="267"/>
      <c r="J11" s="41"/>
      <c r="K11" s="41"/>
      <c r="L11" s="41"/>
      <c r="M11" s="41"/>
      <c r="N11" s="41"/>
      <c r="O11" s="41"/>
      <c r="P11" s="125"/>
    </row>
    <row r="12" spans="2:16" outlineLevel="1" x14ac:dyDescent="0.25">
      <c r="B12" s="22"/>
      <c r="C12" s="253" t="s">
        <v>108</v>
      </c>
      <c r="D12" s="240">
        <v>3</v>
      </c>
      <c r="E12" s="241">
        <v>520000</v>
      </c>
      <c r="F12" s="254">
        <f t="shared" si="0"/>
        <v>1560000</v>
      </c>
      <c r="G12" s="267"/>
      <c r="H12" s="267"/>
      <c r="I12" s="267"/>
      <c r="J12" s="41"/>
      <c r="K12" s="41"/>
      <c r="L12" s="41"/>
      <c r="M12" s="41"/>
      <c r="N12" s="41"/>
      <c r="O12" s="41"/>
      <c r="P12" s="125"/>
    </row>
    <row r="13" spans="2:16" outlineLevel="1" x14ac:dyDescent="0.25">
      <c r="B13" s="22"/>
      <c r="C13" s="253" t="s">
        <v>109</v>
      </c>
      <c r="D13" s="240">
        <v>1</v>
      </c>
      <c r="E13" s="241">
        <v>1600000</v>
      </c>
      <c r="F13" s="254">
        <f t="shared" si="0"/>
        <v>1600000</v>
      </c>
      <c r="G13" s="267"/>
      <c r="H13" s="267"/>
      <c r="I13" s="267"/>
      <c r="J13" s="41"/>
      <c r="K13" s="41"/>
      <c r="L13" s="41"/>
      <c r="M13" s="41"/>
      <c r="N13" s="41"/>
      <c r="O13" s="41"/>
      <c r="P13" s="125"/>
    </row>
    <row r="14" spans="2:16" outlineLevel="1" x14ac:dyDescent="0.25">
      <c r="B14" s="22"/>
      <c r="C14" s="253" t="s">
        <v>110</v>
      </c>
      <c r="D14" s="240">
        <v>6</v>
      </c>
      <c r="E14" s="241">
        <v>300000</v>
      </c>
      <c r="F14" s="254">
        <f t="shared" si="0"/>
        <v>1800000</v>
      </c>
      <c r="G14" s="267"/>
      <c r="H14" s="267"/>
      <c r="I14" s="267"/>
      <c r="J14" s="41"/>
      <c r="K14" s="41"/>
      <c r="L14" s="41"/>
      <c r="M14" s="41"/>
      <c r="N14" s="41"/>
      <c r="O14" s="41"/>
      <c r="P14" s="125"/>
    </row>
    <row r="15" spans="2:16" ht="16.5" thickBot="1" x14ac:dyDescent="0.3">
      <c r="B15" s="22"/>
      <c r="C15" s="652" t="s">
        <v>113</v>
      </c>
      <c r="D15" s="653"/>
      <c r="E15" s="653"/>
      <c r="F15" s="255">
        <f>SUM(F8:F14)</f>
        <v>9190000</v>
      </c>
      <c r="G15" s="267"/>
      <c r="H15" s="267"/>
      <c r="I15" s="267"/>
      <c r="J15" s="41"/>
      <c r="K15" s="41"/>
      <c r="L15" s="41"/>
      <c r="M15" s="41"/>
      <c r="N15" s="41"/>
      <c r="O15" s="41"/>
      <c r="P15" s="125"/>
    </row>
    <row r="16" spans="2:16" x14ac:dyDescent="0.25">
      <c r="B16" s="22"/>
      <c r="C16" s="41"/>
      <c r="D16" s="267"/>
      <c r="E16" s="267"/>
      <c r="F16" s="267"/>
      <c r="G16" s="267"/>
      <c r="H16" s="267"/>
      <c r="I16" s="267"/>
      <c r="J16" s="41"/>
      <c r="K16" s="41"/>
      <c r="L16" s="41"/>
      <c r="M16" s="41"/>
      <c r="N16" s="41"/>
      <c r="O16" s="41"/>
      <c r="P16" s="125"/>
    </row>
    <row r="17" spans="2:16" ht="16.5" thickBot="1" x14ac:dyDescent="0.3">
      <c r="B17" s="22"/>
      <c r="C17" s="41"/>
      <c r="D17" s="267"/>
      <c r="E17" s="267"/>
      <c r="F17" s="267"/>
      <c r="G17" s="267"/>
      <c r="H17" s="267"/>
      <c r="I17" s="267"/>
      <c r="J17" s="41"/>
      <c r="K17" s="41"/>
      <c r="L17" s="41"/>
      <c r="M17" s="41"/>
      <c r="N17" s="41"/>
      <c r="O17" s="41"/>
      <c r="P17" s="125"/>
    </row>
    <row r="18" spans="2:16" ht="16.5" thickBot="1" x14ac:dyDescent="0.3">
      <c r="B18" s="22"/>
      <c r="C18" s="617" t="s">
        <v>115</v>
      </c>
      <c r="D18" s="618"/>
      <c r="E18" s="618"/>
      <c r="F18" s="619"/>
      <c r="G18" s="267"/>
      <c r="H18" s="267"/>
      <c r="I18" s="267"/>
      <c r="J18" s="41"/>
      <c r="K18" s="41"/>
      <c r="L18" s="41"/>
      <c r="M18" s="41"/>
      <c r="N18" s="41"/>
      <c r="O18" s="41"/>
      <c r="P18" s="125"/>
    </row>
    <row r="19" spans="2:16" x14ac:dyDescent="0.25">
      <c r="B19" s="22"/>
      <c r="C19" s="122"/>
      <c r="D19" s="246" t="s">
        <v>123</v>
      </c>
      <c r="E19" s="246" t="s">
        <v>117</v>
      </c>
      <c r="F19" s="247" t="s">
        <v>112</v>
      </c>
      <c r="G19" s="267"/>
      <c r="H19" s="267"/>
      <c r="I19" s="267"/>
      <c r="J19" s="41"/>
      <c r="K19" s="41"/>
      <c r="L19" s="41"/>
      <c r="M19" s="41"/>
      <c r="N19" s="41"/>
      <c r="O19" s="41"/>
      <c r="P19" s="125"/>
    </row>
    <row r="20" spans="2:16" ht="16.5" thickBot="1" x14ac:dyDescent="0.3">
      <c r="B20" s="22"/>
      <c r="C20" s="248" t="s">
        <v>116</v>
      </c>
      <c r="D20" s="249">
        <v>5</v>
      </c>
      <c r="E20" s="250">
        <v>12000000</v>
      </c>
      <c r="F20" s="251">
        <f>+E20*D20</f>
        <v>60000000</v>
      </c>
      <c r="G20" s="267"/>
      <c r="H20" s="267"/>
      <c r="I20" s="267"/>
      <c r="J20" s="41"/>
      <c r="K20" s="41"/>
      <c r="L20" s="41"/>
      <c r="M20" s="41"/>
      <c r="N20" s="41"/>
      <c r="O20" s="41"/>
      <c r="P20" s="125"/>
    </row>
    <row r="21" spans="2:16" x14ac:dyDescent="0.25">
      <c r="B21" s="22"/>
      <c r="C21" s="41"/>
      <c r="D21" s="267"/>
      <c r="E21" s="267"/>
      <c r="F21" s="267"/>
      <c r="G21" s="267"/>
      <c r="H21" s="267"/>
      <c r="I21" s="267"/>
      <c r="J21" s="41"/>
      <c r="K21" s="41"/>
      <c r="L21" s="41"/>
      <c r="M21" s="41"/>
      <c r="N21" s="41"/>
      <c r="O21" s="41"/>
      <c r="P21" s="125"/>
    </row>
    <row r="22" spans="2:16" x14ac:dyDescent="0.25">
      <c r="B22" s="22"/>
      <c r="C22" s="41"/>
      <c r="D22" s="268"/>
      <c r="E22" s="268"/>
      <c r="F22" s="268"/>
      <c r="G22" s="267"/>
      <c r="H22" s="267"/>
      <c r="I22" s="267"/>
      <c r="J22" s="41"/>
      <c r="K22" s="41"/>
      <c r="L22" s="41"/>
      <c r="M22" s="41"/>
      <c r="N22" s="41"/>
      <c r="O22" s="41"/>
      <c r="P22" s="125"/>
    </row>
    <row r="23" spans="2:16" x14ac:dyDescent="0.25">
      <c r="B23" s="22"/>
      <c r="C23" s="264" t="s">
        <v>69</v>
      </c>
      <c r="D23" s="242"/>
      <c r="E23" s="267"/>
      <c r="F23" s="267"/>
      <c r="G23" s="267"/>
      <c r="H23" s="267"/>
      <c r="I23" s="267"/>
      <c r="J23" s="41"/>
      <c r="K23" s="41"/>
      <c r="L23" s="41"/>
      <c r="M23" s="41"/>
      <c r="N23" s="41"/>
      <c r="O23" s="41"/>
      <c r="P23" s="125"/>
    </row>
    <row r="24" spans="2:16" ht="16.5" thickBot="1" x14ac:dyDescent="0.3">
      <c r="B24" s="22"/>
      <c r="C24" s="41"/>
      <c r="D24" s="267"/>
      <c r="E24" s="267"/>
      <c r="F24" s="267"/>
      <c r="G24" s="267"/>
      <c r="H24" s="267"/>
      <c r="I24" s="267"/>
      <c r="J24" s="41"/>
      <c r="K24" s="41"/>
      <c r="L24" s="41"/>
      <c r="M24" s="41"/>
      <c r="N24" s="41"/>
      <c r="O24" s="41"/>
      <c r="P24" s="125"/>
    </row>
    <row r="25" spans="2:16" ht="16.5" thickBot="1" x14ac:dyDescent="0.3">
      <c r="B25" s="22"/>
      <c r="C25" s="657" t="s">
        <v>114</v>
      </c>
      <c r="D25" s="658"/>
      <c r="E25" s="658"/>
      <c r="F25" s="659"/>
      <c r="G25" s="267"/>
      <c r="H25" s="267"/>
      <c r="I25" s="267"/>
      <c r="J25" s="41"/>
      <c r="K25" s="41"/>
      <c r="L25" s="41"/>
      <c r="M25" s="41"/>
      <c r="N25" s="41"/>
      <c r="O25" s="41"/>
      <c r="P25" s="125"/>
    </row>
    <row r="26" spans="2:16" hidden="1" outlineLevel="1" x14ac:dyDescent="0.25">
      <c r="B26" s="22"/>
      <c r="C26" s="24"/>
      <c r="D26" s="245" t="s">
        <v>111</v>
      </c>
      <c r="E26" s="244" t="s">
        <v>118</v>
      </c>
      <c r="F26" s="256" t="s">
        <v>112</v>
      </c>
      <c r="G26" s="267"/>
      <c r="H26" s="267"/>
      <c r="I26" s="267"/>
      <c r="J26" s="41"/>
      <c r="K26" s="41"/>
      <c r="L26" s="41"/>
      <c r="M26" s="41"/>
      <c r="N26" s="41"/>
      <c r="O26" s="41"/>
      <c r="P26" s="125"/>
    </row>
    <row r="27" spans="2:16" hidden="1" outlineLevel="1" x14ac:dyDescent="0.25">
      <c r="B27" s="22"/>
      <c r="C27" s="253" t="s">
        <v>106</v>
      </c>
      <c r="D27" s="240">
        <v>5</v>
      </c>
      <c r="E27" s="241">
        <v>3000000</v>
      </c>
      <c r="F27" s="254">
        <f>+E27*D27</f>
        <v>15000000</v>
      </c>
      <c r="G27" s="267"/>
      <c r="H27" s="267"/>
      <c r="I27" s="267"/>
      <c r="J27" s="41"/>
      <c r="K27" s="41"/>
      <c r="L27" s="41"/>
      <c r="M27" s="41"/>
      <c r="N27" s="41"/>
      <c r="O27" s="41"/>
      <c r="P27" s="125"/>
    </row>
    <row r="28" spans="2:16" hidden="1" outlineLevel="1" x14ac:dyDescent="0.25">
      <c r="B28" s="22"/>
      <c r="C28" s="253" t="s">
        <v>107</v>
      </c>
      <c r="D28" s="240">
        <v>1</v>
      </c>
      <c r="E28" s="241">
        <v>700000</v>
      </c>
      <c r="F28" s="254">
        <f>+E28*D28</f>
        <v>700000</v>
      </c>
      <c r="G28" s="267"/>
      <c r="H28" s="267"/>
      <c r="I28" s="267"/>
      <c r="J28" s="41"/>
      <c r="K28" s="41"/>
      <c r="L28" s="41"/>
      <c r="M28" s="41"/>
      <c r="N28" s="41"/>
      <c r="O28" s="41"/>
      <c r="P28" s="125"/>
    </row>
    <row r="29" spans="2:16" ht="16.5" collapsed="1" thickBot="1" x14ac:dyDescent="0.3">
      <c r="B29" s="22"/>
      <c r="C29" s="650" t="s">
        <v>124</v>
      </c>
      <c r="D29" s="651"/>
      <c r="E29" s="651"/>
      <c r="F29" s="257">
        <f>SUM(F27:F28)</f>
        <v>15700000</v>
      </c>
      <c r="G29" s="267"/>
      <c r="H29" s="267"/>
      <c r="I29" s="267"/>
      <c r="J29" s="41"/>
      <c r="K29" s="41"/>
      <c r="L29" s="41"/>
      <c r="M29" s="41"/>
      <c r="N29" s="41"/>
      <c r="O29" s="41"/>
      <c r="P29" s="125"/>
    </row>
    <row r="30" spans="2:16" x14ac:dyDescent="0.25">
      <c r="B30" s="22"/>
      <c r="C30" s="41"/>
      <c r="D30" s="267"/>
      <c r="E30" s="267"/>
      <c r="F30" s="267"/>
      <c r="G30" s="267"/>
      <c r="H30" s="267"/>
      <c r="I30" s="267"/>
      <c r="J30" s="41"/>
      <c r="K30" s="41"/>
      <c r="L30" s="41"/>
      <c r="M30" s="41"/>
      <c r="N30" s="41"/>
      <c r="O30" s="41"/>
      <c r="P30" s="125"/>
    </row>
    <row r="31" spans="2:16" ht="16.5" thickBot="1" x14ac:dyDescent="0.3">
      <c r="B31" s="22"/>
      <c r="C31" s="41"/>
      <c r="D31" s="267"/>
      <c r="E31" s="267"/>
      <c r="F31" s="267"/>
      <c r="G31" s="267"/>
      <c r="H31" s="267"/>
      <c r="I31" s="267"/>
      <c r="J31" s="41"/>
      <c r="K31" s="41"/>
      <c r="L31" s="41"/>
      <c r="M31" s="41"/>
      <c r="N31" s="41"/>
      <c r="O31" s="41"/>
      <c r="P31" s="125"/>
    </row>
    <row r="32" spans="2:16" ht="16.5" thickBot="1" x14ac:dyDescent="0.3">
      <c r="B32" s="22"/>
      <c r="C32" s="243"/>
      <c r="D32" s="272" t="s">
        <v>61</v>
      </c>
      <c r="E32" s="273" t="s">
        <v>26</v>
      </c>
      <c r="F32" s="273" t="s">
        <v>58</v>
      </c>
      <c r="G32" s="273" t="s">
        <v>28</v>
      </c>
      <c r="H32" s="273" t="s">
        <v>59</v>
      </c>
      <c r="I32" s="274" t="s">
        <v>30</v>
      </c>
      <c r="J32" s="243"/>
      <c r="K32" s="277" t="s">
        <v>62</v>
      </c>
      <c r="L32" s="278" t="s">
        <v>63</v>
      </c>
      <c r="M32" s="278" t="s">
        <v>64</v>
      </c>
      <c r="N32" s="278" t="s">
        <v>65</v>
      </c>
      <c r="O32" s="279" t="s">
        <v>66</v>
      </c>
      <c r="P32" s="269"/>
    </row>
    <row r="33" spans="2:23" x14ac:dyDescent="0.25">
      <c r="B33" s="22"/>
      <c r="C33" s="164" t="s">
        <v>67</v>
      </c>
      <c r="D33" s="258"/>
      <c r="E33" s="258">
        <f>+($M$33-$O$33)/$K$33</f>
        <v>827100</v>
      </c>
      <c r="F33" s="258">
        <f t="shared" ref="F33:I33" si="1">+($M$33-$O$33)/$K$33</f>
        <v>827100</v>
      </c>
      <c r="G33" s="258">
        <f t="shared" si="1"/>
        <v>827100</v>
      </c>
      <c r="H33" s="258">
        <f t="shared" si="1"/>
        <v>827100</v>
      </c>
      <c r="I33" s="259">
        <f t="shared" si="1"/>
        <v>827100</v>
      </c>
      <c r="J33" s="243"/>
      <c r="K33" s="280">
        <v>10</v>
      </c>
      <c r="L33" s="14" t="s">
        <v>68</v>
      </c>
      <c r="M33" s="15">
        <f>+F15</f>
        <v>9190000</v>
      </c>
      <c r="N33" s="16">
        <v>0.1</v>
      </c>
      <c r="O33" s="281">
        <f>M33*N33</f>
        <v>919000</v>
      </c>
      <c r="P33" s="269"/>
      <c r="W33" s="5"/>
    </row>
    <row r="34" spans="2:23" x14ac:dyDescent="0.25">
      <c r="B34" s="22"/>
      <c r="C34" s="11" t="s">
        <v>120</v>
      </c>
      <c r="D34" s="17"/>
      <c r="E34" s="12">
        <f>+($M$34-$O$34)/$K$34</f>
        <v>12000000</v>
      </c>
      <c r="F34" s="12">
        <f t="shared" ref="F34:I34" si="2">+($M$34-$O$34)/$K$34</f>
        <v>12000000</v>
      </c>
      <c r="G34" s="12">
        <f t="shared" si="2"/>
        <v>12000000</v>
      </c>
      <c r="H34" s="12">
        <f t="shared" si="2"/>
        <v>12000000</v>
      </c>
      <c r="I34" s="260">
        <f t="shared" si="2"/>
        <v>12000000</v>
      </c>
      <c r="J34" s="243"/>
      <c r="K34" s="282">
        <v>5</v>
      </c>
      <c r="L34" s="18" t="s">
        <v>115</v>
      </c>
      <c r="M34" s="8">
        <f>+F20</f>
        <v>60000000</v>
      </c>
      <c r="N34" s="9"/>
      <c r="O34" s="281">
        <f t="shared" ref="O34:O35" si="3">M34*N34</f>
        <v>0</v>
      </c>
      <c r="P34" s="269"/>
      <c r="W34" s="5"/>
    </row>
    <row r="35" spans="2:23" x14ac:dyDescent="0.25">
      <c r="B35" s="22"/>
      <c r="C35" s="11" t="s">
        <v>121</v>
      </c>
      <c r="D35" s="17"/>
      <c r="E35" s="12">
        <f>+($M$35-$O$35)/$K$35</f>
        <v>3140000</v>
      </c>
      <c r="F35" s="12">
        <f t="shared" ref="F35:I35" si="4">+($M$35-$O$35)/$K$35</f>
        <v>3140000</v>
      </c>
      <c r="G35" s="12">
        <f t="shared" si="4"/>
        <v>3140000</v>
      </c>
      <c r="H35" s="12">
        <f t="shared" si="4"/>
        <v>3140000</v>
      </c>
      <c r="I35" s="260">
        <f t="shared" si="4"/>
        <v>3140000</v>
      </c>
      <c r="J35" s="243"/>
      <c r="K35" s="282">
        <v>5</v>
      </c>
      <c r="L35" s="18" t="s">
        <v>122</v>
      </c>
      <c r="M35" s="8">
        <f>+F29</f>
        <v>15700000</v>
      </c>
      <c r="N35" s="9"/>
      <c r="O35" s="281">
        <f t="shared" si="3"/>
        <v>0</v>
      </c>
      <c r="P35" s="269"/>
      <c r="W35" s="5"/>
    </row>
    <row r="36" spans="2:23" ht="16.5" thickBot="1" x14ac:dyDescent="0.3">
      <c r="B36" s="22"/>
      <c r="C36" s="19" t="s">
        <v>70</v>
      </c>
      <c r="D36" s="20"/>
      <c r="E36" s="12">
        <f>+($M$36-$O$36)/$K$36</f>
        <v>0</v>
      </c>
      <c r="F36" s="12">
        <f t="shared" ref="F36:I36" si="5">+($M$36-$O$36)/$K$36</f>
        <v>0</v>
      </c>
      <c r="G36" s="12">
        <f t="shared" si="5"/>
        <v>0</v>
      </c>
      <c r="H36" s="12">
        <f t="shared" si="5"/>
        <v>0</v>
      </c>
      <c r="I36" s="260">
        <f t="shared" si="5"/>
        <v>0</v>
      </c>
      <c r="J36" s="243"/>
      <c r="K36" s="283">
        <v>5</v>
      </c>
      <c r="L36" s="284" t="s">
        <v>69</v>
      </c>
      <c r="M36" s="285">
        <f>+D23</f>
        <v>0</v>
      </c>
      <c r="N36" s="286"/>
      <c r="O36" s="287">
        <f>M36*N36</f>
        <v>0</v>
      </c>
      <c r="P36" s="269"/>
      <c r="W36" s="5"/>
    </row>
    <row r="37" spans="2:23" ht="16.5" thickBot="1" x14ac:dyDescent="0.3">
      <c r="B37" s="22"/>
      <c r="C37" s="648" t="s">
        <v>72</v>
      </c>
      <c r="D37" s="649"/>
      <c r="E37" s="275">
        <f>SUM(E33:E36)</f>
        <v>15967100</v>
      </c>
      <c r="F37" s="275">
        <f t="shared" ref="F37:I37" si="6">SUM(F33:F36)</f>
        <v>15967100</v>
      </c>
      <c r="G37" s="275">
        <f t="shared" si="6"/>
        <v>15967100</v>
      </c>
      <c r="H37" s="275">
        <f t="shared" si="6"/>
        <v>15967100</v>
      </c>
      <c r="I37" s="276">
        <f t="shared" si="6"/>
        <v>15967100</v>
      </c>
      <c r="J37" s="243"/>
      <c r="K37" s="243"/>
      <c r="L37" s="289" t="s">
        <v>71</v>
      </c>
      <c r="M37" s="288">
        <f>SUM(M33:M36)</f>
        <v>84890000</v>
      </c>
      <c r="N37" s="243"/>
      <c r="O37" s="243"/>
      <c r="P37" s="269"/>
      <c r="W37" s="5"/>
    </row>
    <row r="38" spans="2:23" x14ac:dyDescent="0.25">
      <c r="B38" s="22"/>
      <c r="C38" s="41"/>
      <c r="D38" s="267"/>
      <c r="E38" s="267"/>
      <c r="F38" s="267"/>
      <c r="G38" s="267"/>
      <c r="H38" s="267"/>
      <c r="I38" s="267"/>
      <c r="J38" s="41"/>
      <c r="K38" s="41"/>
      <c r="L38" s="41"/>
      <c r="M38" s="41"/>
      <c r="N38" s="41"/>
      <c r="O38" s="41"/>
      <c r="P38" s="125"/>
      <c r="W38" s="5"/>
    </row>
    <row r="39" spans="2:23" ht="16.5" thickBot="1" x14ac:dyDescent="0.3">
      <c r="B39" s="22"/>
      <c r="C39" s="41"/>
      <c r="D39" s="267"/>
      <c r="E39" s="267"/>
      <c r="F39" s="267"/>
      <c r="G39" s="267"/>
      <c r="H39" s="267"/>
      <c r="I39" s="267"/>
      <c r="J39" s="41"/>
      <c r="K39" s="41"/>
      <c r="L39" s="41"/>
      <c r="M39" s="41"/>
      <c r="N39" s="41"/>
      <c r="O39" s="41"/>
      <c r="P39" s="125"/>
      <c r="V39" s="5"/>
      <c r="W39" s="5"/>
    </row>
    <row r="40" spans="2:23" x14ac:dyDescent="0.25">
      <c r="B40" s="22"/>
      <c r="C40" s="639" t="s">
        <v>126</v>
      </c>
      <c r="D40" s="640"/>
      <c r="E40" s="261">
        <f>+M33+M35+M34</f>
        <v>84890000</v>
      </c>
      <c r="F40" s="41"/>
      <c r="G40" s="267"/>
      <c r="H40" s="267"/>
      <c r="I40" s="267"/>
      <c r="J40" s="41"/>
      <c r="K40" s="41"/>
      <c r="L40" s="41"/>
      <c r="M40" s="41"/>
      <c r="N40" s="41"/>
      <c r="O40" s="41"/>
      <c r="P40" s="125"/>
      <c r="W40" s="5"/>
    </row>
    <row r="41" spans="2:23" x14ac:dyDescent="0.25">
      <c r="B41" s="22"/>
      <c r="C41" s="641" t="s">
        <v>127</v>
      </c>
      <c r="D41" s="642"/>
      <c r="E41" s="262">
        <f>+M36</f>
        <v>0</v>
      </c>
      <c r="F41" s="41"/>
      <c r="G41" s="267"/>
      <c r="H41" s="267"/>
      <c r="I41" s="267"/>
      <c r="J41" s="41"/>
      <c r="K41" s="41" t="s">
        <v>119</v>
      </c>
      <c r="L41" s="41"/>
      <c r="M41" s="41"/>
      <c r="N41" s="41"/>
      <c r="O41" s="41"/>
      <c r="P41" s="125"/>
    </row>
    <row r="42" spans="2:23" ht="16.5" thickBot="1" x14ac:dyDescent="0.3">
      <c r="B42" s="22"/>
      <c r="C42" s="643" t="s">
        <v>128</v>
      </c>
      <c r="D42" s="644"/>
      <c r="E42" s="263">
        <f>+E40+E41</f>
        <v>84890000</v>
      </c>
      <c r="F42" s="41"/>
      <c r="G42" s="267"/>
      <c r="H42" s="267"/>
      <c r="I42" s="267"/>
      <c r="J42" s="41"/>
      <c r="K42" s="41" t="s">
        <v>125</v>
      </c>
      <c r="L42" s="41"/>
      <c r="M42" s="41"/>
      <c r="N42" s="41"/>
      <c r="O42" s="41"/>
      <c r="P42" s="125"/>
    </row>
    <row r="43" spans="2:23" x14ac:dyDescent="0.25">
      <c r="B43" s="22"/>
      <c r="C43" s="41"/>
      <c r="D43" s="267"/>
      <c r="E43" s="267"/>
      <c r="F43" s="267"/>
      <c r="G43" s="267"/>
      <c r="H43" s="267"/>
      <c r="I43" s="267"/>
      <c r="J43" s="41"/>
      <c r="K43" s="41"/>
      <c r="L43" s="41"/>
      <c r="M43" s="41"/>
      <c r="N43" s="41"/>
      <c r="O43" s="41"/>
      <c r="P43" s="125"/>
    </row>
    <row r="44" spans="2:23" ht="16.5" thickBot="1" x14ac:dyDescent="0.3">
      <c r="B44" s="77"/>
      <c r="C44" s="129"/>
      <c r="D44" s="270"/>
      <c r="E44" s="270"/>
      <c r="F44" s="270"/>
      <c r="G44" s="270"/>
      <c r="H44" s="270"/>
      <c r="I44" s="270"/>
      <c r="J44" s="129"/>
      <c r="K44" s="129"/>
      <c r="L44" s="129"/>
      <c r="M44" s="129"/>
      <c r="N44" s="129"/>
      <c r="O44" s="129"/>
      <c r="P44" s="130"/>
    </row>
    <row r="46" spans="2:23" x14ac:dyDescent="0.25">
      <c r="U46" s="5"/>
      <c r="V46" s="5"/>
    </row>
    <row r="47" spans="2:23" x14ac:dyDescent="0.25">
      <c r="U47" s="5"/>
      <c r="V47" s="5"/>
    </row>
    <row r="48" spans="2:23" x14ac:dyDescent="0.25">
      <c r="V48" s="6"/>
    </row>
  </sheetData>
  <mergeCells count="10">
    <mergeCell ref="C40:D40"/>
    <mergeCell ref="C41:D41"/>
    <mergeCell ref="C42:D42"/>
    <mergeCell ref="C4:O4"/>
    <mergeCell ref="C37:D37"/>
    <mergeCell ref="C29:E29"/>
    <mergeCell ref="C15:E15"/>
    <mergeCell ref="C6:F6"/>
    <mergeCell ref="C25:F25"/>
    <mergeCell ref="C18:F1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B6F9-2220-4F88-BC62-E1EAC50F3687}">
  <dimension ref="B1:I36"/>
  <sheetViews>
    <sheetView showGridLines="0" workbookViewId="0">
      <selection activeCell="G15" sqref="G15"/>
    </sheetView>
  </sheetViews>
  <sheetFormatPr baseColWidth="10" defaultRowHeight="15.75" x14ac:dyDescent="0.25"/>
  <cols>
    <col min="1" max="2" width="11" style="3"/>
    <col min="3" max="3" width="32.25" style="3" bestFit="1" customWidth="1"/>
    <col min="4" max="4" width="17.625" style="5" customWidth="1"/>
    <col min="5" max="5" width="11" style="3"/>
    <col min="6" max="6" width="18.125" style="3" bestFit="1" customWidth="1"/>
    <col min="7" max="7" width="13.625" style="3" bestFit="1" customWidth="1"/>
    <col min="8" max="16384" width="11" style="3"/>
  </cols>
  <sheetData>
    <row r="1" spans="2:9" ht="16.5" thickBot="1" x14ac:dyDescent="0.3"/>
    <row r="2" spans="2:9" x14ac:dyDescent="0.25">
      <c r="B2" s="122"/>
      <c r="C2" s="123"/>
      <c r="D2" s="266"/>
      <c r="E2" s="123"/>
      <c r="F2" s="123"/>
      <c r="G2" s="123"/>
      <c r="H2" s="123"/>
      <c r="I2" s="124"/>
    </row>
    <row r="3" spans="2:9" x14ac:dyDescent="0.25">
      <c r="B3" s="22"/>
      <c r="C3" s="41"/>
      <c r="D3" s="41"/>
      <c r="E3" s="41"/>
      <c r="F3" s="41"/>
      <c r="G3" s="41"/>
      <c r="H3" s="41"/>
      <c r="I3" s="125"/>
    </row>
    <row r="4" spans="2:9" x14ac:dyDescent="0.25">
      <c r="B4" s="22"/>
      <c r="C4" s="660" t="s">
        <v>100</v>
      </c>
      <c r="D4" s="661"/>
      <c r="E4" s="41"/>
      <c r="F4" s="660" t="s">
        <v>891</v>
      </c>
      <c r="G4" s="661"/>
      <c r="H4" s="41"/>
      <c r="I4" s="125"/>
    </row>
    <row r="5" spans="2:9" x14ac:dyDescent="0.25">
      <c r="B5" s="22"/>
      <c r="C5" s="299" t="s">
        <v>215</v>
      </c>
      <c r="D5" s="300"/>
      <c r="E5" s="41"/>
      <c r="F5" s="41"/>
      <c r="G5" s="41"/>
      <c r="H5" s="41"/>
      <c r="I5" s="125"/>
    </row>
    <row r="6" spans="2:9" x14ac:dyDescent="0.25">
      <c r="B6" s="22"/>
      <c r="C6" s="302" t="s">
        <v>94</v>
      </c>
      <c r="D6" s="301">
        <f>+'FLUJO DE CAJA '!F25</f>
        <v>400000000</v>
      </c>
      <c r="E6" s="41"/>
      <c r="F6" s="763">
        <v>2021</v>
      </c>
      <c r="G6" s="762">
        <f>+D6</f>
        <v>400000000</v>
      </c>
      <c r="H6" s="764" t="s">
        <v>909</v>
      </c>
      <c r="I6" s="765"/>
    </row>
    <row r="7" spans="2:9" x14ac:dyDescent="0.25">
      <c r="B7" s="22"/>
      <c r="C7" s="303" t="s">
        <v>855</v>
      </c>
      <c r="D7" s="74">
        <v>0</v>
      </c>
      <c r="E7" s="41"/>
      <c r="F7" s="704"/>
      <c r="G7" s="705"/>
      <c r="H7" s="41"/>
      <c r="I7" s="125"/>
    </row>
    <row r="8" spans="2:9" x14ac:dyDescent="0.25">
      <c r="B8" s="22"/>
      <c r="C8" s="303" t="s">
        <v>216</v>
      </c>
      <c r="D8" s="74">
        <v>0</v>
      </c>
      <c r="E8" s="41"/>
      <c r="F8" s="703" t="s">
        <v>910</v>
      </c>
      <c r="G8" s="699">
        <v>0.1</v>
      </c>
      <c r="H8" s="41"/>
      <c r="I8" s="125"/>
    </row>
    <row r="9" spans="2:9" ht="16.5" thickBot="1" x14ac:dyDescent="0.3">
      <c r="B9" s="22"/>
      <c r="C9" s="304" t="s">
        <v>217</v>
      </c>
      <c r="D9" s="298">
        <v>0</v>
      </c>
      <c r="E9" s="41"/>
      <c r="F9" s="703" t="s">
        <v>892</v>
      </c>
      <c r="G9" s="700">
        <f>+((1+G8)^(1/12))-1</f>
        <v>7.9741404289037643E-3</v>
      </c>
      <c r="H9" s="41"/>
      <c r="I9" s="125"/>
    </row>
    <row r="10" spans="2:9" ht="16.5" thickTop="1" x14ac:dyDescent="0.25">
      <c r="B10" s="22"/>
      <c r="C10" s="296" t="s">
        <v>218</v>
      </c>
      <c r="D10" s="297">
        <f>SUM(D5:D9)</f>
        <v>400000000</v>
      </c>
      <c r="E10" s="41"/>
      <c r="F10" s="660" t="s">
        <v>893</v>
      </c>
      <c r="G10" s="661"/>
      <c r="H10" s="41"/>
      <c r="I10" s="125"/>
    </row>
    <row r="11" spans="2:9" ht="21" customHeight="1" x14ac:dyDescent="0.3">
      <c r="B11" s="22"/>
      <c r="C11" s="291" t="s">
        <v>219</v>
      </c>
      <c r="D11" s="292"/>
      <c r="E11" s="41"/>
      <c r="F11" s="701">
        <f>NPV(G9,G6:G17)*(1+G9)^24</f>
        <v>480171048.75685859</v>
      </c>
      <c r="G11" s="702"/>
      <c r="H11" s="41"/>
      <c r="I11" s="125"/>
    </row>
    <row r="12" spans="2:9" x14ac:dyDescent="0.25">
      <c r="B12" s="22"/>
      <c r="C12" s="305" t="s">
        <v>262</v>
      </c>
      <c r="D12" s="74"/>
      <c r="E12" s="41"/>
      <c r="F12" s="704"/>
      <c r="G12" s="41"/>
      <c r="H12" s="41"/>
      <c r="I12" s="125"/>
    </row>
    <row r="13" spans="2:9" x14ac:dyDescent="0.25">
      <c r="B13" s="22"/>
      <c r="C13" s="305" t="s">
        <v>263</v>
      </c>
      <c r="D13" s="74"/>
      <c r="E13" s="41"/>
      <c r="F13" s="704"/>
      <c r="G13" s="41"/>
      <c r="H13" s="41"/>
      <c r="I13" s="125"/>
    </row>
    <row r="14" spans="2:9" x14ac:dyDescent="0.25">
      <c r="B14" s="22"/>
      <c r="C14" s="305" t="s">
        <v>217</v>
      </c>
      <c r="D14" s="74"/>
      <c r="E14" s="41"/>
      <c r="F14" s="704"/>
      <c r="G14" s="41"/>
      <c r="H14" s="41"/>
      <c r="I14" s="125"/>
    </row>
    <row r="15" spans="2:9" ht="16.5" thickBot="1" x14ac:dyDescent="0.3">
      <c r="B15" s="22"/>
      <c r="C15" s="306" t="s">
        <v>95</v>
      </c>
      <c r="D15" s="298">
        <v>0</v>
      </c>
      <c r="E15" s="41"/>
      <c r="F15" s="704"/>
      <c r="G15" s="41"/>
      <c r="H15" s="41"/>
      <c r="I15" s="125"/>
    </row>
    <row r="16" spans="2:9" ht="16.5" thickTop="1" x14ac:dyDescent="0.25">
      <c r="B16" s="22"/>
      <c r="C16" s="296" t="s">
        <v>220</v>
      </c>
      <c r="D16" s="297">
        <f t="shared" ref="D16" si="0">SUM(D12:D15)</f>
        <v>0</v>
      </c>
      <c r="E16" s="41"/>
      <c r="F16" s="704"/>
      <c r="G16" s="41"/>
      <c r="H16" s="41"/>
      <c r="I16" s="125"/>
    </row>
    <row r="17" spans="2:9" x14ac:dyDescent="0.25">
      <c r="B17" s="22"/>
      <c r="C17" s="294" t="s">
        <v>221</v>
      </c>
      <c r="D17" s="295">
        <f>+D10+D16</f>
        <v>400000000</v>
      </c>
      <c r="E17" s="41"/>
      <c r="F17" s="704"/>
      <c r="G17" s="41"/>
      <c r="H17" s="41"/>
      <c r="I17" s="125"/>
    </row>
    <row r="18" spans="2:9" x14ac:dyDescent="0.25">
      <c r="B18" s="22"/>
      <c r="C18" s="662" t="s">
        <v>222</v>
      </c>
      <c r="D18" s="662"/>
      <c r="E18" s="41"/>
      <c r="F18" s="41"/>
      <c r="G18" s="41"/>
      <c r="H18" s="41"/>
      <c r="I18" s="125"/>
    </row>
    <row r="19" spans="2:9" x14ac:dyDescent="0.25">
      <c r="B19" s="22"/>
      <c r="C19" s="305" t="s">
        <v>223</v>
      </c>
      <c r="D19" s="74">
        <v>0</v>
      </c>
      <c r="E19" s="41"/>
      <c r="F19" s="41"/>
      <c r="G19" s="41"/>
      <c r="H19" s="41"/>
      <c r="I19" s="125"/>
    </row>
    <row r="20" spans="2:9" x14ac:dyDescent="0.25">
      <c r="B20" s="22"/>
      <c r="C20" s="305" t="s">
        <v>96</v>
      </c>
      <c r="D20" s="74">
        <v>0</v>
      </c>
      <c r="E20" s="41"/>
      <c r="F20" s="41"/>
      <c r="G20" s="41"/>
      <c r="H20" s="41"/>
      <c r="I20" s="125"/>
    </row>
    <row r="21" spans="2:9" x14ac:dyDescent="0.25">
      <c r="B21" s="22"/>
      <c r="C21" s="305" t="s">
        <v>224</v>
      </c>
      <c r="D21" s="74">
        <v>0</v>
      </c>
      <c r="E21" s="41"/>
      <c r="F21" s="41"/>
      <c r="G21" s="41"/>
      <c r="H21" s="41"/>
      <c r="I21" s="125"/>
    </row>
    <row r="22" spans="2:9" x14ac:dyDescent="0.25">
      <c r="B22" s="22"/>
      <c r="C22" s="305" t="s">
        <v>97</v>
      </c>
      <c r="D22" s="74">
        <v>0</v>
      </c>
      <c r="E22" s="41"/>
      <c r="F22" s="41"/>
      <c r="G22" s="41"/>
      <c r="H22" s="41"/>
      <c r="I22" s="125"/>
    </row>
    <row r="23" spans="2:9" ht="16.5" thickBot="1" x14ac:dyDescent="0.3">
      <c r="B23" s="22"/>
      <c r="C23" s="306" t="s">
        <v>98</v>
      </c>
      <c r="D23" s="298">
        <v>0</v>
      </c>
      <c r="E23" s="41"/>
      <c r="F23" s="41"/>
      <c r="G23" s="41"/>
      <c r="H23" s="41"/>
      <c r="I23" s="125"/>
    </row>
    <row r="24" spans="2:9" ht="16.5" thickTop="1" x14ac:dyDescent="0.25">
      <c r="B24" s="22"/>
      <c r="C24" s="296" t="s">
        <v>225</v>
      </c>
      <c r="D24" s="297">
        <f>+D19+D20+D22+D21+D23</f>
        <v>0</v>
      </c>
      <c r="E24" s="41"/>
      <c r="F24" s="41"/>
      <c r="G24" s="41"/>
      <c r="H24" s="41"/>
      <c r="I24" s="125"/>
    </row>
    <row r="25" spans="2:9" x14ac:dyDescent="0.25">
      <c r="B25" s="22"/>
      <c r="C25" s="264" t="s">
        <v>226</v>
      </c>
      <c r="D25" s="264"/>
      <c r="E25" s="41"/>
      <c r="F25" s="41"/>
      <c r="G25" s="41"/>
      <c r="H25" s="41"/>
      <c r="I25" s="125"/>
    </row>
    <row r="26" spans="2:9" x14ac:dyDescent="0.25">
      <c r="B26" s="22"/>
      <c r="C26" s="305" t="s">
        <v>227</v>
      </c>
      <c r="D26" s="74">
        <v>0</v>
      </c>
      <c r="E26" s="41"/>
      <c r="F26" s="41"/>
      <c r="G26" s="41"/>
      <c r="H26" s="41"/>
      <c r="I26" s="125"/>
    </row>
    <row r="27" spans="2:9" ht="16.5" thickBot="1" x14ac:dyDescent="0.3">
      <c r="B27" s="22"/>
      <c r="C27" s="306" t="s">
        <v>228</v>
      </c>
      <c r="D27" s="298">
        <v>0</v>
      </c>
      <c r="E27" s="41"/>
      <c r="F27" s="41"/>
      <c r="G27" s="41"/>
      <c r="H27" s="41"/>
      <c r="I27" s="125"/>
    </row>
    <row r="28" spans="2:9" ht="16.5" thickTop="1" x14ac:dyDescent="0.25">
      <c r="B28" s="22"/>
      <c r="C28" s="296" t="s">
        <v>229</v>
      </c>
      <c r="D28" s="297">
        <f>+D26+D27</f>
        <v>0</v>
      </c>
      <c r="E28" s="41"/>
      <c r="F28" s="41"/>
      <c r="G28" s="41"/>
      <c r="H28" s="41"/>
      <c r="I28" s="125"/>
    </row>
    <row r="29" spans="2:9" x14ac:dyDescent="0.25">
      <c r="B29" s="22"/>
      <c r="C29" s="294" t="s">
        <v>230</v>
      </c>
      <c r="D29" s="295">
        <f>+D24+D28</f>
        <v>0</v>
      </c>
      <c r="E29" s="41"/>
      <c r="F29" s="41"/>
      <c r="G29" s="41"/>
      <c r="H29" s="41"/>
      <c r="I29" s="125"/>
    </row>
    <row r="30" spans="2:9" x14ac:dyDescent="0.25">
      <c r="B30" s="22"/>
      <c r="C30" s="264" t="s">
        <v>34</v>
      </c>
      <c r="D30" s="264"/>
      <c r="E30" s="41"/>
      <c r="F30" s="41"/>
      <c r="G30" s="41"/>
      <c r="H30" s="41"/>
      <c r="I30" s="125"/>
    </row>
    <row r="31" spans="2:9" x14ac:dyDescent="0.25">
      <c r="B31" s="22"/>
      <c r="C31" s="305" t="s">
        <v>231</v>
      </c>
      <c r="D31" s="293">
        <f>+D17</f>
        <v>400000000</v>
      </c>
      <c r="E31" s="41"/>
      <c r="F31" s="41"/>
      <c r="G31" s="41"/>
      <c r="H31" s="41"/>
      <c r="I31" s="125"/>
    </row>
    <row r="32" spans="2:9" x14ac:dyDescent="0.25">
      <c r="B32" s="22"/>
      <c r="C32" s="305" t="s">
        <v>232</v>
      </c>
      <c r="D32" s="293"/>
      <c r="E32" s="41"/>
      <c r="F32" s="41"/>
      <c r="G32" s="41"/>
      <c r="H32" s="41"/>
      <c r="I32" s="125"/>
    </row>
    <row r="33" spans="2:9" x14ac:dyDescent="0.25">
      <c r="B33" s="22"/>
      <c r="C33" s="305" t="s">
        <v>99</v>
      </c>
      <c r="D33" s="293"/>
      <c r="E33" s="41"/>
      <c r="F33" s="41"/>
      <c r="G33" s="41"/>
      <c r="H33" s="41"/>
      <c r="I33" s="125"/>
    </row>
    <row r="34" spans="2:9" x14ac:dyDescent="0.25">
      <c r="B34" s="22"/>
      <c r="C34" s="294" t="s">
        <v>233</v>
      </c>
      <c r="D34" s="295">
        <f t="shared" ref="D34" si="1">+D31+D32+D33</f>
        <v>400000000</v>
      </c>
      <c r="E34" s="41"/>
      <c r="F34" s="41"/>
      <c r="G34" s="41"/>
      <c r="H34" s="41"/>
      <c r="I34" s="125"/>
    </row>
    <row r="35" spans="2:9" x14ac:dyDescent="0.25">
      <c r="B35" s="22"/>
      <c r="C35" s="41"/>
      <c r="D35" s="41"/>
      <c r="E35" s="41"/>
      <c r="F35" s="41"/>
      <c r="G35" s="41"/>
      <c r="H35" s="41"/>
      <c r="I35" s="125"/>
    </row>
    <row r="36" spans="2:9" ht="16.5" thickBot="1" x14ac:dyDescent="0.3">
      <c r="B36" s="77"/>
      <c r="C36" s="129"/>
      <c r="D36" s="270"/>
      <c r="E36" s="129"/>
      <c r="F36" s="129"/>
      <c r="G36" s="129"/>
      <c r="H36" s="129"/>
      <c r="I36" s="130"/>
    </row>
  </sheetData>
  <mergeCells count="6">
    <mergeCell ref="F4:G4"/>
    <mergeCell ref="F10:G10"/>
    <mergeCell ref="H6:I6"/>
    <mergeCell ref="F11:G11"/>
    <mergeCell ref="C4:D4"/>
    <mergeCell ref="C18:D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B13C-6E03-4357-B414-0844BA4F2917}">
  <dimension ref="D8:N15"/>
  <sheetViews>
    <sheetView showGridLines="0" showRowColHeaders="0" topLeftCell="A4" workbookViewId="0">
      <selection activeCell="G17" sqref="G17"/>
    </sheetView>
  </sheetViews>
  <sheetFormatPr baseColWidth="10" defaultRowHeight="15.75" x14ac:dyDescent="0.25"/>
  <cols>
    <col min="1" max="16384" width="11" style="307"/>
  </cols>
  <sheetData>
    <row r="8" spans="4:14" x14ac:dyDescent="0.25"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</row>
    <row r="9" spans="4:14" x14ac:dyDescent="0.25">
      <c r="D9" s="271"/>
      <c r="E9" s="308"/>
      <c r="F9" s="308"/>
      <c r="G9" s="308"/>
      <c r="H9" s="308"/>
      <c r="I9" s="308"/>
      <c r="J9" s="308"/>
      <c r="K9" s="308"/>
      <c r="L9" s="308"/>
      <c r="M9" s="308"/>
      <c r="N9" s="271"/>
    </row>
    <row r="10" spans="4:14" x14ac:dyDescent="0.25">
      <c r="D10" s="271"/>
      <c r="E10" s="308"/>
      <c r="F10" s="308"/>
      <c r="G10" s="308"/>
      <c r="H10" s="308"/>
      <c r="I10" s="308"/>
      <c r="J10" s="308"/>
      <c r="K10" s="308"/>
      <c r="L10" s="308"/>
      <c r="M10" s="308"/>
      <c r="N10" s="271"/>
    </row>
    <row r="11" spans="4:14" ht="92.25" x14ac:dyDescent="1.35">
      <c r="D11" s="271"/>
      <c r="E11" s="308"/>
      <c r="F11" s="309" t="s">
        <v>860</v>
      </c>
      <c r="G11" s="308"/>
      <c r="H11" s="308"/>
      <c r="I11" s="308"/>
      <c r="J11" s="308"/>
      <c r="K11" s="308"/>
      <c r="L11" s="308"/>
      <c r="M11" s="308"/>
      <c r="N11" s="271"/>
    </row>
    <row r="12" spans="4:14" x14ac:dyDescent="0.25">
      <c r="D12" s="271"/>
      <c r="E12" s="308"/>
      <c r="F12" s="308"/>
      <c r="G12" s="308"/>
      <c r="H12" s="308"/>
      <c r="I12" s="308"/>
      <c r="J12" s="308"/>
      <c r="K12" s="308"/>
      <c r="L12" s="308"/>
      <c r="M12" s="308"/>
      <c r="N12" s="271"/>
    </row>
    <row r="13" spans="4:14" x14ac:dyDescent="0.25">
      <c r="D13" s="271"/>
      <c r="E13" s="308"/>
      <c r="F13" s="308"/>
      <c r="G13" s="308"/>
      <c r="H13" s="308"/>
      <c r="I13" s="308"/>
      <c r="J13" s="308"/>
      <c r="K13" s="308"/>
      <c r="L13" s="308"/>
      <c r="M13" s="308"/>
      <c r="N13" s="271"/>
    </row>
    <row r="14" spans="4:14" x14ac:dyDescent="0.25">
      <c r="D14" s="271"/>
      <c r="E14" s="308"/>
      <c r="F14" s="308"/>
      <c r="G14" s="308"/>
      <c r="H14" s="308"/>
      <c r="I14" s="308"/>
      <c r="J14" s="308"/>
      <c r="K14" s="308"/>
      <c r="L14" s="308"/>
      <c r="M14" s="308"/>
      <c r="N14" s="271"/>
    </row>
    <row r="15" spans="4:14" x14ac:dyDescent="0.25"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CDF9-F3C6-4614-9269-B273D092D511}">
  <sheetPr>
    <pageSetUpPr fitToPage="1"/>
  </sheetPr>
  <dimension ref="A1:S95"/>
  <sheetViews>
    <sheetView showGridLines="0" zoomScale="80" zoomScaleNormal="80" zoomScaleSheetLayoutView="98" workbookViewId="0">
      <pane ySplit="1" topLeftCell="A74" activePane="bottomLeft" state="frozen"/>
      <selection activeCell="G26" sqref="G26"/>
      <selection pane="bottomLeft"/>
    </sheetView>
  </sheetViews>
  <sheetFormatPr baseColWidth="10" defaultColWidth="11" defaultRowHeight="15.75" outlineLevelCol="1" x14ac:dyDescent="0.25"/>
  <cols>
    <col min="1" max="4" width="3.5" style="148" customWidth="1"/>
    <col min="5" max="5" width="37.375" style="149" customWidth="1"/>
    <col min="6" max="6" width="24.125" style="149" customWidth="1"/>
    <col min="7" max="7" width="18.25" style="149" customWidth="1"/>
    <col min="8" max="8" width="19.25" style="149" customWidth="1"/>
    <col min="9" max="9" width="16.75" style="149" customWidth="1"/>
    <col min="10" max="10" width="18.875" style="149" customWidth="1"/>
    <col min="11" max="11" width="15.75" style="149" customWidth="1"/>
    <col min="12" max="12" width="15.25" style="149" customWidth="1"/>
    <col min="13" max="13" width="21.375" style="149" hidden="1" customWidth="1" outlineLevel="1"/>
    <col min="14" max="14" width="17.5" style="149" hidden="1" customWidth="1" outlineLevel="1"/>
    <col min="15" max="15" width="14.25" style="149" hidden="1" customWidth="1" outlineLevel="1"/>
    <col min="16" max="16" width="14.5" style="149" hidden="1" customWidth="1" outlineLevel="1"/>
    <col min="17" max="17" width="12.875" style="149" hidden="1" customWidth="1" outlineLevel="1"/>
    <col min="18" max="18" width="14.375" style="149" customWidth="1" collapsed="1"/>
    <col min="19" max="19" width="12" style="149" bestFit="1" customWidth="1"/>
    <col min="20" max="16384" width="11" style="149"/>
  </cols>
  <sheetData>
    <row r="1" spans="3:18" ht="16.5" thickBot="1" x14ac:dyDescent="0.3">
      <c r="E1" s="332"/>
      <c r="F1" s="663"/>
      <c r="G1" s="663"/>
    </row>
    <row r="2" spans="3:18" x14ac:dyDescent="0.25">
      <c r="C2" s="360"/>
      <c r="D2" s="361"/>
      <c r="E2" s="362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4"/>
    </row>
    <row r="3" spans="3:18" x14ac:dyDescent="0.25">
      <c r="C3" s="365"/>
      <c r="D3" s="152"/>
      <c r="E3" s="352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366"/>
    </row>
    <row r="4" spans="3:18" x14ac:dyDescent="0.25">
      <c r="C4" s="365"/>
      <c r="D4" s="152"/>
      <c r="E4" s="664" t="s">
        <v>866</v>
      </c>
      <c r="F4" s="664"/>
      <c r="G4" s="664"/>
      <c r="H4" s="664"/>
      <c r="I4" s="664"/>
      <c r="J4" s="664"/>
      <c r="K4" s="664"/>
      <c r="L4" s="151"/>
      <c r="M4" s="151"/>
      <c r="N4" s="151"/>
      <c r="O4" s="151"/>
      <c r="P4" s="151"/>
      <c r="Q4" s="151"/>
      <c r="R4" s="366"/>
    </row>
    <row r="5" spans="3:18" x14ac:dyDescent="0.25">
      <c r="C5" s="365"/>
      <c r="D5" s="152"/>
      <c r="E5" s="352"/>
      <c r="F5" s="314" t="s">
        <v>8</v>
      </c>
      <c r="G5" s="314" t="s">
        <v>3</v>
      </c>
      <c r="H5" s="314" t="s">
        <v>4</v>
      </c>
      <c r="I5" s="314" t="s">
        <v>5</v>
      </c>
      <c r="J5" s="314" t="s">
        <v>6</v>
      </c>
      <c r="K5" s="314" t="s">
        <v>7</v>
      </c>
      <c r="L5" s="151"/>
      <c r="M5" s="151"/>
      <c r="N5" s="151"/>
      <c r="O5" s="151"/>
      <c r="P5" s="151"/>
      <c r="Q5" s="151"/>
      <c r="R5" s="366"/>
    </row>
    <row r="6" spans="3:18" x14ac:dyDescent="0.25">
      <c r="C6" s="365"/>
      <c r="D6" s="152"/>
      <c r="E6" s="328" t="s">
        <v>21</v>
      </c>
      <c r="F6" s="333"/>
      <c r="G6" s="315">
        <v>500</v>
      </c>
      <c r="H6" s="312">
        <v>850</v>
      </c>
      <c r="I6" s="312">
        <f t="shared" ref="I6:K6" si="0">+H6+I7</f>
        <v>1050</v>
      </c>
      <c r="J6" s="312">
        <f t="shared" si="0"/>
        <v>1250</v>
      </c>
      <c r="K6" s="312">
        <f t="shared" si="0"/>
        <v>1450</v>
      </c>
      <c r="L6" s="151"/>
      <c r="M6" s="310"/>
      <c r="N6" s="311"/>
      <c r="O6" s="311"/>
      <c r="P6" s="311"/>
      <c r="Q6" s="151"/>
      <c r="R6" s="366"/>
    </row>
    <row r="7" spans="3:18" x14ac:dyDescent="0.25">
      <c r="C7" s="365"/>
      <c r="D7" s="152"/>
      <c r="E7" s="329" t="s">
        <v>17</v>
      </c>
      <c r="F7" s="334"/>
      <c r="G7" s="320">
        <v>0</v>
      </c>
      <c r="H7" s="321">
        <v>200</v>
      </c>
      <c r="I7" s="321">
        <v>200</v>
      </c>
      <c r="J7" s="321">
        <v>200</v>
      </c>
      <c r="K7" s="321">
        <v>200</v>
      </c>
      <c r="L7" s="151"/>
      <c r="M7" s="152"/>
      <c r="N7" s="159"/>
      <c r="O7" s="159"/>
      <c r="P7" s="159"/>
      <c r="Q7" s="151"/>
      <c r="R7" s="366"/>
    </row>
    <row r="8" spans="3:18" ht="22.5" customHeight="1" x14ac:dyDescent="0.25">
      <c r="C8" s="365"/>
      <c r="D8" s="152"/>
      <c r="E8" s="330" t="s">
        <v>853</v>
      </c>
      <c r="F8" s="319">
        <v>400000000</v>
      </c>
      <c r="G8" s="322"/>
      <c r="H8" s="322"/>
      <c r="I8" s="322"/>
      <c r="J8" s="322"/>
      <c r="K8" s="323"/>
      <c r="L8" s="151"/>
      <c r="M8" s="151"/>
      <c r="N8" s="151"/>
      <c r="O8" s="151"/>
      <c r="P8" s="151"/>
      <c r="Q8" s="151"/>
      <c r="R8" s="366"/>
    </row>
    <row r="9" spans="3:18" ht="22.5" customHeight="1" x14ac:dyDescent="0.25">
      <c r="C9" s="365"/>
      <c r="D9" s="152"/>
      <c r="E9" s="328" t="s">
        <v>22</v>
      </c>
      <c r="F9" s="335"/>
      <c r="G9" s="325">
        <v>525846</v>
      </c>
      <c r="H9" s="326"/>
      <c r="I9" s="327"/>
      <c r="J9" s="327"/>
      <c r="K9" s="316"/>
      <c r="L9" s="151"/>
      <c r="M9" s="151"/>
      <c r="N9" s="151"/>
      <c r="O9" s="151"/>
      <c r="P9" s="151"/>
      <c r="Q9" s="151"/>
      <c r="R9" s="366"/>
    </row>
    <row r="10" spans="3:18" ht="22.5" customHeight="1" x14ac:dyDescent="0.25">
      <c r="C10" s="365"/>
      <c r="D10" s="152"/>
      <c r="E10" s="328" t="s">
        <v>11</v>
      </c>
      <c r="F10" s="333"/>
      <c r="G10" s="324">
        <v>0.01</v>
      </c>
      <c r="H10" s="318">
        <v>0.01</v>
      </c>
      <c r="I10" s="318">
        <v>0.01</v>
      </c>
      <c r="J10" s="318">
        <v>0.01</v>
      </c>
      <c r="K10" s="318">
        <v>0.01</v>
      </c>
      <c r="L10" s="151"/>
      <c r="M10" s="151"/>
      <c r="N10" s="151"/>
      <c r="O10" s="151"/>
      <c r="P10" s="151"/>
      <c r="Q10" s="151"/>
      <c r="R10" s="366"/>
    </row>
    <row r="11" spans="3:18" ht="22.5" customHeight="1" x14ac:dyDescent="0.25">
      <c r="C11" s="365"/>
      <c r="D11" s="152"/>
      <c r="E11" s="331" t="s">
        <v>2</v>
      </c>
      <c r="F11" s="336"/>
      <c r="G11" s="317">
        <v>2.5000000000000001E-2</v>
      </c>
      <c r="H11" s="313">
        <v>3.2800000000000003E-2</v>
      </c>
      <c r="I11" s="313">
        <v>3.4000000000000002E-2</v>
      </c>
      <c r="J11" s="313">
        <v>3.5999999999999997E-2</v>
      </c>
      <c r="K11" s="313">
        <v>3.5999999999999997E-2</v>
      </c>
      <c r="L11" s="151"/>
      <c r="M11" s="151"/>
      <c r="N11" s="151"/>
      <c r="O11" s="151"/>
      <c r="P11" s="151"/>
      <c r="Q11" s="151"/>
      <c r="R11" s="366"/>
    </row>
    <row r="12" spans="3:18" x14ac:dyDescent="0.25">
      <c r="C12" s="365"/>
      <c r="D12" s="152"/>
      <c r="E12" s="151"/>
      <c r="F12" s="353"/>
      <c r="G12" s="353"/>
      <c r="H12" s="353"/>
      <c r="I12" s="353"/>
      <c r="J12" s="353"/>
      <c r="K12" s="353"/>
      <c r="L12" s="151"/>
      <c r="M12" s="151"/>
      <c r="N12" s="151"/>
      <c r="O12" s="151"/>
      <c r="P12" s="151"/>
      <c r="Q12" s="151"/>
      <c r="R12" s="366"/>
    </row>
    <row r="13" spans="3:18" x14ac:dyDescent="0.25">
      <c r="C13" s="365"/>
      <c r="D13" s="152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366"/>
    </row>
    <row r="14" spans="3:18" x14ac:dyDescent="0.25">
      <c r="C14" s="365"/>
      <c r="D14" s="152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366"/>
    </row>
    <row r="15" spans="3:18" x14ac:dyDescent="0.25">
      <c r="C15" s="365"/>
      <c r="D15" s="152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366"/>
    </row>
    <row r="16" spans="3:18" x14ac:dyDescent="0.25">
      <c r="C16" s="365"/>
      <c r="D16" s="152"/>
      <c r="E16" s="337"/>
      <c r="F16" s="338" t="s">
        <v>8</v>
      </c>
      <c r="G16" s="338" t="s">
        <v>3</v>
      </c>
      <c r="H16" s="338" t="s">
        <v>4</v>
      </c>
      <c r="I16" s="338" t="s">
        <v>5</v>
      </c>
      <c r="J16" s="338" t="s">
        <v>6</v>
      </c>
      <c r="K16" s="338" t="s">
        <v>7</v>
      </c>
      <c r="L16" s="151"/>
      <c r="M16" s="151"/>
      <c r="N16" s="151"/>
      <c r="O16" s="151"/>
      <c r="P16" s="151"/>
      <c r="Q16" s="151"/>
      <c r="R16" s="366"/>
    </row>
    <row r="17" spans="3:19" ht="20.25" customHeight="1" x14ac:dyDescent="0.25">
      <c r="C17" s="365"/>
      <c r="D17" s="152"/>
      <c r="E17" s="346" t="s">
        <v>1</v>
      </c>
      <c r="F17" s="341"/>
      <c r="G17" s="153">
        <f>G6</f>
        <v>500</v>
      </c>
      <c r="H17" s="153">
        <f>+H6</f>
        <v>850</v>
      </c>
      <c r="I17" s="153">
        <f>+I6</f>
        <v>1050</v>
      </c>
      <c r="J17" s="153">
        <f>+J6</f>
        <v>1250</v>
      </c>
      <c r="K17" s="153">
        <f>+K6</f>
        <v>1450</v>
      </c>
      <c r="L17" s="151"/>
      <c r="M17" s="151"/>
      <c r="N17" s="151"/>
      <c r="O17" s="151"/>
      <c r="P17" s="151"/>
      <c r="Q17" s="151"/>
      <c r="R17" s="366"/>
    </row>
    <row r="18" spans="3:19" ht="20.25" customHeight="1" x14ac:dyDescent="0.25">
      <c r="C18" s="365"/>
      <c r="D18" s="152"/>
      <c r="E18" s="346" t="s">
        <v>0</v>
      </c>
      <c r="F18" s="341"/>
      <c r="G18" s="153">
        <f>G9</f>
        <v>525846</v>
      </c>
      <c r="H18" s="153">
        <f>(G18*(1+H11)*(1+$G$10))</f>
        <v>548524.68628799997</v>
      </c>
      <c r="I18" s="153">
        <f>(H18*(1+I11)*(1+$G$10))</f>
        <v>572846.27087800985</v>
      </c>
      <c r="J18" s="153">
        <f>(I18*(1+J11)*(1+$G$10))</f>
        <v>599403.4239959144</v>
      </c>
      <c r="K18" s="153">
        <f>(J18*(1+K11)*(1+$G$10))</f>
        <v>627191.76673236501</v>
      </c>
      <c r="L18" s="151"/>
      <c r="M18" s="151"/>
      <c r="N18" s="151"/>
      <c r="O18" s="151"/>
      <c r="P18" s="151"/>
      <c r="Q18" s="151"/>
      <c r="R18" s="366"/>
    </row>
    <row r="19" spans="3:19" x14ac:dyDescent="0.25">
      <c r="C19" s="365"/>
      <c r="D19" s="152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366"/>
    </row>
    <row r="20" spans="3:19" x14ac:dyDescent="0.25">
      <c r="C20" s="365"/>
      <c r="D20" s="152"/>
      <c r="E20" s="339" t="s">
        <v>12</v>
      </c>
      <c r="F20" s="340" t="s">
        <v>8</v>
      </c>
      <c r="G20" s="340" t="s">
        <v>3</v>
      </c>
      <c r="H20" s="340" t="s">
        <v>4</v>
      </c>
      <c r="I20" s="340" t="s">
        <v>5</v>
      </c>
      <c r="J20" s="340" t="s">
        <v>6</v>
      </c>
      <c r="K20" s="340" t="s">
        <v>7</v>
      </c>
      <c r="L20" s="151"/>
      <c r="M20" s="151"/>
      <c r="N20" s="151"/>
      <c r="O20" s="151"/>
      <c r="P20" s="151"/>
      <c r="Q20" s="151"/>
      <c r="R20" s="366"/>
    </row>
    <row r="21" spans="3:19" ht="20.25" customHeight="1" x14ac:dyDescent="0.25">
      <c r="C21" s="365"/>
      <c r="D21" s="152"/>
      <c r="E21" s="132" t="s">
        <v>13</v>
      </c>
      <c r="F21" s="342"/>
      <c r="G21" s="154">
        <f>F25</f>
        <v>400000000</v>
      </c>
      <c r="H21" s="154">
        <f>G25</f>
        <v>334481007.68210185</v>
      </c>
      <c r="I21" s="154">
        <f t="shared" ref="I21:K21" si="1">H25</f>
        <v>262410116.13241386</v>
      </c>
      <c r="J21" s="154">
        <f t="shared" si="1"/>
        <v>183132135.42775708</v>
      </c>
      <c r="K21" s="150">
        <f t="shared" si="1"/>
        <v>95926356.652634636</v>
      </c>
      <c r="L21" s="151"/>
      <c r="M21" s="243"/>
      <c r="N21" s="155" t="s">
        <v>74</v>
      </c>
      <c r="O21" s="155" t="s">
        <v>75</v>
      </c>
      <c r="P21" s="155" t="s">
        <v>76</v>
      </c>
      <c r="Q21" s="243"/>
      <c r="R21" s="366"/>
    </row>
    <row r="22" spans="3:19" ht="20.25" customHeight="1" x14ac:dyDescent="0.25">
      <c r="C22" s="365"/>
      <c r="D22" s="152"/>
      <c r="E22" s="132" t="s">
        <v>14</v>
      </c>
      <c r="F22" s="342"/>
      <c r="G22" s="150">
        <f>PMT($P$22,$O$22,-$G$21)</f>
        <v>105518992.31789815</v>
      </c>
      <c r="H22" s="150">
        <f t="shared" ref="H22:K22" si="2">PMT($P$22,$O$22,-$G$21)</f>
        <v>105518992.31789815</v>
      </c>
      <c r="I22" s="150">
        <f t="shared" si="2"/>
        <v>105518992.31789815</v>
      </c>
      <c r="J22" s="150">
        <f t="shared" si="2"/>
        <v>105518992.31789815</v>
      </c>
      <c r="K22" s="150">
        <f t="shared" si="2"/>
        <v>105518992.31789815</v>
      </c>
      <c r="L22" s="151"/>
      <c r="M22" s="156" t="s">
        <v>77</v>
      </c>
      <c r="N22" s="15">
        <f>+F8</f>
        <v>400000000</v>
      </c>
      <c r="O22" s="13">
        <v>5</v>
      </c>
      <c r="P22" s="157">
        <v>0.1</v>
      </c>
      <c r="Q22" s="243" t="s">
        <v>78</v>
      </c>
      <c r="R22" s="366"/>
    </row>
    <row r="23" spans="3:19" ht="20.25" customHeight="1" x14ac:dyDescent="0.25">
      <c r="C23" s="365"/>
      <c r="D23" s="152"/>
      <c r="E23" s="132" t="s">
        <v>15</v>
      </c>
      <c r="F23" s="342"/>
      <c r="G23" s="150">
        <f>G21*$P$22</f>
        <v>40000000</v>
      </c>
      <c r="H23" s="150">
        <f t="shared" ref="H23:K23" si="3">H21*$P$22</f>
        <v>33448100.768210188</v>
      </c>
      <c r="I23" s="150">
        <f t="shared" si="3"/>
        <v>26241011.613241389</v>
      </c>
      <c r="J23" s="150">
        <f t="shared" si="3"/>
        <v>18313213.542775709</v>
      </c>
      <c r="K23" s="150">
        <f t="shared" si="3"/>
        <v>9592635.6652634647</v>
      </c>
      <c r="L23" s="151"/>
      <c r="M23" s="158" t="s">
        <v>854</v>
      </c>
      <c r="N23" s="21">
        <f ca="1">SUM(N22:N23)</f>
        <v>350000000</v>
      </c>
      <c r="O23" s="243"/>
      <c r="P23" s="243"/>
      <c r="Q23" s="243"/>
      <c r="R23" s="366"/>
    </row>
    <row r="24" spans="3:19" ht="20.25" customHeight="1" x14ac:dyDescent="0.25">
      <c r="C24" s="365"/>
      <c r="D24" s="152"/>
      <c r="E24" s="132" t="s">
        <v>261</v>
      </c>
      <c r="F24" s="342"/>
      <c r="G24" s="150">
        <f>G22-G23</f>
        <v>65518992.317898154</v>
      </c>
      <c r="H24" s="150">
        <f t="shared" ref="H24:K24" si="4">H22-H23</f>
        <v>72070891.549687967</v>
      </c>
      <c r="I24" s="150">
        <f t="shared" si="4"/>
        <v>79277980.704656765</v>
      </c>
      <c r="J24" s="150">
        <f t="shared" si="4"/>
        <v>87205778.775122449</v>
      </c>
      <c r="K24" s="150">
        <f t="shared" si="4"/>
        <v>95926356.652634695</v>
      </c>
      <c r="L24" s="151"/>
      <c r="M24" s="151"/>
      <c r="N24" s="151"/>
      <c r="O24" s="151"/>
      <c r="P24" s="151"/>
      <c r="Q24" s="151"/>
      <c r="R24" s="366"/>
    </row>
    <row r="25" spans="3:19" ht="20.25" customHeight="1" x14ac:dyDescent="0.25">
      <c r="C25" s="365"/>
      <c r="D25" s="152"/>
      <c r="E25" s="132" t="s">
        <v>16</v>
      </c>
      <c r="F25" s="154">
        <f>+F8</f>
        <v>400000000</v>
      </c>
      <c r="G25" s="154">
        <f>G21-G24</f>
        <v>334481007.68210185</v>
      </c>
      <c r="H25" s="154">
        <f t="shared" ref="H25:K25" si="5">H21-H24</f>
        <v>262410116.13241386</v>
      </c>
      <c r="I25" s="154">
        <f t="shared" si="5"/>
        <v>183132135.42775708</v>
      </c>
      <c r="J25" s="154">
        <f t="shared" si="5"/>
        <v>95926356.652634636</v>
      </c>
      <c r="K25" s="150">
        <f t="shared" si="5"/>
        <v>0</v>
      </c>
      <c r="L25" s="151"/>
      <c r="M25" s="151"/>
      <c r="N25" s="151"/>
      <c r="O25" s="151"/>
      <c r="P25" s="151"/>
      <c r="Q25" s="151"/>
      <c r="R25" s="366"/>
    </row>
    <row r="26" spans="3:19" x14ac:dyDescent="0.25">
      <c r="C26" s="365"/>
      <c r="D26" s="152"/>
      <c r="E26" s="151"/>
      <c r="F26" s="151"/>
      <c r="G26" s="354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366"/>
      <c r="S26" s="151"/>
    </row>
    <row r="27" spans="3:19" ht="20.25" customHeight="1" x14ac:dyDescent="0.25">
      <c r="C27" s="365"/>
      <c r="D27" s="152"/>
      <c r="E27" s="151"/>
      <c r="F27" s="151"/>
      <c r="G27" s="357"/>
      <c r="H27" s="357"/>
      <c r="I27" s="357"/>
      <c r="J27" s="357"/>
      <c r="K27" s="357"/>
      <c r="L27" s="151"/>
      <c r="M27" s="151"/>
      <c r="N27" s="151"/>
      <c r="O27" s="151"/>
      <c r="P27" s="151"/>
      <c r="Q27" s="151"/>
      <c r="R27" s="366"/>
    </row>
    <row r="28" spans="3:19" x14ac:dyDescent="0.25">
      <c r="C28" s="365"/>
      <c r="D28" s="152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366"/>
    </row>
    <row r="29" spans="3:19" x14ac:dyDescent="0.25">
      <c r="C29" s="365"/>
      <c r="D29" s="152"/>
      <c r="E29" s="355"/>
      <c r="F29" s="343" t="s">
        <v>61</v>
      </c>
      <c r="G29" s="343" t="s">
        <v>26</v>
      </c>
      <c r="H29" s="343" t="s">
        <v>58</v>
      </c>
      <c r="I29" s="343" t="s">
        <v>28</v>
      </c>
      <c r="J29" s="343" t="s">
        <v>73</v>
      </c>
      <c r="K29" s="343" t="s">
        <v>30</v>
      </c>
      <c r="L29" s="151"/>
      <c r="M29" s="151"/>
      <c r="N29" s="151"/>
      <c r="O29" s="151"/>
      <c r="P29" s="151"/>
      <c r="Q29" s="151"/>
      <c r="R29" s="366"/>
    </row>
    <row r="30" spans="3:19" x14ac:dyDescent="0.25">
      <c r="C30" s="365"/>
      <c r="D30" s="152"/>
      <c r="E30" s="587" t="s">
        <v>60</v>
      </c>
      <c r="F30" s="348"/>
      <c r="G30" s="344">
        <f>+G17*G18</f>
        <v>262923000</v>
      </c>
      <c r="H30" s="344">
        <f>+H17*H18</f>
        <v>466245983.3448</v>
      </c>
      <c r="I30" s="344">
        <f>+I17*I18</f>
        <v>601488584.42191029</v>
      </c>
      <c r="J30" s="344">
        <f>+J17*J18</f>
        <v>749254279.99489295</v>
      </c>
      <c r="K30" s="344">
        <f>+K17*K18</f>
        <v>909428061.76192927</v>
      </c>
      <c r="L30" s="151"/>
      <c r="M30" s="151"/>
      <c r="N30" s="151"/>
      <c r="O30" s="151"/>
      <c r="P30" s="151"/>
      <c r="Q30" s="151"/>
      <c r="R30" s="366"/>
    </row>
    <row r="31" spans="3:19" x14ac:dyDescent="0.25">
      <c r="C31" s="365"/>
      <c r="D31" s="152"/>
      <c r="E31" s="588" t="s">
        <v>80</v>
      </c>
      <c r="F31" s="349"/>
      <c r="G31" s="160">
        <f>+'COSTOS Y GASTOS'!P30</f>
        <v>270312423.36000001</v>
      </c>
      <c r="H31" s="160">
        <f>+'COSTOS Y GASTOS'!AC30</f>
        <v>282277507.72800004</v>
      </c>
      <c r="I31" s="160">
        <f>+'COSTOS Y GASTOS'!AP30</f>
        <v>294892292.50320005</v>
      </c>
      <c r="J31" s="160">
        <f>+'COSTOS Y GASTOS'!BC30</f>
        <v>308257744.89787686</v>
      </c>
      <c r="K31" s="160">
        <f>+'COSTOS Y GASTOS'!BP30</f>
        <v>324442057.47041118</v>
      </c>
      <c r="L31" s="151"/>
      <c r="M31" s="356"/>
      <c r="N31" s="151"/>
      <c r="O31" s="151"/>
      <c r="P31" s="151"/>
      <c r="Q31" s="151"/>
      <c r="R31" s="366"/>
    </row>
    <row r="32" spans="3:19" x14ac:dyDescent="0.25">
      <c r="C32" s="365"/>
      <c r="D32" s="152"/>
      <c r="E32" s="588" t="s">
        <v>81</v>
      </c>
      <c r="F32" s="349"/>
      <c r="G32" s="160">
        <f>+INVERSIONES!E37</f>
        <v>15967100</v>
      </c>
      <c r="H32" s="160">
        <f>+INVERSIONES!F37</f>
        <v>15967100</v>
      </c>
      <c r="I32" s="160">
        <f>+INVERSIONES!G37</f>
        <v>15967100</v>
      </c>
      <c r="J32" s="160">
        <f>+INVERSIONES!H37</f>
        <v>15967100</v>
      </c>
      <c r="K32" s="160">
        <f>+INVERSIONES!I37</f>
        <v>15967100</v>
      </c>
      <c r="L32" s="151"/>
      <c r="M32" s="357"/>
      <c r="N32" s="151"/>
      <c r="O32" s="151"/>
      <c r="P32" s="151"/>
      <c r="Q32" s="151"/>
      <c r="R32" s="366"/>
    </row>
    <row r="33" spans="3:18" ht="15.75" customHeight="1" x14ac:dyDescent="0.25">
      <c r="C33" s="365"/>
      <c r="D33" s="152"/>
      <c r="E33" s="588" t="s">
        <v>83</v>
      </c>
      <c r="F33" s="349"/>
      <c r="G33" s="160">
        <f>+G23</f>
        <v>40000000</v>
      </c>
      <c r="H33" s="160">
        <f>+H23</f>
        <v>33448100.768210188</v>
      </c>
      <c r="I33" s="160">
        <f>+I23</f>
        <v>26241011.613241389</v>
      </c>
      <c r="J33" s="160">
        <f>+J23</f>
        <v>18313213.542775709</v>
      </c>
      <c r="K33" s="160">
        <f>+K23</f>
        <v>9592635.6652634647</v>
      </c>
      <c r="L33" s="151"/>
      <c r="M33" s="356"/>
      <c r="N33" s="151"/>
      <c r="O33" s="151"/>
      <c r="P33" s="151"/>
      <c r="Q33" s="151"/>
      <c r="R33" s="366"/>
    </row>
    <row r="34" spans="3:18" ht="15" customHeight="1" x14ac:dyDescent="0.25">
      <c r="C34" s="365"/>
      <c r="D34" s="152"/>
      <c r="E34" s="158" t="s">
        <v>84</v>
      </c>
      <c r="F34" s="350"/>
      <c r="G34" s="161">
        <f>G30-G31-G32-G33</f>
        <v>-63356523.360000014</v>
      </c>
      <c r="H34" s="162">
        <f>H30-H31-H32-H33</f>
        <v>134553274.84858978</v>
      </c>
      <c r="I34" s="162">
        <f>I30-I31-I32-I33</f>
        <v>264388180.30546886</v>
      </c>
      <c r="J34" s="162">
        <f>J30-J31-J32-J33</f>
        <v>406716221.55424041</v>
      </c>
      <c r="K34" s="161">
        <f>K30-K31-K32-K33</f>
        <v>559426268.62625468</v>
      </c>
      <c r="L34" s="151"/>
      <c r="M34" s="356"/>
      <c r="N34" s="151"/>
      <c r="O34" s="151"/>
      <c r="P34" s="151"/>
      <c r="Q34" s="151"/>
      <c r="R34" s="366"/>
    </row>
    <row r="35" spans="3:18" ht="15.75" customHeight="1" x14ac:dyDescent="0.25">
      <c r="C35" s="365"/>
      <c r="D35" s="152"/>
      <c r="E35" s="589" t="s">
        <v>85</v>
      </c>
      <c r="F35" s="351"/>
      <c r="G35" s="163">
        <f>+IF(G34&gt;0,G34*'DATOS '!E24,0)</f>
        <v>0</v>
      </c>
      <c r="H35" s="163">
        <f>+IF(H34&gt;0,H34*'DATOS '!F24,0)</f>
        <v>44402580.700034626</v>
      </c>
      <c r="I35" s="163">
        <f>+IF(I34&gt;0,I34*'DATOS '!G24,0)</f>
        <v>87248099.500804722</v>
      </c>
      <c r="J35" s="163">
        <f>+IF(J34&gt;0,J34*'DATOS '!H24,0)</f>
        <v>134216353.11289933</v>
      </c>
      <c r="K35" s="163">
        <f>+IF(K34&gt;0,K34*'DATOS '!I24,0)</f>
        <v>184610668.64666405</v>
      </c>
      <c r="L35" s="151"/>
      <c r="M35" s="151"/>
      <c r="N35" s="151"/>
      <c r="O35" s="151"/>
      <c r="P35" s="151"/>
      <c r="Q35" s="151"/>
      <c r="R35" s="366"/>
    </row>
    <row r="36" spans="3:18" ht="15.75" customHeight="1" x14ac:dyDescent="0.25">
      <c r="C36" s="365"/>
      <c r="D36" s="152"/>
      <c r="E36" s="158" t="s">
        <v>9</v>
      </c>
      <c r="F36" s="350"/>
      <c r="G36" s="161">
        <f>+G34-G35</f>
        <v>-63356523.360000014</v>
      </c>
      <c r="H36" s="162">
        <f>+H34-H35</f>
        <v>90150694.14855516</v>
      </c>
      <c r="I36" s="162">
        <f>+I34-I35</f>
        <v>177140080.80466413</v>
      </c>
      <c r="J36" s="162">
        <f>+J34-J35</f>
        <v>272499868.44134104</v>
      </c>
      <c r="K36" s="161">
        <f>+K34-K35</f>
        <v>374815599.97959065</v>
      </c>
      <c r="L36" s="151"/>
      <c r="M36" s="151"/>
      <c r="N36" s="151"/>
      <c r="O36" s="151"/>
      <c r="P36" s="151"/>
      <c r="Q36" s="151"/>
      <c r="R36" s="366"/>
    </row>
    <row r="37" spans="3:18" ht="15.75" customHeight="1" x14ac:dyDescent="0.25">
      <c r="C37" s="365"/>
      <c r="D37" s="152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366"/>
    </row>
    <row r="38" spans="3:18" ht="15.75" customHeight="1" thickBot="1" x14ac:dyDescent="0.3">
      <c r="C38" s="365"/>
      <c r="D38" s="152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366"/>
    </row>
    <row r="39" spans="3:18" ht="15.75" customHeight="1" thickBot="1" x14ac:dyDescent="0.3">
      <c r="C39" s="365"/>
      <c r="D39" s="152"/>
      <c r="E39" s="706" t="s">
        <v>881</v>
      </c>
      <c r="F39" s="707" t="s">
        <v>61</v>
      </c>
      <c r="G39" s="707" t="s">
        <v>26</v>
      </c>
      <c r="H39" s="707" t="s">
        <v>58</v>
      </c>
      <c r="I39" s="707" t="s">
        <v>28</v>
      </c>
      <c r="J39" s="707" t="s">
        <v>73</v>
      </c>
      <c r="K39" s="708" t="s">
        <v>30</v>
      </c>
      <c r="L39" s="151"/>
      <c r="M39" s="151"/>
      <c r="N39" s="151"/>
      <c r="O39" s="151"/>
      <c r="P39" s="151"/>
      <c r="Q39" s="151"/>
      <c r="R39" s="366"/>
    </row>
    <row r="40" spans="3:18" ht="15.75" customHeight="1" x14ac:dyDescent="0.25">
      <c r="C40" s="365"/>
      <c r="D40" s="152"/>
      <c r="E40" s="773" t="s">
        <v>882</v>
      </c>
      <c r="F40" s="712"/>
      <c r="G40" s="712">
        <f>+G36</f>
        <v>-63356523.360000014</v>
      </c>
      <c r="H40" s="712">
        <f>+H36</f>
        <v>90150694.14855516</v>
      </c>
      <c r="I40" s="712">
        <f>+I36</f>
        <v>177140080.80466413</v>
      </c>
      <c r="J40" s="712">
        <f>+J36</f>
        <v>272499868.44134104</v>
      </c>
      <c r="K40" s="713">
        <f>+K36</f>
        <v>374815599.97959065</v>
      </c>
      <c r="L40" s="151"/>
      <c r="M40" s="151"/>
      <c r="N40" s="151"/>
      <c r="O40" s="151"/>
      <c r="P40" s="151"/>
      <c r="Q40" s="151"/>
      <c r="R40" s="366"/>
    </row>
    <row r="41" spans="3:18" ht="15.75" customHeight="1" x14ac:dyDescent="0.25">
      <c r="C41" s="365"/>
      <c r="D41" s="152"/>
      <c r="E41" s="709" t="s">
        <v>883</v>
      </c>
      <c r="F41" s="710"/>
      <c r="G41" s="710">
        <f>+G35</f>
        <v>0</v>
      </c>
      <c r="H41" s="710">
        <f>+H35</f>
        <v>44402580.700034626</v>
      </c>
      <c r="I41" s="710">
        <f>+I35</f>
        <v>87248099.500804722</v>
      </c>
      <c r="J41" s="710">
        <f>+J35</f>
        <v>134216353.11289933</v>
      </c>
      <c r="K41" s="768">
        <f>+K35</f>
        <v>184610668.64666405</v>
      </c>
      <c r="L41" s="151"/>
      <c r="M41" s="151"/>
      <c r="N41" s="151"/>
      <c r="O41" s="151"/>
      <c r="P41" s="151"/>
      <c r="Q41" s="151"/>
      <c r="R41" s="366"/>
    </row>
    <row r="42" spans="3:18" ht="15.75" customHeight="1" x14ac:dyDescent="0.25">
      <c r="C42" s="365"/>
      <c r="D42" s="152"/>
      <c r="E42" s="711" t="s">
        <v>884</v>
      </c>
      <c r="F42" s="710"/>
      <c r="G42" s="710">
        <f>G40-G41</f>
        <v>-63356523.360000014</v>
      </c>
      <c r="H42" s="710">
        <f>H40-H41</f>
        <v>45748113.448520534</v>
      </c>
      <c r="I42" s="710">
        <f>I40-I41</f>
        <v>89891981.303859413</v>
      </c>
      <c r="J42" s="710">
        <f>J40-J41</f>
        <v>138283515.32844171</v>
      </c>
      <c r="K42" s="768">
        <f>K40-K41</f>
        <v>190204931.3329266</v>
      </c>
      <c r="L42" s="151"/>
      <c r="M42" s="151"/>
      <c r="N42" s="151"/>
      <c r="O42" s="151"/>
      <c r="P42" s="151"/>
      <c r="Q42" s="151"/>
      <c r="R42" s="366"/>
    </row>
    <row r="43" spans="3:18" ht="15.75" customHeight="1" x14ac:dyDescent="0.25">
      <c r="C43" s="365"/>
      <c r="D43" s="152"/>
      <c r="E43" s="714" t="s">
        <v>885</v>
      </c>
      <c r="F43" s="715"/>
      <c r="G43" s="715">
        <f>+G32</f>
        <v>15967100</v>
      </c>
      <c r="H43" s="715">
        <f>+H32</f>
        <v>15967100</v>
      </c>
      <c r="I43" s="715">
        <f>+I32</f>
        <v>15967100</v>
      </c>
      <c r="J43" s="715">
        <f>+J32</f>
        <v>15967100</v>
      </c>
      <c r="K43" s="716">
        <f>+K32</f>
        <v>15967100</v>
      </c>
      <c r="L43" s="151"/>
      <c r="M43" s="151"/>
      <c r="N43" s="151"/>
      <c r="O43" s="151"/>
      <c r="P43" s="151"/>
      <c r="Q43" s="151"/>
      <c r="R43" s="366"/>
    </row>
    <row r="44" spans="3:18" ht="15.75" customHeight="1" x14ac:dyDescent="0.25">
      <c r="C44" s="365"/>
      <c r="D44" s="152"/>
      <c r="E44" s="709" t="s">
        <v>886</v>
      </c>
      <c r="F44" s="710"/>
      <c r="G44" s="710">
        <f>+G24</f>
        <v>65518992.317898154</v>
      </c>
      <c r="H44" s="710">
        <f>+H24</f>
        <v>72070891.549687967</v>
      </c>
      <c r="I44" s="710">
        <f>+I24</f>
        <v>79277980.704656765</v>
      </c>
      <c r="J44" s="710">
        <f>+J24</f>
        <v>87205778.775122449</v>
      </c>
      <c r="K44" s="768">
        <f>+K24</f>
        <v>95926356.652634695</v>
      </c>
      <c r="L44" s="151"/>
      <c r="M44" s="151"/>
      <c r="N44" s="151"/>
      <c r="O44" s="151"/>
      <c r="P44" s="151"/>
      <c r="Q44" s="151"/>
      <c r="R44" s="366"/>
    </row>
    <row r="45" spans="3:18" ht="15.75" customHeight="1" x14ac:dyDescent="0.25">
      <c r="C45" s="365"/>
      <c r="D45" s="152"/>
      <c r="E45" s="711" t="s">
        <v>887</v>
      </c>
      <c r="F45" s="717"/>
      <c r="G45" s="717">
        <f>G42+G43+G44</f>
        <v>18129568.95789814</v>
      </c>
      <c r="H45" s="717">
        <f>H42+H43+H44</f>
        <v>133786104.99820849</v>
      </c>
      <c r="I45" s="717">
        <f>I42+I43+I44</f>
        <v>185137062.00851619</v>
      </c>
      <c r="J45" s="717">
        <f>J42+J43+J44</f>
        <v>241456394.10356414</v>
      </c>
      <c r="K45" s="769">
        <f>K42+K43+K44</f>
        <v>302098387.98556131</v>
      </c>
      <c r="L45" s="151"/>
      <c r="M45" s="151"/>
      <c r="N45" s="151"/>
      <c r="O45" s="151"/>
      <c r="P45" s="151"/>
      <c r="Q45" s="151"/>
      <c r="R45" s="366"/>
    </row>
    <row r="46" spans="3:18" ht="15.75" customHeight="1" x14ac:dyDescent="0.25">
      <c r="C46" s="365"/>
      <c r="D46" s="152"/>
      <c r="E46" s="709" t="s">
        <v>888</v>
      </c>
      <c r="F46" s="718"/>
      <c r="G46" s="718"/>
      <c r="H46" s="719">
        <v>0</v>
      </c>
      <c r="I46" s="719">
        <v>0</v>
      </c>
      <c r="J46" s="719">
        <v>0</v>
      </c>
      <c r="K46" s="720">
        <v>0</v>
      </c>
      <c r="L46" s="151"/>
      <c r="M46" s="151"/>
      <c r="N46" s="151"/>
      <c r="O46" s="151"/>
      <c r="P46" s="151"/>
      <c r="Q46" s="151"/>
      <c r="R46" s="366"/>
    </row>
    <row r="47" spans="3:18" ht="15.75" customHeight="1" thickBot="1" x14ac:dyDescent="0.3">
      <c r="C47" s="365"/>
      <c r="D47" s="152"/>
      <c r="E47" s="774" t="s">
        <v>889</v>
      </c>
      <c r="F47" s="775"/>
      <c r="G47" s="775"/>
      <c r="H47" s="776">
        <v>0</v>
      </c>
      <c r="I47" s="776">
        <v>0</v>
      </c>
      <c r="J47" s="776">
        <v>0</v>
      </c>
      <c r="K47" s="777">
        <v>0</v>
      </c>
      <c r="L47" s="151"/>
      <c r="M47" s="151"/>
      <c r="N47" s="151"/>
      <c r="O47" s="151"/>
      <c r="P47" s="151"/>
      <c r="Q47" s="151"/>
      <c r="R47" s="366"/>
    </row>
    <row r="48" spans="3:18" ht="15.75" customHeight="1" thickBot="1" x14ac:dyDescent="0.3">
      <c r="C48" s="365"/>
      <c r="D48" s="152"/>
      <c r="E48" s="721" t="s">
        <v>890</v>
      </c>
      <c r="F48" s="722"/>
      <c r="G48" s="722">
        <f>G45-G46-G47</f>
        <v>18129568.95789814</v>
      </c>
      <c r="H48" s="722">
        <f>H45-H46-H47</f>
        <v>133786104.99820849</v>
      </c>
      <c r="I48" s="722">
        <f>I45-I46-I47</f>
        <v>185137062.00851619</v>
      </c>
      <c r="J48" s="722">
        <f>J45-J46-J47</f>
        <v>241456394.10356414</v>
      </c>
      <c r="K48" s="723">
        <f>K45-K46-K47</f>
        <v>302098387.98556131</v>
      </c>
      <c r="L48" s="151"/>
      <c r="M48" s="152"/>
      <c r="N48" s="152"/>
      <c r="O48" s="151"/>
      <c r="P48" s="151"/>
      <c r="Q48" s="151"/>
      <c r="R48" s="366"/>
    </row>
    <row r="49" spans="3:18" ht="15.75" customHeight="1" x14ac:dyDescent="0.25">
      <c r="C49" s="365"/>
      <c r="D49" s="152"/>
      <c r="E49" s="151"/>
      <c r="F49" s="151"/>
      <c r="G49" s="151"/>
      <c r="H49" s="151"/>
      <c r="I49" s="151"/>
      <c r="J49" s="151"/>
      <c r="K49" s="151"/>
      <c r="L49" s="151"/>
      <c r="M49" s="152"/>
      <c r="N49" s="152"/>
      <c r="O49" s="151"/>
      <c r="P49" s="151"/>
      <c r="Q49" s="151"/>
      <c r="R49" s="366"/>
    </row>
    <row r="50" spans="3:18" ht="15.75" customHeight="1" x14ac:dyDescent="0.25">
      <c r="C50" s="365"/>
      <c r="D50" s="152"/>
      <c r="E50" s="151"/>
      <c r="F50" s="151"/>
      <c r="G50" s="151"/>
      <c r="H50" s="151"/>
      <c r="I50" s="151"/>
      <c r="J50" s="151"/>
      <c r="K50" s="151"/>
      <c r="L50" s="151"/>
      <c r="M50" s="152"/>
      <c r="N50" s="152"/>
      <c r="O50" s="151"/>
      <c r="P50" s="151"/>
      <c r="Q50" s="151"/>
      <c r="R50" s="366"/>
    </row>
    <row r="51" spans="3:18" ht="15.75" customHeight="1" x14ac:dyDescent="0.25">
      <c r="C51" s="365"/>
      <c r="D51" s="152"/>
      <c r="E51" s="339" t="s">
        <v>894</v>
      </c>
      <c r="F51" s="340" t="s">
        <v>8</v>
      </c>
      <c r="G51" s="340" t="s">
        <v>3</v>
      </c>
      <c r="H51" s="340" t="s">
        <v>4</v>
      </c>
      <c r="I51" s="340" t="s">
        <v>5</v>
      </c>
      <c r="J51" s="340" t="s">
        <v>6</v>
      </c>
      <c r="K51" s="340" t="s">
        <v>7</v>
      </c>
      <c r="M51" s="724"/>
      <c r="N51" s="152"/>
      <c r="O51" s="151"/>
      <c r="P51" s="151"/>
      <c r="Q51" s="151"/>
      <c r="R51" s="366"/>
    </row>
    <row r="52" spans="3:18" ht="15.75" customHeight="1" x14ac:dyDescent="0.25">
      <c r="C52" s="365"/>
      <c r="D52" s="152"/>
      <c r="E52" s="725" t="s">
        <v>895</v>
      </c>
      <c r="F52" s="726"/>
      <c r="G52" s="727">
        <f>+G36/'ESTADOS R. -  BALANCE'!E28</f>
        <v>-0.61499503444721704</v>
      </c>
      <c r="H52" s="727">
        <f>+H36/'ESTADOS R. -  BALANCE'!F28</f>
        <v>0.38069482306942165</v>
      </c>
      <c r="I52" s="727">
        <f>+I36/'ESTADOS R. -  BALANCE'!G28</f>
        <v>0.41982019289820449</v>
      </c>
      <c r="J52" s="727">
        <f>+J36/'ESTADOS R. -  BALANCE'!H28</f>
        <v>0.41076307774677417</v>
      </c>
      <c r="K52" s="727">
        <f>+K36/'ESTADOS R. -  BALANCE'!I28</f>
        <v>0.38820980165246266</v>
      </c>
      <c r="M52" s="728"/>
      <c r="N52" s="152"/>
      <c r="O52" s="151"/>
      <c r="P52" s="151"/>
      <c r="Q52" s="151"/>
      <c r="R52" s="366"/>
    </row>
    <row r="53" spans="3:18" ht="15.75" customHeight="1" x14ac:dyDescent="0.25">
      <c r="C53" s="365"/>
      <c r="D53" s="152"/>
      <c r="E53" s="729"/>
      <c r="F53" s="730"/>
      <c r="G53" s="731"/>
      <c r="H53" s="731"/>
      <c r="I53" s="731"/>
      <c r="J53" s="731"/>
      <c r="K53" s="731"/>
      <c r="M53" s="732"/>
      <c r="N53" s="152"/>
      <c r="O53" s="151"/>
      <c r="P53" s="151"/>
      <c r="Q53" s="151"/>
      <c r="R53" s="366"/>
    </row>
    <row r="54" spans="3:18" ht="15.75" customHeight="1" x14ac:dyDescent="0.25">
      <c r="C54" s="365"/>
      <c r="D54" s="152"/>
      <c r="E54" s="733" t="s">
        <v>896</v>
      </c>
      <c r="F54" s="719"/>
      <c r="G54" s="734">
        <f>+G36</f>
        <v>-63356523.360000014</v>
      </c>
      <c r="H54" s="734">
        <f t="shared" ref="H54:K54" si="6">+H36</f>
        <v>90150694.14855516</v>
      </c>
      <c r="I54" s="734">
        <f t="shared" si="6"/>
        <v>177140080.80466413</v>
      </c>
      <c r="J54" s="734">
        <f t="shared" si="6"/>
        <v>272499868.44134104</v>
      </c>
      <c r="K54" s="734">
        <f t="shared" si="6"/>
        <v>374815599.97959065</v>
      </c>
      <c r="M54" s="735"/>
      <c r="N54" s="152"/>
      <c r="O54" s="151"/>
      <c r="P54" s="151"/>
      <c r="Q54" s="151"/>
      <c r="R54" s="366"/>
    </row>
    <row r="55" spans="3:18" ht="15.75" customHeight="1" x14ac:dyDescent="0.25">
      <c r="C55" s="365"/>
      <c r="D55" s="152"/>
      <c r="E55" s="733" t="s">
        <v>897</v>
      </c>
      <c r="F55" s="710"/>
      <c r="G55" s="736">
        <f>+G41</f>
        <v>0</v>
      </c>
      <c r="H55" s="736">
        <f t="shared" ref="H55:K55" si="7">+H41</f>
        <v>44402580.700034626</v>
      </c>
      <c r="I55" s="736">
        <f t="shared" si="7"/>
        <v>87248099.500804722</v>
      </c>
      <c r="J55" s="736">
        <f t="shared" si="7"/>
        <v>134216353.11289933</v>
      </c>
      <c r="K55" s="736">
        <f t="shared" si="7"/>
        <v>184610668.64666405</v>
      </c>
      <c r="M55" s="737"/>
      <c r="N55" s="152"/>
      <c r="O55" s="151"/>
      <c r="P55" s="151"/>
      <c r="Q55" s="151"/>
      <c r="R55" s="366"/>
    </row>
    <row r="56" spans="3:18" ht="16.5" customHeight="1" x14ac:dyDescent="0.25">
      <c r="C56" s="365"/>
      <c r="D56" s="152"/>
      <c r="E56" s="733" t="s">
        <v>898</v>
      </c>
      <c r="F56" s="738"/>
      <c r="G56" s="739">
        <f>+G23</f>
        <v>40000000</v>
      </c>
      <c r="H56" s="739">
        <f>+H23</f>
        <v>33448100.768210188</v>
      </c>
      <c r="I56" s="739">
        <f>+I23</f>
        <v>26241011.613241389</v>
      </c>
      <c r="J56" s="739">
        <f>+J23</f>
        <v>18313213.542775709</v>
      </c>
      <c r="K56" s="739">
        <f>+K23</f>
        <v>9592635.6652634647</v>
      </c>
      <c r="M56" s="740"/>
      <c r="N56" s="152"/>
      <c r="O56" s="151"/>
      <c r="P56" s="151"/>
      <c r="Q56" s="151"/>
      <c r="R56" s="366"/>
    </row>
    <row r="57" spans="3:18" x14ac:dyDescent="0.25">
      <c r="C57" s="365"/>
      <c r="D57" s="152"/>
      <c r="E57" s="725" t="s">
        <v>899</v>
      </c>
      <c r="F57" s="741"/>
      <c r="G57" s="742">
        <f>G54+G55+G56</f>
        <v>-23356523.360000014</v>
      </c>
      <c r="H57" s="742">
        <f>H54+H55+H56</f>
        <v>168001375.61679995</v>
      </c>
      <c r="I57" s="742">
        <f>I54+I55+I56</f>
        <v>290629191.91871023</v>
      </c>
      <c r="J57" s="742">
        <f>J54+J55+J56</f>
        <v>425029435.09701604</v>
      </c>
      <c r="K57" s="742">
        <f t="shared" ref="K57" si="8">K54+K55+K56</f>
        <v>569018904.29151809</v>
      </c>
      <c r="M57" s="743"/>
      <c r="N57" s="152"/>
      <c r="O57" s="151"/>
      <c r="P57" s="151"/>
      <c r="Q57" s="151"/>
      <c r="R57" s="366"/>
    </row>
    <row r="58" spans="3:18" x14ac:dyDescent="0.25">
      <c r="C58" s="365"/>
      <c r="D58" s="152"/>
      <c r="E58" s="744" t="s">
        <v>900</v>
      </c>
      <c r="F58" s="710"/>
      <c r="G58" s="736">
        <f>+G32</f>
        <v>15967100</v>
      </c>
      <c r="H58" s="736">
        <f t="shared" ref="H58:K58" si="9">+H32</f>
        <v>15967100</v>
      </c>
      <c r="I58" s="736">
        <f t="shared" si="9"/>
        <v>15967100</v>
      </c>
      <c r="J58" s="736">
        <f t="shared" si="9"/>
        <v>15967100</v>
      </c>
      <c r="K58" s="736">
        <f t="shared" si="9"/>
        <v>15967100</v>
      </c>
      <c r="M58" s="737"/>
      <c r="N58" s="152"/>
      <c r="O58" s="151"/>
      <c r="P58" s="151"/>
      <c r="Q58" s="151"/>
      <c r="R58" s="366"/>
    </row>
    <row r="59" spans="3:18" x14ac:dyDescent="0.25">
      <c r="C59" s="365"/>
      <c r="D59" s="152"/>
      <c r="E59" s="744" t="s">
        <v>901</v>
      </c>
      <c r="F59" s="710"/>
      <c r="G59" s="736">
        <f>+G24</f>
        <v>65518992.317898154</v>
      </c>
      <c r="H59" s="736">
        <f>+H24</f>
        <v>72070891.549687967</v>
      </c>
      <c r="I59" s="736">
        <f>+I24</f>
        <v>79277980.704656765</v>
      </c>
      <c r="J59" s="736">
        <f>+J24</f>
        <v>87205778.775122449</v>
      </c>
      <c r="K59" s="736">
        <f>+K24</f>
        <v>95926356.652634695</v>
      </c>
      <c r="M59" s="737"/>
      <c r="N59" s="152"/>
      <c r="O59" s="151"/>
      <c r="P59" s="151"/>
      <c r="Q59" s="151"/>
      <c r="R59" s="366"/>
    </row>
    <row r="60" spans="3:18" x14ac:dyDescent="0.25">
      <c r="C60" s="365"/>
      <c r="D60" s="152"/>
      <c r="E60" s="725" t="s">
        <v>902</v>
      </c>
      <c r="F60" s="741"/>
      <c r="G60" s="742">
        <f>G57+G58+G59</f>
        <v>58129568.95789814</v>
      </c>
      <c r="H60" s="742">
        <f>H57+H58+H59</f>
        <v>256039367.16648793</v>
      </c>
      <c r="I60" s="742">
        <f>I57+I58+I59</f>
        <v>385874272.62336701</v>
      </c>
      <c r="J60" s="742">
        <f>J57+J58+J59</f>
        <v>528202313.8721385</v>
      </c>
      <c r="K60" s="742">
        <f t="shared" ref="K60" si="10">K57+K58+K59</f>
        <v>680912360.94415283</v>
      </c>
      <c r="M60" s="743"/>
      <c r="N60" s="152"/>
      <c r="O60" s="151"/>
      <c r="P60" s="151"/>
      <c r="Q60" s="151"/>
      <c r="R60" s="366"/>
    </row>
    <row r="61" spans="3:18" x14ac:dyDescent="0.25">
      <c r="C61" s="365"/>
      <c r="D61" s="152"/>
      <c r="E61" s="729"/>
      <c r="F61" s="730"/>
      <c r="G61" s="731"/>
      <c r="H61" s="731"/>
      <c r="I61" s="731"/>
      <c r="J61" s="731"/>
      <c r="K61" s="731"/>
      <c r="M61" s="732"/>
      <c r="N61" s="152"/>
      <c r="O61" s="151"/>
      <c r="P61" s="151"/>
      <c r="Q61" s="151"/>
      <c r="R61" s="366"/>
    </row>
    <row r="62" spans="3:18" ht="18" customHeight="1" x14ac:dyDescent="0.25">
      <c r="C62" s="365"/>
      <c r="D62" s="152"/>
      <c r="E62" s="733" t="s">
        <v>903</v>
      </c>
      <c r="F62" s="745"/>
      <c r="G62" s="746">
        <f>+G35/G34</f>
        <v>0</v>
      </c>
      <c r="H62" s="746">
        <f t="shared" ref="H62:K62" si="11">+H35/H34</f>
        <v>0.33</v>
      </c>
      <c r="I62" s="746">
        <f t="shared" si="11"/>
        <v>0.33</v>
      </c>
      <c r="J62" s="746">
        <f t="shared" si="11"/>
        <v>0.33</v>
      </c>
      <c r="K62" s="746">
        <f t="shared" si="11"/>
        <v>0.33</v>
      </c>
      <c r="M62" s="747"/>
      <c r="N62" s="152"/>
      <c r="O62" s="151"/>
      <c r="P62" s="151"/>
      <c r="Q62" s="151"/>
      <c r="R62" s="366"/>
    </row>
    <row r="63" spans="3:18" ht="18" customHeight="1" x14ac:dyDescent="0.25">
      <c r="C63" s="365"/>
      <c r="D63" s="152"/>
      <c r="E63" s="725" t="s">
        <v>904</v>
      </c>
      <c r="F63" s="710"/>
      <c r="G63" s="748">
        <f>G57*(1-G62)</f>
        <v>-23356523.360000014</v>
      </c>
      <c r="H63" s="748">
        <f>H57*(1-H62)</f>
        <v>112560921.66325596</v>
      </c>
      <c r="I63" s="748">
        <f>I57*(1-I62)</f>
        <v>194721558.58553582</v>
      </c>
      <c r="J63" s="748">
        <f>J57*(1-J62)</f>
        <v>284769721.5150007</v>
      </c>
      <c r="K63" s="748">
        <f t="shared" ref="K63" si="12">K57*(1-K62)</f>
        <v>381242665.8753171</v>
      </c>
      <c r="M63" s="749"/>
      <c r="N63" s="152"/>
      <c r="O63" s="151"/>
      <c r="P63" s="151"/>
      <c r="Q63" s="151"/>
      <c r="R63" s="366"/>
    </row>
    <row r="64" spans="3:18" ht="18" customHeight="1" x14ac:dyDescent="0.25">
      <c r="C64" s="365"/>
      <c r="D64" s="152"/>
      <c r="E64" s="729"/>
      <c r="F64" s="730"/>
      <c r="G64" s="731"/>
      <c r="H64" s="731"/>
      <c r="I64" s="731"/>
      <c r="J64" s="731"/>
      <c r="K64" s="731"/>
      <c r="M64" s="732"/>
      <c r="N64" s="152"/>
      <c r="O64" s="151"/>
      <c r="P64" s="151"/>
      <c r="Q64" s="151"/>
      <c r="R64" s="366"/>
    </row>
    <row r="65" spans="3:18" ht="18" customHeight="1" x14ac:dyDescent="0.25">
      <c r="C65" s="365"/>
      <c r="D65" s="152"/>
      <c r="E65" s="733" t="s">
        <v>905</v>
      </c>
      <c r="F65" s="719"/>
      <c r="G65" s="750">
        <f>+'ESTADOS R. -  BALANCE'!E22+'ESTADOS R. -  BALANCE'!E27</f>
        <v>103019568.95789814</v>
      </c>
      <c r="H65" s="750">
        <f>+'ESTADOS R. -  BALANCE'!F22+'ESTADOS R. -  BALANCE'!F27</f>
        <v>236805673.95610663</v>
      </c>
      <c r="I65" s="750">
        <f>+'ESTADOS R. -  BALANCE'!G22+'ESTADOS R. -  BALANCE'!G27</f>
        <v>421942735.96462286</v>
      </c>
      <c r="J65" s="750">
        <f>+'ESTADOS R. -  BALANCE'!H22+'ESTADOS R. -  BALANCE'!H27</f>
        <v>663399130.068187</v>
      </c>
      <c r="K65" s="750">
        <f>+'ESTADOS R. -  BALANCE'!I22+'ESTADOS R. -  BALANCE'!I27</f>
        <v>965497518.05374837</v>
      </c>
      <c r="M65" s="735"/>
      <c r="N65" s="152"/>
      <c r="O65" s="151"/>
      <c r="P65" s="151"/>
      <c r="Q65" s="151"/>
      <c r="R65" s="366"/>
    </row>
    <row r="66" spans="3:18" ht="18" customHeight="1" x14ac:dyDescent="0.25">
      <c r="C66" s="365"/>
      <c r="D66" s="152"/>
      <c r="E66" s="725" t="s">
        <v>906</v>
      </c>
      <c r="F66" s="710"/>
      <c r="G66" s="751">
        <f>G63/G65</f>
        <v>-0.22671928834749172</v>
      </c>
      <c r="H66" s="751">
        <f>H63/H65</f>
        <v>0.47533034062401652</v>
      </c>
      <c r="I66" s="751">
        <f>I63/I65</f>
        <v>0.46148811672364459</v>
      </c>
      <c r="J66" s="751">
        <f>J63/J65</f>
        <v>0.42925850910556795</v>
      </c>
      <c r="K66" s="751">
        <f t="shared" ref="K66" si="13">K63/K65</f>
        <v>0.39486654159798024</v>
      </c>
      <c r="M66" s="728"/>
      <c r="N66" s="152"/>
      <c r="O66" s="151"/>
      <c r="P66" s="151"/>
      <c r="Q66" s="151"/>
      <c r="R66" s="366"/>
    </row>
    <row r="67" spans="3:18" ht="15" customHeight="1" thickBot="1" x14ac:dyDescent="0.3">
      <c r="C67" s="365"/>
      <c r="D67" s="152"/>
      <c r="E67" s="770"/>
      <c r="F67" s="771"/>
      <c r="G67" s="772"/>
      <c r="H67" s="772"/>
      <c r="I67" s="772"/>
      <c r="J67" s="772"/>
      <c r="K67" s="772"/>
      <c r="M67" s="732"/>
      <c r="N67" s="152"/>
      <c r="O67" s="151"/>
      <c r="P67" s="151"/>
      <c r="Q67" s="151"/>
      <c r="R67" s="366"/>
    </row>
    <row r="68" spans="3:18" ht="16.5" customHeight="1" thickBot="1" x14ac:dyDescent="0.3">
      <c r="C68" s="365"/>
      <c r="D68" s="152"/>
      <c r="E68" s="752"/>
      <c r="F68" s="753"/>
      <c r="G68" s="754"/>
      <c r="H68" s="754"/>
      <c r="I68" s="754"/>
      <c r="J68" s="754"/>
      <c r="K68" s="754"/>
      <c r="M68" s="732"/>
      <c r="N68" s="152"/>
      <c r="O68" s="151"/>
      <c r="P68" s="151"/>
      <c r="Q68" s="151"/>
      <c r="R68" s="366"/>
    </row>
    <row r="69" spans="3:18" ht="16.5" customHeight="1" thickBot="1" x14ac:dyDescent="0.3">
      <c r="C69" s="365"/>
      <c r="D69" s="152"/>
      <c r="E69" s="755" t="s">
        <v>907</v>
      </c>
      <c r="F69" s="756" t="str">
        <f>F51</f>
        <v>Año 0</v>
      </c>
      <c r="G69" s="756" t="s">
        <v>3</v>
      </c>
      <c r="H69" s="756" t="s">
        <v>4</v>
      </c>
      <c r="I69" s="756" t="s">
        <v>5</v>
      </c>
      <c r="J69" s="756" t="s">
        <v>6</v>
      </c>
      <c r="K69" s="756" t="s">
        <v>7</v>
      </c>
      <c r="M69" s="724"/>
      <c r="N69" s="152"/>
      <c r="O69" s="151"/>
      <c r="P69" s="151"/>
      <c r="Q69" s="151"/>
      <c r="R69" s="366"/>
    </row>
    <row r="70" spans="3:18" ht="15.75" customHeight="1" x14ac:dyDescent="0.25">
      <c r="C70" s="365"/>
      <c r="D70" s="152"/>
      <c r="E70" s="757" t="s">
        <v>1</v>
      </c>
      <c r="F70" s="719"/>
      <c r="G70" s="750">
        <f>+G30</f>
        <v>262923000</v>
      </c>
      <c r="H70" s="750">
        <f>+H30</f>
        <v>466245983.3448</v>
      </c>
      <c r="I70" s="750">
        <f>+I30</f>
        <v>601488584.42191029</v>
      </c>
      <c r="J70" s="750">
        <f>+J30</f>
        <v>749254279.99489295</v>
      </c>
      <c r="K70" s="750">
        <f>+K30</f>
        <v>909428061.76192927</v>
      </c>
      <c r="M70" s="735"/>
      <c r="N70" s="152"/>
      <c r="O70" s="151"/>
      <c r="P70" s="151"/>
      <c r="Q70" s="151"/>
      <c r="R70" s="366"/>
    </row>
    <row r="71" spans="3:18" ht="15.75" customHeight="1" x14ac:dyDescent="0.25">
      <c r="C71" s="365"/>
      <c r="D71" s="152"/>
      <c r="E71" s="758" t="s">
        <v>908</v>
      </c>
      <c r="F71" s="710"/>
      <c r="G71" s="759">
        <f>G60/G70</f>
        <v>0.22108970671222428</v>
      </c>
      <c r="H71" s="759">
        <f>H60/H70</f>
        <v>0.54915082662951487</v>
      </c>
      <c r="I71" s="759">
        <f>I60/I70</f>
        <v>0.64153216306545557</v>
      </c>
      <c r="J71" s="759">
        <f>J60/J70</f>
        <v>0.70497069950102764</v>
      </c>
      <c r="K71" s="759">
        <f>K60/K70</f>
        <v>0.74872591860091797</v>
      </c>
      <c r="M71" s="728"/>
      <c r="N71" s="152"/>
      <c r="O71" s="151"/>
      <c r="P71" s="151"/>
      <c r="Q71" s="151"/>
      <c r="R71" s="366"/>
    </row>
    <row r="72" spans="3:18" x14ac:dyDescent="0.25">
      <c r="C72" s="365"/>
      <c r="D72" s="152"/>
      <c r="E72" s="358"/>
      <c r="F72" s="592"/>
      <c r="G72" s="593"/>
      <c r="H72" s="594"/>
      <c r="I72" s="595"/>
      <c r="J72" s="152"/>
      <c r="K72" s="152"/>
      <c r="L72" s="152"/>
      <c r="M72" s="152"/>
      <c r="N72" s="152"/>
      <c r="O72" s="151"/>
      <c r="P72" s="151"/>
      <c r="Q72" s="151"/>
      <c r="R72" s="366"/>
    </row>
    <row r="73" spans="3:18" x14ac:dyDescent="0.25">
      <c r="C73" s="365"/>
      <c r="D73" s="152"/>
      <c r="E73" s="358"/>
      <c r="F73" s="596"/>
      <c r="G73" s="593"/>
      <c r="H73" s="597"/>
      <c r="I73" s="595"/>
      <c r="J73" s="152"/>
      <c r="K73" s="152"/>
      <c r="L73" s="152"/>
      <c r="M73" s="152"/>
      <c r="N73" s="152"/>
      <c r="O73" s="151"/>
      <c r="P73" s="151"/>
      <c r="Q73" s="151"/>
      <c r="R73" s="366"/>
    </row>
    <row r="74" spans="3:18" x14ac:dyDescent="0.25">
      <c r="C74" s="365"/>
      <c r="D74" s="152"/>
      <c r="E74" s="345" t="s">
        <v>45</v>
      </c>
      <c r="F74" s="171">
        <f>-'BALANCE  INICIAL'!F11</f>
        <v>-480171048.75685859</v>
      </c>
      <c r="G74" s="171">
        <f>+G48</f>
        <v>18129568.95789814</v>
      </c>
      <c r="H74" s="171">
        <f>+H48</f>
        <v>133786104.99820849</v>
      </c>
      <c r="I74" s="171">
        <f>+I48</f>
        <v>185137062.00851619</v>
      </c>
      <c r="J74" s="171">
        <f>+J48</f>
        <v>241456394.10356414</v>
      </c>
      <c r="K74" s="171">
        <f>+K48</f>
        <v>302098387.98556131</v>
      </c>
      <c r="L74" s="152"/>
      <c r="M74" s="152"/>
      <c r="N74" s="152"/>
      <c r="O74" s="151"/>
      <c r="P74" s="151"/>
      <c r="Q74" s="151"/>
      <c r="R74" s="366"/>
    </row>
    <row r="75" spans="3:18" x14ac:dyDescent="0.25">
      <c r="C75" s="365"/>
      <c r="D75" s="152"/>
      <c r="E75" s="243"/>
      <c r="F75" s="243"/>
      <c r="G75" s="243"/>
      <c r="H75" s="243"/>
      <c r="I75" s="243"/>
      <c r="J75" s="243"/>
      <c r="K75" s="243"/>
      <c r="L75" s="152"/>
      <c r="M75" s="152"/>
      <c r="N75" s="152"/>
      <c r="O75" s="151"/>
      <c r="P75" s="151"/>
      <c r="Q75" s="151"/>
      <c r="R75" s="366"/>
    </row>
    <row r="76" spans="3:18" x14ac:dyDescent="0.25">
      <c r="C76" s="365"/>
      <c r="D76" s="152"/>
      <c r="E76" s="170" t="s">
        <v>86</v>
      </c>
      <c r="F76" s="169">
        <f>+P22</f>
        <v>0.1</v>
      </c>
      <c r="G76" s="243"/>
      <c r="H76" s="165" t="s">
        <v>87</v>
      </c>
      <c r="I76" s="165" t="s">
        <v>88</v>
      </c>
      <c r="J76" s="243"/>
      <c r="K76" s="243"/>
      <c r="L76" s="152"/>
      <c r="M76" s="152"/>
      <c r="N76" s="152"/>
      <c r="O76" s="151"/>
      <c r="P76" s="151"/>
      <c r="Q76" s="151"/>
      <c r="R76" s="366"/>
    </row>
    <row r="77" spans="3:18" ht="15.75" customHeight="1" x14ac:dyDescent="0.25">
      <c r="C77" s="365"/>
      <c r="D77" s="152"/>
      <c r="E77" s="170" t="s">
        <v>89</v>
      </c>
      <c r="F77" s="166">
        <f>NPV(F76,I78:I82)+I77</f>
        <v>138470918.19377232</v>
      </c>
      <c r="G77" s="243"/>
      <c r="H77" s="167">
        <v>0</v>
      </c>
      <c r="I77" s="172">
        <f>+F74</f>
        <v>-480171048.75685859</v>
      </c>
      <c r="J77" s="243"/>
      <c r="K77" s="243"/>
      <c r="L77" s="359"/>
      <c r="M77" s="243"/>
      <c r="N77" s="151"/>
      <c r="O77" s="151"/>
      <c r="P77" s="151"/>
      <c r="Q77" s="151"/>
      <c r="R77" s="366"/>
    </row>
    <row r="78" spans="3:18" x14ac:dyDescent="0.25">
      <c r="C78" s="365"/>
      <c r="D78" s="152"/>
      <c r="E78" s="170" t="s">
        <v>93</v>
      </c>
      <c r="F78" s="166">
        <f>F77*F76</f>
        <v>13847091.819377232</v>
      </c>
      <c r="G78" s="243"/>
      <c r="H78" s="167">
        <v>1</v>
      </c>
      <c r="I78" s="172">
        <f>+G74</f>
        <v>18129568.95789814</v>
      </c>
      <c r="J78" s="243"/>
      <c r="K78" s="243"/>
      <c r="L78" s="359"/>
      <c r="M78" s="243"/>
      <c r="N78" s="151"/>
      <c r="O78" s="151"/>
      <c r="P78" s="151"/>
      <c r="Q78" s="151"/>
      <c r="R78" s="366"/>
    </row>
    <row r="79" spans="3:18" x14ac:dyDescent="0.25">
      <c r="C79" s="365"/>
      <c r="D79" s="152"/>
      <c r="E79" s="170" t="s">
        <v>90</v>
      </c>
      <c r="F79" s="168">
        <f>(F77-I77)/-I77</f>
        <v>1.2883783155029178</v>
      </c>
      <c r="G79" s="243"/>
      <c r="H79" s="167">
        <v>2</v>
      </c>
      <c r="I79" s="172">
        <f>+H74</f>
        <v>133786104.99820849</v>
      </c>
      <c r="J79" s="243"/>
      <c r="K79" s="243"/>
      <c r="L79" s="359"/>
      <c r="M79" s="243"/>
      <c r="N79" s="151"/>
      <c r="O79" s="151"/>
      <c r="P79" s="151"/>
      <c r="Q79" s="151"/>
      <c r="R79" s="366"/>
    </row>
    <row r="80" spans="3:18" x14ac:dyDescent="0.25">
      <c r="C80" s="365"/>
      <c r="D80" s="152"/>
      <c r="E80" s="170" t="s">
        <v>91</v>
      </c>
      <c r="F80" s="169">
        <f>IRR(I77:I82)</f>
        <v>0.18037891042300935</v>
      </c>
      <c r="G80" s="243"/>
      <c r="H80" s="167">
        <v>3</v>
      </c>
      <c r="I80" s="172">
        <f>+I74</f>
        <v>185137062.00851619</v>
      </c>
      <c r="J80" s="243"/>
      <c r="K80" s="243"/>
      <c r="L80" s="359"/>
      <c r="M80" s="243"/>
      <c r="N80" s="151"/>
      <c r="O80" s="151"/>
      <c r="P80" s="151"/>
      <c r="Q80" s="151"/>
      <c r="R80" s="366"/>
    </row>
    <row r="81" spans="3:18" x14ac:dyDescent="0.25">
      <c r="C81" s="365"/>
      <c r="D81" s="152"/>
      <c r="E81" s="170" t="s">
        <v>92</v>
      </c>
      <c r="F81" s="169">
        <f>MIRR(I77:I82,,F76)</f>
        <v>0.1571811924573232</v>
      </c>
      <c r="G81" s="243"/>
      <c r="H81" s="167">
        <v>4</v>
      </c>
      <c r="I81" s="172">
        <f>+J74</f>
        <v>241456394.10356414</v>
      </c>
      <c r="J81" s="243"/>
      <c r="K81" s="243"/>
      <c r="L81" s="359"/>
      <c r="M81" s="243"/>
      <c r="N81" s="151"/>
      <c r="O81" s="151"/>
      <c r="P81" s="151"/>
      <c r="Q81" s="151"/>
      <c r="R81" s="366"/>
    </row>
    <row r="82" spans="3:18" x14ac:dyDescent="0.25">
      <c r="C82" s="365"/>
      <c r="D82" s="152"/>
      <c r="E82" s="243"/>
      <c r="F82" s="243"/>
      <c r="G82" s="243"/>
      <c r="H82" s="167">
        <v>5</v>
      </c>
      <c r="I82" s="172">
        <f>+K74</f>
        <v>302098387.98556131</v>
      </c>
      <c r="J82" s="243"/>
      <c r="K82" s="243"/>
      <c r="L82" s="359"/>
      <c r="M82" s="243"/>
      <c r="N82" s="151"/>
      <c r="O82" s="151"/>
      <c r="P82" s="151"/>
      <c r="Q82" s="151"/>
      <c r="R82" s="366"/>
    </row>
    <row r="83" spans="3:18" x14ac:dyDescent="0.25">
      <c r="C83" s="365"/>
      <c r="D83" s="152"/>
      <c r="E83" s="243"/>
      <c r="F83" s="243"/>
      <c r="G83" s="243"/>
      <c r="H83" s="766"/>
      <c r="I83" s="767"/>
      <c r="J83" s="243"/>
      <c r="K83" s="243"/>
      <c r="L83" s="359"/>
      <c r="M83" s="243"/>
      <c r="N83" s="151"/>
      <c r="O83" s="151"/>
      <c r="P83" s="151"/>
      <c r="Q83" s="151"/>
      <c r="R83" s="366"/>
    </row>
    <row r="84" spans="3:18" x14ac:dyDescent="0.25">
      <c r="C84" s="365"/>
      <c r="D84" s="152"/>
      <c r="E84" s="243"/>
      <c r="F84" s="243"/>
      <c r="G84" s="243"/>
      <c r="H84" s="766"/>
      <c r="I84" s="767"/>
      <c r="J84" s="243"/>
      <c r="K84" s="243"/>
      <c r="L84" s="359"/>
      <c r="M84" s="243"/>
      <c r="N84" s="151"/>
      <c r="O84" s="151"/>
      <c r="P84" s="151"/>
      <c r="Q84" s="151"/>
      <c r="R84" s="366"/>
    </row>
    <row r="85" spans="3:18" x14ac:dyDescent="0.25">
      <c r="C85" s="365"/>
      <c r="D85" s="152"/>
      <c r="E85" s="243"/>
      <c r="F85" s="243"/>
      <c r="G85" s="243"/>
      <c r="H85" s="766"/>
      <c r="I85" s="767"/>
      <c r="J85" s="243"/>
      <c r="K85" s="243"/>
      <c r="L85" s="359"/>
      <c r="M85" s="243"/>
      <c r="N85" s="151"/>
      <c r="O85" s="151"/>
      <c r="P85" s="151"/>
      <c r="Q85" s="151"/>
      <c r="R85" s="366"/>
    </row>
    <row r="86" spans="3:18" x14ac:dyDescent="0.25">
      <c r="C86" s="365"/>
      <c r="D86" s="152"/>
      <c r="E86" s="243"/>
      <c r="F86" s="243"/>
      <c r="G86" s="243"/>
      <c r="H86" s="243"/>
      <c r="I86" s="243"/>
      <c r="J86" s="243"/>
      <c r="K86" s="243"/>
      <c r="L86" s="359"/>
      <c r="M86" s="243"/>
      <c r="N86" s="151"/>
      <c r="O86" s="151"/>
      <c r="P86" s="151"/>
      <c r="Q86" s="151"/>
      <c r="R86" s="366"/>
    </row>
    <row r="87" spans="3:18" x14ac:dyDescent="0.25">
      <c r="C87" s="365"/>
      <c r="D87" s="152"/>
      <c r="E87" s="151"/>
      <c r="F87" s="151"/>
      <c r="G87" s="356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366"/>
    </row>
    <row r="88" spans="3:18" x14ac:dyDescent="0.25">
      <c r="C88" s="365"/>
      <c r="D88" s="152"/>
      <c r="E88" s="151"/>
      <c r="F88" s="151"/>
      <c r="G88" s="356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366"/>
    </row>
    <row r="89" spans="3:18" x14ac:dyDescent="0.25">
      <c r="C89" s="365"/>
      <c r="D89" s="152"/>
      <c r="E89" s="151"/>
      <c r="F89" s="151"/>
      <c r="G89" s="356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366"/>
    </row>
    <row r="90" spans="3:18" ht="16.5" thickBot="1" x14ac:dyDescent="0.3">
      <c r="C90" s="367"/>
      <c r="D90" s="368"/>
      <c r="E90" s="369"/>
      <c r="F90" s="369"/>
      <c r="G90" s="370"/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71"/>
    </row>
    <row r="95" spans="3:18" ht="17.25" x14ac:dyDescent="0.3">
      <c r="E95" s="760"/>
      <c r="F95" s="761"/>
      <c r="G95" s="761"/>
      <c r="H95" s="761"/>
      <c r="I95" s="761"/>
      <c r="J95" s="761"/>
      <c r="K95" s="761"/>
      <c r="L95" s="761"/>
    </row>
  </sheetData>
  <scenarios current="0" show="0" sqref="K4">
    <scenario name="NORMAL" locked="1" count="5" user="Ingrith" comment="Creado por 01 el 19/11/2020_x000a_Modificado por 01 el 19/11/2020_x000a_Modificado por Ingrith el 20/11/2020">
      <inputCells r="G6" val="500" numFmtId="3"/>
      <inputCells r="H7" val="200" numFmtId="3"/>
      <inputCells r="G9" val="525846"/>
      <inputCells r="G10" val="0,01" numFmtId="168"/>
      <inputCells r="G11" val="0,025" numFmtId="170"/>
    </scenario>
    <scenario name="RECESIÓN" locked="1" count="6" user="Ingrith" comment="Creado por 01 el 19/11/2020_x000a_Modificado por 01 el 19/11/2020_x000a_Modificado por Ingrith el 20/11/2020">
      <inputCells r="G6" val="400" numFmtId="3"/>
      <inputCells r="G7" val="0"/>
      <inputCells r="H7" val="150" numFmtId="3"/>
      <inputCells r="G9" val="475000" numFmtId="3"/>
      <inputCells r="G10" val="0" numFmtId="168"/>
      <inputCells r="G11" val="0,02" numFmtId="170"/>
    </scenario>
    <scenario name="EXPANSIÓN" locked="1" count="7" user="Ingrith" comment="Creado por 01 el 19/11/2020_x000a_Modificado por 01 el 19/11/2020_x000a_Modificado por Ingrith el 20/11/2020">
      <inputCells r="G6" val="650" numFmtId="3"/>
      <inputCells r="H6" val="850"/>
      <inputCells r="G7" val="0"/>
      <inputCells r="H7" val="250" numFmtId="3"/>
      <inputCells r="G9" val="620000" numFmtId="3"/>
      <inputCells r="G10" val="0,02" numFmtId="168"/>
      <inputCells r="G11" val="0,035" numFmtId="170"/>
    </scenario>
  </scenarios>
  <mergeCells count="2">
    <mergeCell ref="F1:G1"/>
    <mergeCell ref="E4:K4"/>
  </mergeCells>
  <phoneticPr fontId="16" type="noConversion"/>
  <conditionalFormatting sqref="F1">
    <cfRule type="expression" dxfId="0" priority="7">
      <formula>$F$1&lt;0</formula>
    </cfRule>
  </conditionalFormatting>
  <printOptions horizontalCentered="1"/>
  <pageMargins left="0" right="0" top="0" bottom="0" header="0" footer="0"/>
  <pageSetup scale="65" orientation="portrait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INICIO</vt:lpstr>
      <vt:lpstr>DATOS </vt:lpstr>
      <vt:lpstr>DAMODARAN</vt:lpstr>
      <vt:lpstr>COSTOS Y GASTOS</vt:lpstr>
      <vt:lpstr>NOMINA</vt:lpstr>
      <vt:lpstr>INVERSIONES</vt:lpstr>
      <vt:lpstr>BALANCE  INICIAL</vt:lpstr>
      <vt:lpstr>PROYECCIONES</vt:lpstr>
      <vt:lpstr>FLUJO DE CAJA </vt:lpstr>
      <vt:lpstr>GRÁFICOS</vt:lpstr>
      <vt:lpstr>ESCENARIOS</vt:lpstr>
      <vt:lpstr>ESTADOS R. -  BALANCE</vt:lpstr>
      <vt:lpstr>KE - CAMP</vt:lpstr>
      <vt:lpstr>PROYECCIÓN EEFF</vt:lpstr>
      <vt:lpstr>'FLUJO DE CAJA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Ingrith</dc:creator>
  <cp:lastModifiedBy>Ingrith</cp:lastModifiedBy>
  <cp:lastPrinted>2016-02-25T13:50:26Z</cp:lastPrinted>
  <dcterms:created xsi:type="dcterms:W3CDTF">2004-11-19T14:38:24Z</dcterms:created>
  <dcterms:modified xsi:type="dcterms:W3CDTF">2020-11-21T19:46:58Z</dcterms:modified>
</cp:coreProperties>
</file>