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Natalia\Desktop\Trabajo nico\"/>
    </mc:Choice>
  </mc:AlternateContent>
  <xr:revisionPtr revIDLastSave="0" documentId="8_{7D57DD04-4E4B-44CD-9065-8C6DE15E1E7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resupuesto Maestro" sheetId="1" r:id="rId1"/>
    <sheet name="Costos y Gastos" sheetId="4" r:id="rId2"/>
    <sheet name="Amortización" sheetId="8" r:id="rId3"/>
    <sheet name="Tabla de Prestación de Servicio" sheetId="9" r:id="rId4"/>
    <sheet name="Balance" sheetId="3" r:id="rId5"/>
    <sheet name="Hoja1" sheetId="11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5" i="4" l="1"/>
  <c r="R25" i="4" s="1"/>
  <c r="P24" i="4"/>
  <c r="R24" i="4" s="1"/>
  <c r="P23" i="4"/>
  <c r="R23" i="4" s="1"/>
  <c r="G24" i="4"/>
  <c r="I24" i="4" s="1"/>
  <c r="G23" i="4"/>
  <c r="I23" i="4" s="1"/>
  <c r="G22" i="4"/>
  <c r="I22" i="4" s="1"/>
  <c r="G21" i="4"/>
  <c r="I21" i="4" s="1"/>
  <c r="N21" i="4"/>
  <c r="P21" i="4" s="1"/>
  <c r="Q21" i="4" s="1"/>
  <c r="N20" i="4"/>
  <c r="P20" i="4" s="1"/>
  <c r="Q20" i="4" s="1"/>
  <c r="P19" i="4"/>
  <c r="Q19" i="4" s="1"/>
  <c r="P18" i="4"/>
  <c r="Q18" i="4" s="1"/>
  <c r="G19" i="4"/>
  <c r="H19" i="4" s="1"/>
  <c r="G18" i="4"/>
  <c r="H18" i="4" s="1"/>
  <c r="G17" i="4"/>
  <c r="H17" i="4" s="1"/>
  <c r="G16" i="4"/>
  <c r="H16" i="4" s="1"/>
  <c r="G15" i="4"/>
  <c r="I15" i="4" s="1"/>
  <c r="G14" i="4"/>
  <c r="I14" i="4" s="1"/>
  <c r="G13" i="4"/>
  <c r="H13" i="4" s="1"/>
  <c r="G12" i="4"/>
  <c r="H12" i="4" s="1"/>
  <c r="G11" i="4"/>
  <c r="H11" i="4" s="1"/>
  <c r="G10" i="4"/>
  <c r="I10" i="4" s="1"/>
  <c r="G9" i="4"/>
  <c r="I9" i="4" s="1"/>
  <c r="G8" i="4"/>
  <c r="H8" i="4" s="1"/>
  <c r="G7" i="4"/>
  <c r="I7" i="4" s="1"/>
  <c r="G6" i="4"/>
  <c r="H6" i="4" s="1"/>
  <c r="G5" i="4"/>
  <c r="I5" i="4" s="1"/>
  <c r="P16" i="4"/>
  <c r="Q16" i="4" s="1"/>
  <c r="P15" i="4"/>
  <c r="Q15" i="4" s="1"/>
  <c r="P14" i="4"/>
  <c r="R14" i="4" s="1"/>
  <c r="R13" i="4"/>
  <c r="Q13" i="4"/>
  <c r="P13" i="4"/>
  <c r="R12" i="4"/>
  <c r="Q12" i="4"/>
  <c r="P12" i="4"/>
  <c r="R11" i="4"/>
  <c r="Q11" i="4"/>
  <c r="P11" i="4"/>
  <c r="R10" i="4"/>
  <c r="Q10" i="4"/>
  <c r="P10" i="4"/>
  <c r="P9" i="4"/>
  <c r="Q9" i="4" s="1"/>
  <c r="P8" i="4"/>
  <c r="R8" i="4" s="1"/>
  <c r="P7" i="4"/>
  <c r="R7" i="4" s="1"/>
  <c r="P6" i="4"/>
  <c r="Q6" i="4" s="1"/>
  <c r="P5" i="4"/>
  <c r="R5" i="4" s="1"/>
  <c r="I12" i="4" l="1"/>
  <c r="I16" i="4"/>
  <c r="I8" i="4"/>
  <c r="Q7" i="4"/>
  <c r="R9" i="4"/>
  <c r="H9" i="4"/>
  <c r="I6" i="4"/>
  <c r="I13" i="4"/>
  <c r="I17" i="4"/>
  <c r="R6" i="4"/>
  <c r="H14" i="4"/>
  <c r="H10" i="4"/>
  <c r="H15" i="4"/>
  <c r="I11" i="4"/>
  <c r="Q5" i="4"/>
  <c r="Q8" i="4"/>
  <c r="R26" i="4" l="1"/>
  <c r="R27" i="4" s="1"/>
  <c r="U61" i="1" s="1"/>
  <c r="H25" i="4"/>
  <c r="H27" i="4" s="1"/>
  <c r="Q26" i="4"/>
  <c r="Q27" i="4" s="1"/>
  <c r="I25" i="4"/>
  <c r="I27" i="4" s="1"/>
  <c r="G45" i="1"/>
  <c r="I45" i="1" s="1"/>
  <c r="G44" i="1"/>
  <c r="I44" i="1" s="1"/>
  <c r="G43" i="1"/>
  <c r="I43" i="1" s="1"/>
  <c r="G17" i="1"/>
  <c r="C37" i="9"/>
  <c r="C36" i="9"/>
  <c r="C35" i="9"/>
  <c r="C34" i="9"/>
  <c r="C33" i="9"/>
  <c r="C32" i="9"/>
  <c r="C31" i="9"/>
  <c r="C30" i="9"/>
  <c r="C29" i="9"/>
  <c r="C28" i="9"/>
  <c r="D27" i="9"/>
  <c r="D26" i="9"/>
  <c r="D25" i="9"/>
  <c r="D24" i="9"/>
  <c r="C27" i="9"/>
  <c r="C26" i="9"/>
  <c r="C25" i="9"/>
  <c r="C24" i="9"/>
  <c r="D23" i="9"/>
  <c r="D22" i="9"/>
  <c r="C23" i="9"/>
  <c r="C22" i="9"/>
  <c r="D21" i="9"/>
  <c r="C21" i="9"/>
  <c r="C20" i="9"/>
  <c r="C19" i="9"/>
  <c r="C18" i="9"/>
  <c r="D12" i="9"/>
  <c r="D11" i="9"/>
  <c r="D10" i="9"/>
  <c r="D9" i="9"/>
  <c r="D8" i="9"/>
  <c r="D7" i="9"/>
  <c r="D14" i="9"/>
  <c r="D13" i="9"/>
  <c r="C14" i="9"/>
  <c r="C13" i="9"/>
  <c r="C12" i="9"/>
  <c r="C11" i="9"/>
  <c r="C10" i="9"/>
  <c r="C9" i="9"/>
  <c r="C8" i="9"/>
  <c r="C7" i="9"/>
  <c r="D6" i="9"/>
  <c r="C6" i="9"/>
  <c r="C5" i="9"/>
  <c r="C4" i="9"/>
  <c r="C3" i="9"/>
  <c r="C67" i="1"/>
  <c r="G13" i="9" l="1"/>
  <c r="M60" i="1"/>
  <c r="I60" i="1"/>
  <c r="E60" i="1"/>
  <c r="H28" i="4"/>
  <c r="B60" i="1"/>
  <c r="L60" i="1"/>
  <c r="H60" i="1"/>
  <c r="D60" i="1"/>
  <c r="F60" i="1"/>
  <c r="K60" i="1"/>
  <c r="G60" i="1"/>
  <c r="C60" i="1"/>
  <c r="J60" i="1"/>
  <c r="G14" i="9"/>
  <c r="I17" i="1"/>
  <c r="W61" i="1"/>
  <c r="N61" i="1"/>
  <c r="V61" i="1"/>
  <c r="O61" i="1"/>
  <c r="R61" i="1"/>
  <c r="T61" i="1"/>
  <c r="X61" i="1"/>
  <c r="R28" i="4"/>
  <c r="P61" i="1"/>
  <c r="Q61" i="1"/>
  <c r="Y61" i="1"/>
  <c r="S61" i="1"/>
  <c r="C61" i="1"/>
  <c r="Q28" i="4"/>
  <c r="K61" i="1"/>
  <c r="I61" i="1"/>
  <c r="G61" i="1"/>
  <c r="F61" i="1"/>
  <c r="E61" i="1"/>
  <c r="B61" i="1"/>
  <c r="M61" i="1"/>
  <c r="L61" i="1"/>
  <c r="H61" i="1"/>
  <c r="D61" i="1"/>
  <c r="J61" i="1"/>
  <c r="I28" i="4"/>
  <c r="O60" i="1"/>
  <c r="N60" i="1"/>
  <c r="T60" i="1"/>
  <c r="P60" i="1"/>
  <c r="Y60" i="1"/>
  <c r="X60" i="1"/>
  <c r="W60" i="1"/>
  <c r="V60" i="1"/>
  <c r="S60" i="1"/>
  <c r="R60" i="1"/>
  <c r="Q60" i="1"/>
  <c r="U60" i="1"/>
  <c r="G3" i="1"/>
  <c r="G4" i="1"/>
  <c r="H4" i="1" s="1"/>
  <c r="G5" i="1"/>
  <c r="H5" i="1" s="1"/>
  <c r="G6" i="1"/>
  <c r="H6" i="1" s="1"/>
  <c r="G7" i="1"/>
  <c r="I7" i="1" s="1"/>
  <c r="G8" i="1"/>
  <c r="H8" i="1"/>
  <c r="I8" i="1"/>
  <c r="G9" i="1"/>
  <c r="H9" i="1"/>
  <c r="I9" i="1"/>
  <c r="G10" i="1"/>
  <c r="H10" i="1"/>
  <c r="I10" i="1"/>
  <c r="G11" i="1"/>
  <c r="H11" i="1"/>
  <c r="I11" i="1"/>
  <c r="G12" i="1"/>
  <c r="I12" i="1" s="1"/>
  <c r="G13" i="1"/>
  <c r="H13" i="1" s="1"/>
  <c r="G14" i="1"/>
  <c r="H14" i="1" s="1"/>
  <c r="G16" i="1"/>
  <c r="I16" i="1" s="1"/>
  <c r="G18" i="1"/>
  <c r="C5" i="3" s="1"/>
  <c r="G19" i="1"/>
  <c r="I19" i="1" s="1"/>
  <c r="G20" i="1"/>
  <c r="H20" i="1" s="1"/>
  <c r="G21" i="1"/>
  <c r="I21" i="1" s="1"/>
  <c r="G22" i="1"/>
  <c r="H22" i="1" s="1"/>
  <c r="G23" i="1"/>
  <c r="I23" i="1" s="1"/>
  <c r="G24" i="1"/>
  <c r="H24" i="1" s="1"/>
  <c r="G25" i="1"/>
  <c r="H25" i="1" s="1"/>
  <c r="G26" i="1"/>
  <c r="H26" i="1" s="1"/>
  <c r="G27" i="1"/>
  <c r="I27" i="1" s="1"/>
  <c r="G28" i="1"/>
  <c r="H28" i="1" s="1"/>
  <c r="G29" i="1"/>
  <c r="H29" i="1" s="1"/>
  <c r="G30" i="1"/>
  <c r="H30" i="1" s="1"/>
  <c r="G31" i="1"/>
  <c r="H31" i="1" s="1"/>
  <c r="G33" i="1"/>
  <c r="H33" i="1" s="1"/>
  <c r="G34" i="1"/>
  <c r="H34" i="1" s="1"/>
  <c r="E35" i="1"/>
  <c r="G35" i="1" s="1"/>
  <c r="H35" i="1" s="1"/>
  <c r="E36" i="1"/>
  <c r="G36" i="1" s="1"/>
  <c r="H36" i="1" s="1"/>
  <c r="G38" i="1"/>
  <c r="G39" i="1"/>
  <c r="I39" i="1" s="1"/>
  <c r="G40" i="1"/>
  <c r="I40" i="1" s="1"/>
  <c r="G41" i="1"/>
  <c r="I41" i="1" s="1"/>
  <c r="G46" i="1" l="1"/>
  <c r="C3" i="3"/>
  <c r="I38" i="1"/>
  <c r="I24" i="1"/>
  <c r="H21" i="1"/>
  <c r="I20" i="1"/>
  <c r="I5" i="1"/>
  <c r="H7" i="1"/>
  <c r="I4" i="1"/>
  <c r="H18" i="1"/>
  <c r="I3" i="1"/>
  <c r="I29" i="1"/>
  <c r="I28" i="1"/>
  <c r="I18" i="1"/>
  <c r="H23" i="1"/>
  <c r="I25" i="1"/>
  <c r="H27" i="1"/>
  <c r="H3" i="1"/>
  <c r="I26" i="1"/>
  <c r="I22" i="1"/>
  <c r="E3" i="3" s="1"/>
  <c r="I6" i="1"/>
  <c r="C8" i="3"/>
  <c r="C9" i="3" s="1"/>
  <c r="D8" i="8"/>
  <c r="D4" i="8"/>
  <c r="D5" i="8" s="1"/>
  <c r="J18" i="1" l="1"/>
  <c r="K43" i="1"/>
  <c r="G49" i="1"/>
  <c r="G48" i="1"/>
  <c r="G51" i="1" s="1"/>
  <c r="H46" i="1"/>
  <c r="K18" i="1"/>
  <c r="E5" i="3"/>
  <c r="I46" i="1"/>
  <c r="B74" i="1"/>
  <c r="C24" i="8"/>
  <c r="I16" i="8"/>
  <c r="C15" i="8"/>
  <c r="G22" i="8"/>
  <c r="I25" i="8"/>
  <c r="C16" i="8"/>
  <c r="C26" i="8"/>
  <c r="G21" i="8"/>
  <c r="I24" i="8"/>
  <c r="C20" i="8"/>
  <c r="C25" i="8"/>
  <c r="G24" i="8"/>
  <c r="G23" i="8"/>
  <c r="C17" i="8"/>
  <c r="G20" i="8"/>
  <c r="I23" i="8"/>
  <c r="I15" i="8"/>
  <c r="I26" i="8"/>
  <c r="C18" i="8"/>
  <c r="G19" i="8"/>
  <c r="I22" i="8"/>
  <c r="C19" i="8"/>
  <c r="G18" i="8"/>
  <c r="I21" i="8"/>
  <c r="C21" i="8"/>
  <c r="G16" i="8"/>
  <c r="J16" i="8" s="1"/>
  <c r="I19" i="8"/>
  <c r="C22" i="8"/>
  <c r="G15" i="8"/>
  <c r="I18" i="8"/>
  <c r="C23" i="8"/>
  <c r="G26" i="8"/>
  <c r="I17" i="8"/>
  <c r="G17" i="8"/>
  <c r="I20" i="8"/>
  <c r="G25" i="8"/>
  <c r="H14" i="8"/>
  <c r="D14" i="8"/>
  <c r="D59" i="1" l="1"/>
  <c r="F59" i="1" s="1"/>
  <c r="H59" i="1" s="1"/>
  <c r="J59" i="1" s="1"/>
  <c r="L59" i="1" s="1"/>
  <c r="B59" i="1"/>
  <c r="B63" i="1" s="1"/>
  <c r="B58" i="1" s="1"/>
  <c r="H48" i="1"/>
  <c r="E7" i="3"/>
  <c r="I47" i="1"/>
  <c r="I48" i="1"/>
  <c r="C4" i="3"/>
  <c r="J15" i="8"/>
  <c r="J26" i="8"/>
  <c r="H47" i="1"/>
  <c r="H49" i="1"/>
  <c r="J21" i="8"/>
  <c r="J18" i="8"/>
  <c r="J25" i="8"/>
  <c r="J19" i="8"/>
  <c r="J22" i="8"/>
  <c r="J20" i="8"/>
  <c r="H15" i="8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J17" i="8"/>
  <c r="J23" i="8"/>
  <c r="J24" i="8"/>
  <c r="C27" i="8"/>
  <c r="D15" i="8"/>
  <c r="D16" i="8" s="1"/>
  <c r="D17" i="8" s="1"/>
  <c r="D18" i="8" s="1"/>
  <c r="D19" i="8" s="1"/>
  <c r="D20" i="8" s="1"/>
  <c r="D21" i="8" s="1"/>
  <c r="D22" i="8" s="1"/>
  <c r="D23" i="8" s="1"/>
  <c r="D24" i="8" s="1"/>
  <c r="D25" i="8" s="1"/>
  <c r="D26" i="8" s="1"/>
  <c r="E14" i="8"/>
  <c r="J28" i="8" l="1"/>
  <c r="F14" i="8"/>
  <c r="N62" i="1"/>
  <c r="N63" i="1" s="1"/>
  <c r="E15" i="8"/>
  <c r="C74" i="1" l="1"/>
  <c r="C73" i="1"/>
  <c r="C72" i="1"/>
  <c r="O62" i="1"/>
  <c r="O63" i="1" s="1"/>
  <c r="F15" i="8"/>
  <c r="E16" i="8"/>
  <c r="D74" i="1" l="1"/>
  <c r="D72" i="1"/>
  <c r="D73" i="1"/>
  <c r="F16" i="8"/>
  <c r="P62" i="1"/>
  <c r="P63" i="1" s="1"/>
  <c r="E17" i="8"/>
  <c r="E72" i="1" l="1"/>
  <c r="E74" i="1"/>
  <c r="E73" i="1"/>
  <c r="F17" i="8"/>
  <c r="Q62" i="1"/>
  <c r="E18" i="8"/>
  <c r="F18" i="8" l="1"/>
  <c r="R62" i="1"/>
  <c r="E19" i="8"/>
  <c r="F19" i="8" l="1"/>
  <c r="S62" i="1"/>
  <c r="E20" i="8"/>
  <c r="F20" i="8" l="1"/>
  <c r="T62" i="1"/>
  <c r="E21" i="8"/>
  <c r="F21" i="8" l="1"/>
  <c r="U62" i="1"/>
  <c r="E22" i="8"/>
  <c r="F22" i="8" l="1"/>
  <c r="V62" i="1"/>
  <c r="E23" i="8"/>
  <c r="F23" i="8" l="1"/>
  <c r="W62" i="1"/>
  <c r="E24" i="8"/>
  <c r="F24" i="8" l="1"/>
  <c r="X62" i="1"/>
  <c r="E25" i="8"/>
  <c r="E26" i="8"/>
  <c r="F26" i="8" s="1"/>
  <c r="F25" i="8" l="1"/>
  <c r="F28" i="8" s="1"/>
  <c r="Y62" i="1"/>
  <c r="E28" i="8"/>
  <c r="G37" i="9" l="1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2" i="9"/>
  <c r="G11" i="9"/>
  <c r="G10" i="9"/>
  <c r="G9" i="9"/>
  <c r="G8" i="9"/>
  <c r="G7" i="9"/>
  <c r="G6" i="9"/>
  <c r="G5" i="9"/>
  <c r="G4" i="9"/>
  <c r="G3" i="9"/>
  <c r="C6" i="3" l="1"/>
  <c r="C10" i="3" s="1"/>
  <c r="B68" i="1"/>
  <c r="X59" i="1" l="1"/>
  <c r="V59" i="1"/>
  <c r="T59" i="1"/>
  <c r="R59" i="1"/>
  <c r="Y59" i="1"/>
  <c r="W59" i="1"/>
  <c r="U59" i="1"/>
  <c r="S59" i="1"/>
  <c r="S63" i="1" s="1"/>
  <c r="Q59" i="1"/>
  <c r="T63" i="1"/>
  <c r="H73" i="1" l="1"/>
  <c r="H74" i="1"/>
  <c r="H72" i="1"/>
  <c r="I74" i="1"/>
  <c r="I73" i="1"/>
  <c r="I72" i="1"/>
  <c r="R63" i="1"/>
  <c r="S53" i="1"/>
  <c r="R52" i="1"/>
  <c r="U53" i="1"/>
  <c r="T52" i="1"/>
  <c r="W63" i="1"/>
  <c r="X53" i="1"/>
  <c r="W52" i="1"/>
  <c r="V63" i="1"/>
  <c r="W53" i="1"/>
  <c r="V52" i="1"/>
  <c r="T53" i="1"/>
  <c r="S52" i="1"/>
  <c r="U63" i="1"/>
  <c r="U52" i="1"/>
  <c r="V53" i="1"/>
  <c r="Q63" i="1"/>
  <c r="R53" i="1"/>
  <c r="Y63" i="1"/>
  <c r="Y52" i="1"/>
  <c r="X63" i="1"/>
  <c r="Y53" i="1"/>
  <c r="X52" i="1"/>
  <c r="E8" i="3"/>
  <c r="L74" i="1" l="1"/>
  <c r="L72" i="1"/>
  <c r="L73" i="1"/>
  <c r="J72" i="1"/>
  <c r="J73" i="1"/>
  <c r="J74" i="1"/>
  <c r="F73" i="1"/>
  <c r="F74" i="1"/>
  <c r="F72" i="1"/>
  <c r="N72" i="1"/>
  <c r="N73" i="1"/>
  <c r="N74" i="1"/>
  <c r="G73" i="1"/>
  <c r="G74" i="1"/>
  <c r="G72" i="1"/>
  <c r="M72" i="1"/>
  <c r="M73" i="1"/>
  <c r="M74" i="1"/>
  <c r="K72" i="1"/>
  <c r="K73" i="1"/>
  <c r="K74" i="1"/>
  <c r="E10" i="3"/>
  <c r="D75" i="1" l="1"/>
  <c r="C75" i="1"/>
  <c r="M63" i="1"/>
  <c r="G63" i="1"/>
  <c r="C63" i="1"/>
  <c r="K63" i="1"/>
  <c r="I63" i="1"/>
  <c r="E63" i="1"/>
  <c r="B72" i="1" l="1"/>
  <c r="B75" i="1" s="1"/>
  <c r="D77" i="1" s="1"/>
  <c r="C58" i="1"/>
  <c r="D63" i="1"/>
  <c r="J63" i="1"/>
  <c r="H63" i="1"/>
  <c r="F63" i="1"/>
  <c r="L63" i="1"/>
  <c r="C77" i="1" l="1"/>
  <c r="B77" i="1"/>
  <c r="D58" i="1"/>
  <c r="E58" i="1" s="1"/>
  <c r="F58" i="1" s="1"/>
  <c r="G58" i="1" s="1"/>
  <c r="H58" i="1" s="1"/>
  <c r="I58" i="1" s="1"/>
  <c r="J58" i="1" s="1"/>
  <c r="K58" i="1" s="1"/>
  <c r="L58" i="1" s="1"/>
  <c r="M58" i="1" l="1"/>
  <c r="N58" i="1" s="1"/>
  <c r="O58" i="1" s="1"/>
  <c r="P58" i="1" s="1"/>
  <c r="Q58" i="1" s="1"/>
  <c r="R58" i="1" s="1"/>
  <c r="S58" i="1" s="1"/>
  <c r="T58" i="1" s="1"/>
  <c r="U58" i="1" s="1"/>
  <c r="V58" i="1" s="1"/>
  <c r="W58" i="1" s="1"/>
  <c r="X58" i="1" s="1"/>
  <c r="Y58" i="1" s="1"/>
</calcChain>
</file>

<file path=xl/sharedStrings.xml><?xml version="1.0" encoding="utf-8"?>
<sst xmlns="http://schemas.openxmlformats.org/spreadsheetml/2006/main" count="400" uniqueCount="190">
  <si>
    <t>Costos</t>
  </si>
  <si>
    <t>Gastos</t>
  </si>
  <si>
    <t>Gastos financieros</t>
  </si>
  <si>
    <t>Utilidad</t>
  </si>
  <si>
    <t>Ingresos/asignación presupuestal</t>
  </si>
  <si>
    <t>Insumos para implementación de labores culturales</t>
  </si>
  <si>
    <t>herramientas para cosecha</t>
  </si>
  <si>
    <t>Capacitación Personal</t>
  </si>
  <si>
    <t>Capacitación Productores</t>
  </si>
  <si>
    <t>Cartillas</t>
  </si>
  <si>
    <t>Afiches</t>
  </si>
  <si>
    <t>Profesional Agrónomos</t>
  </si>
  <si>
    <t>Consultor</t>
  </si>
  <si>
    <t>Técnico Operario</t>
  </si>
  <si>
    <t>Coordinador Regional</t>
  </si>
  <si>
    <t>Coordinador Técnico Administrativo</t>
  </si>
  <si>
    <t>Unidades</t>
  </si>
  <si>
    <t>Meses</t>
  </si>
  <si>
    <t>Cantidades</t>
  </si>
  <si>
    <t>Valor Unitario</t>
  </si>
  <si>
    <t>Valor Total</t>
  </si>
  <si>
    <t>Talonarios</t>
  </si>
  <si>
    <t>Actas de Visita</t>
  </si>
  <si>
    <t>Kits</t>
  </si>
  <si>
    <t>Capacitaciones</t>
  </si>
  <si>
    <t>Material Didáctico</t>
  </si>
  <si>
    <t>Personas</t>
  </si>
  <si>
    <t>Movilizaciones Operario</t>
  </si>
  <si>
    <t>-</t>
  </si>
  <si>
    <t>Movilizaciones consultor</t>
  </si>
  <si>
    <t>Movilizaciones Personal Administrativo</t>
  </si>
  <si>
    <t>Movilizaciones Coordinador</t>
  </si>
  <si>
    <t>Movilizaciones Agrónomos</t>
  </si>
  <si>
    <t>Toneladas</t>
  </si>
  <si>
    <t>Valor Total del proyecto</t>
  </si>
  <si>
    <t>Ítem</t>
  </si>
  <si>
    <t>Fertilizante Químico Compuesto (Bulto 50 Kilos)</t>
  </si>
  <si>
    <t>Fertilizante Orgánico (Bulto 50 Kilos)</t>
  </si>
  <si>
    <t>Herbicidas</t>
  </si>
  <si>
    <t>Insecticidas</t>
  </si>
  <si>
    <t>Cal Dolomita</t>
  </si>
  <si>
    <t>Correctivos</t>
  </si>
  <si>
    <t>Fungicidas</t>
  </si>
  <si>
    <t>Foliar</t>
  </si>
  <si>
    <t>Elementos Menores</t>
  </si>
  <si>
    <t>Bomba de Espalda de 20 lts</t>
  </si>
  <si>
    <t>Pala, Palín, Machete</t>
  </si>
  <si>
    <t>bulto</t>
  </si>
  <si>
    <t>unidad</t>
  </si>
  <si>
    <t>kit</t>
  </si>
  <si>
    <t>jornales</t>
  </si>
  <si>
    <t>personas</t>
  </si>
  <si>
    <t>canastas</t>
  </si>
  <si>
    <t>pallets</t>
  </si>
  <si>
    <t>galón</t>
  </si>
  <si>
    <t>litro</t>
  </si>
  <si>
    <t>Activos</t>
  </si>
  <si>
    <t>Pasivos</t>
  </si>
  <si>
    <t>Patrimonio</t>
  </si>
  <si>
    <t>Bancos</t>
  </si>
  <si>
    <t>Caja</t>
  </si>
  <si>
    <t>Propiedad Planta y Equipo</t>
  </si>
  <si>
    <t>Terreno</t>
  </si>
  <si>
    <t>Cargo</t>
  </si>
  <si>
    <t>Coordinador Administrativo</t>
  </si>
  <si>
    <t>Tipo de Contrato</t>
  </si>
  <si>
    <t>Profesional Agrónomo</t>
  </si>
  <si>
    <t>Prestación de Servicios</t>
  </si>
  <si>
    <t>Honorarios</t>
  </si>
  <si>
    <t>Movilizaciones</t>
  </si>
  <si>
    <t>Prestaciones</t>
  </si>
  <si>
    <t>N/A</t>
  </si>
  <si>
    <t>Profesional Administrativo</t>
  </si>
  <si>
    <t>Orden de Servicios</t>
  </si>
  <si>
    <t>Profesional Administrativo Contable y Financiero</t>
  </si>
  <si>
    <t>Profesional Administrativo Legal</t>
  </si>
  <si>
    <t>Etapa 1 Alistamiento del Predio Productivo y su Zona Búffer</t>
  </si>
  <si>
    <t>Etapa 2 Exportación y vigilancia del núcleo productivo</t>
  </si>
  <si>
    <t>Jornal Cosecha/operario</t>
  </si>
  <si>
    <t>Fase 0</t>
  </si>
  <si>
    <t>Mes de proyecto</t>
  </si>
  <si>
    <t>Etapa 2 - Exportación</t>
  </si>
  <si>
    <t>Etapa 1 - Alistamiento Producto</t>
  </si>
  <si>
    <t>TRM Promedio</t>
  </si>
  <si>
    <t>Áreas (hectáreas)</t>
  </si>
  <si>
    <t>Producción (toneladas/Hectárea)</t>
  </si>
  <si>
    <t>Estimado de Ingresos</t>
  </si>
  <si>
    <t>Rendimiento de la operación</t>
  </si>
  <si>
    <t>Equipo de Trabajo</t>
  </si>
  <si>
    <t>Terreno, Insumos y herramientas</t>
  </si>
  <si>
    <t>Capacitaciones y  Talleres</t>
  </si>
  <si>
    <t>Proceso Exportador</t>
  </si>
  <si>
    <t>Estado</t>
  </si>
  <si>
    <t>Propio</t>
  </si>
  <si>
    <t>Monto</t>
  </si>
  <si>
    <t>Cuota inicial</t>
  </si>
  <si>
    <t>Valor CI</t>
  </si>
  <si>
    <t>Préstamo</t>
  </si>
  <si>
    <t>Nper</t>
  </si>
  <si>
    <t>Cuota Variable</t>
  </si>
  <si>
    <t>Cuota Fija</t>
  </si>
  <si>
    <t>Periodo</t>
  </si>
  <si>
    <t>Amortización</t>
  </si>
  <si>
    <t>Saldo</t>
  </si>
  <si>
    <t>Interés</t>
  </si>
  <si>
    <t>Pago</t>
  </si>
  <si>
    <t>Paprin</t>
  </si>
  <si>
    <t>pagoint</t>
  </si>
  <si>
    <r>
      <t>                                    De Medellín a</t>
    </r>
    <r>
      <rPr>
        <sz val="10"/>
        <color rgb="FFFFFFFF"/>
        <rFont val="Catrielregular"/>
      </rPr>
      <t> </t>
    </r>
  </si>
  <si>
    <t>   Ciudad de destino</t>
  </si>
  <si>
    <r>
      <t>  </t>
    </r>
    <r>
      <rPr>
        <b/>
        <sz val="10"/>
        <color rgb="FFFFFFFF"/>
        <rFont val="Verdana"/>
        <family val="2"/>
      </rPr>
      <t>Valor por tonelada (COP)</t>
    </r>
    <r>
      <rPr>
        <sz val="10"/>
        <color rgb="FFFFFFFF"/>
        <rFont val="Catrielregular"/>
      </rPr>
      <t> </t>
    </r>
  </si>
  <si>
    <t>Armenia</t>
  </si>
  <si>
    <r>
      <t>                            </t>
    </r>
    <r>
      <rPr>
        <sz val="10"/>
        <color rgb="FF000080"/>
        <rFont val="Verdana"/>
        <family val="2"/>
      </rPr>
      <t>56.372</t>
    </r>
  </si>
  <si>
    <t>Barranquilla</t>
  </si>
  <si>
    <r>
      <t>                            </t>
    </r>
    <r>
      <rPr>
        <sz val="10"/>
        <color rgb="FF000080"/>
        <rFont val="Verdana"/>
        <family val="2"/>
      </rPr>
      <t>94.912</t>
    </r>
  </si>
  <si>
    <t>Bogotá</t>
  </si>
  <si>
    <r>
      <t>                            </t>
    </r>
    <r>
      <rPr>
        <sz val="10"/>
        <color rgb="FF000080"/>
        <rFont val="Verdana"/>
        <family val="2"/>
      </rPr>
      <t>60.448</t>
    </r>
  </si>
  <si>
    <t>Bucaramanga</t>
  </si>
  <si>
    <r>
      <t>                            </t>
    </r>
    <r>
      <rPr>
        <sz val="10"/>
        <color rgb="FF000080"/>
        <rFont val="Verdana"/>
        <family val="2"/>
      </rPr>
      <t>87.121</t>
    </r>
  </si>
  <si>
    <t>Buenaventura</t>
  </si>
  <si>
    <r>
      <t>                            </t>
    </r>
    <r>
      <rPr>
        <sz val="10"/>
        <color rgb="FF000080"/>
        <rFont val="Verdana"/>
        <family val="2"/>
      </rPr>
      <t>77.949</t>
    </r>
  </si>
  <si>
    <t>Cali</t>
  </si>
  <si>
    <r>
      <t>                            </t>
    </r>
    <r>
      <rPr>
        <sz val="10"/>
        <color rgb="FF000080"/>
        <rFont val="Verdana"/>
        <family val="2"/>
      </rPr>
      <t>67.297</t>
    </r>
  </si>
  <si>
    <t>Cartagena</t>
  </si>
  <si>
    <r>
      <t>                            </t>
    </r>
    <r>
      <rPr>
        <sz val="10"/>
        <color rgb="FF000080"/>
        <rFont val="Verdana"/>
        <family val="2"/>
      </rPr>
      <t>91.806</t>
    </r>
  </si>
  <si>
    <t>Cúcuta</t>
  </si>
  <si>
    <r>
      <t>                            </t>
    </r>
    <r>
      <rPr>
        <sz val="10"/>
        <color rgb="FF000080"/>
        <rFont val="Verdana"/>
        <family val="2"/>
      </rPr>
      <t>99.519</t>
    </r>
  </si>
  <si>
    <t>Duitama</t>
  </si>
  <si>
    <r>
      <t>                            </t>
    </r>
    <r>
      <rPr>
        <sz val="10"/>
        <color rgb="FF000080"/>
        <rFont val="Verdana"/>
        <family val="2"/>
      </rPr>
      <t>80.847</t>
    </r>
  </si>
  <si>
    <t>Ibague</t>
  </si>
  <si>
    <r>
      <t>                            </t>
    </r>
    <r>
      <rPr>
        <sz val="10"/>
        <color rgb="FF000080"/>
        <rFont val="Verdana"/>
        <family val="2"/>
      </rPr>
      <t>62.732</t>
    </r>
  </si>
  <si>
    <t>Ipiales</t>
  </si>
  <si>
    <r>
      <t>                           </t>
    </r>
    <r>
      <rPr>
        <sz val="10"/>
        <color rgb="FF000080"/>
        <rFont val="Verdana"/>
        <family val="2"/>
      </rPr>
      <t>110.181</t>
    </r>
  </si>
  <si>
    <t>Manizales</t>
  </si>
  <si>
    <r>
      <t>                            </t>
    </r>
    <r>
      <rPr>
        <sz val="10"/>
        <color rgb="FF000080"/>
        <rFont val="Verdana"/>
        <family val="2"/>
      </rPr>
      <t>44.829</t>
    </r>
  </si>
  <si>
    <t>Neiva</t>
  </si>
  <si>
    <r>
      <t>                            </t>
    </r>
    <r>
      <rPr>
        <sz val="10"/>
        <color rgb="FF000080"/>
        <rFont val="Verdana"/>
        <family val="2"/>
      </rPr>
      <t>71.522</t>
    </r>
  </si>
  <si>
    <t>Pasto</t>
  </si>
  <si>
    <r>
      <t>                           </t>
    </r>
    <r>
      <rPr>
        <sz val="10"/>
        <color rgb="FF000080"/>
        <rFont val="Verdana"/>
        <family val="2"/>
      </rPr>
      <t>100.165</t>
    </r>
  </si>
  <si>
    <t>Pereira</t>
  </si>
  <si>
    <r>
      <t>                            </t>
    </r>
    <r>
      <rPr>
        <sz val="10"/>
        <color rgb="FF000080"/>
        <rFont val="Verdana"/>
        <family val="2"/>
      </rPr>
      <t>52.956</t>
    </r>
  </si>
  <si>
    <t>Santa Marta</t>
  </si>
  <si>
    <r>
      <t>                           </t>
    </r>
    <r>
      <rPr>
        <sz val="10"/>
        <color rgb="FF000080"/>
        <rFont val="Verdana"/>
        <family val="2"/>
      </rPr>
      <t>100.272</t>
    </r>
  </si>
  <si>
    <t>Villavicencio</t>
  </si>
  <si>
    <r>
      <t>                            </t>
    </r>
    <r>
      <rPr>
        <sz val="10"/>
        <color rgb="FF000080"/>
        <rFont val="Verdana"/>
        <family val="2"/>
      </rPr>
      <t>68.795</t>
    </r>
  </si>
  <si>
    <t>Fuente: Ministerio de Transporte</t>
  </si>
  <si>
    <t>*</t>
  </si>
  <si>
    <t>Transporte a puerto buenaventura</t>
  </si>
  <si>
    <t>Transporte a puerto cartagena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</si>
  <si>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</si>
  <si>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Activo Fijo</t>
  </si>
  <si>
    <t>Activo Corriente</t>
  </si>
  <si>
    <t>Activo no Corriente</t>
  </si>
  <si>
    <t>Total Activo No Corriente</t>
  </si>
  <si>
    <t>Total Activo Corriente</t>
  </si>
  <si>
    <t>Pasivo Corriente</t>
  </si>
  <si>
    <t>Capital</t>
  </si>
  <si>
    <t>Total Patrimonio</t>
  </si>
  <si>
    <t>Total Pasivo + Patrimonio</t>
  </si>
  <si>
    <t>Total Activos</t>
  </si>
  <si>
    <t>TIR</t>
  </si>
  <si>
    <t>TIO</t>
  </si>
  <si>
    <t>tasa (EA)</t>
  </si>
  <si>
    <t>tasa (mes)</t>
  </si>
  <si>
    <t>N (años)</t>
  </si>
  <si>
    <t>n (meses)</t>
  </si>
  <si>
    <t>Saldo en caja</t>
  </si>
  <si>
    <t>Precio/Tonelada</t>
  </si>
  <si>
    <t>Precio Promedio</t>
  </si>
  <si>
    <t>VPN</t>
  </si>
  <si>
    <t>Gastos Administrativos</t>
  </si>
  <si>
    <t>Plántulas</t>
  </si>
  <si>
    <t>unidades</t>
  </si>
  <si>
    <t>Arriendo Oficina Bogotá</t>
  </si>
  <si>
    <t>Arriendo Equipo de Cómputo</t>
  </si>
  <si>
    <t>Papelería Oficina</t>
  </si>
  <si>
    <t>TIRM</t>
  </si>
  <si>
    <t>Inversión del estado</t>
  </si>
  <si>
    <t>Inversión del proyecto</t>
  </si>
  <si>
    <t>Inversión de la empresa</t>
  </si>
  <si>
    <t>Etapa 1</t>
  </si>
  <si>
    <t>Etapa 2</t>
  </si>
  <si>
    <t>Total Costos</t>
  </si>
  <si>
    <t>Total Gastos</t>
  </si>
  <si>
    <t>Gastos Mensuales</t>
  </si>
  <si>
    <t>Costos Mensuales</t>
  </si>
  <si>
    <t>Costos por tonelada producida mensualmente (120 Toneladas promedio)</t>
  </si>
  <si>
    <t>Gastos por tonelada producida mensualmente (120 Toneladas promedio)</t>
  </si>
  <si>
    <t>Reserva Contingencia</t>
  </si>
  <si>
    <t>Reserva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</si>
</sst>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\ #,##0.00;[Red]\-&quot;$&quot;\ #,##0.0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[$USD]\ * #,##0_-;\-[$USD]\ * #,##0_-;_-[$USD]\ * &quot;-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FFFF"/>
      <name val="Verdana"/>
      <family val="2"/>
    </font>
    <font>
      <sz val="10"/>
      <color rgb="FFFFFFFF"/>
      <name val="Catrielregular"/>
    </font>
    <font>
      <sz val="10"/>
      <color rgb="FF000080"/>
      <name val="Verdana"/>
      <family val="2"/>
    </font>
    <font>
      <sz val="10"/>
      <color rgb="FF000080"/>
      <name val="Catrielregular"/>
    </font>
    <font>
      <i/>
      <sz val="10"/>
      <color rgb="FF000080"/>
      <name val="Verdana"/>
      <family val="2"/>
    </font>
    <font>
      <b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999999"/>
      </left>
      <right/>
      <top style="medium">
        <color rgb="FF999999"/>
      </top>
      <bottom style="thin">
        <color rgb="FFFFFFFF"/>
      </bottom>
      <diagonal/>
    </border>
    <border>
      <left/>
      <right style="medium">
        <color rgb="FF999999"/>
      </right>
      <top style="medium">
        <color rgb="FF999999"/>
      </top>
      <bottom style="thin">
        <color rgb="FFFFFFFF"/>
      </bottom>
      <diagonal/>
    </border>
    <border>
      <left style="medium">
        <color rgb="FF999999"/>
      </left>
      <right style="thin">
        <color rgb="FFFFFFFF"/>
      </right>
      <top/>
      <bottom style="thin">
        <color rgb="FFFFFFFF"/>
      </bottom>
      <diagonal/>
    </border>
    <border>
      <left/>
      <right style="medium">
        <color rgb="FF999999"/>
      </right>
      <top/>
      <bottom style="thin">
        <color rgb="FFFFFFFF"/>
      </bottom>
      <diagonal/>
    </border>
    <border>
      <left style="medium">
        <color rgb="FF999999"/>
      </left>
      <right/>
      <top style="thin">
        <color rgb="FFFFFFFF"/>
      </top>
      <bottom style="medium">
        <color rgb="FF999999"/>
      </bottom>
      <diagonal/>
    </border>
    <border>
      <left/>
      <right style="medium">
        <color rgb="FF999999"/>
      </right>
      <top style="thin">
        <color rgb="FFFFFFFF"/>
      </top>
      <bottom style="medium">
        <color rgb="FF999999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0">
    <xf numFmtId="0" fontId="0" fillId="0" borderId="0" xfId="0"/>
    <xf numFmtId="0" fontId="0" fillId="0" borderId="0" xfId="0" applyAlignment="1">
      <alignment vertical="center" wrapText="1"/>
    </xf>
    <xf numFmtId="42" fontId="0" fillId="0" borderId="0" xfId="0" applyNumberFormat="1"/>
    <xf numFmtId="42" fontId="0" fillId="0" borderId="0" xfId="1" applyFont="1" applyAlignment="1">
      <alignment vertical="center" wrapText="1"/>
    </xf>
    <xf numFmtId="0" fontId="0" fillId="0" borderId="1" xfId="0" applyBorder="1"/>
    <xf numFmtId="42" fontId="0" fillId="0" borderId="1" xfId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2" fontId="0" fillId="0" borderId="6" xfId="1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2" fontId="0" fillId="0" borderId="9" xfId="1" applyFont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42" fontId="0" fillId="0" borderId="10" xfId="1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9" fontId="0" fillId="0" borderId="22" xfId="0" applyNumberFormat="1" applyBorder="1" applyAlignment="1">
      <alignment horizontal="center" vertical="center" wrapText="1"/>
    </xf>
    <xf numFmtId="9" fontId="0" fillId="0" borderId="23" xfId="0" applyNumberFormat="1" applyBorder="1" applyAlignment="1">
      <alignment horizontal="center" vertical="center" wrapText="1"/>
    </xf>
    <xf numFmtId="42" fontId="6" fillId="0" borderId="8" xfId="1" applyFont="1" applyBorder="1" applyAlignment="1">
      <alignment vertical="center" wrapText="1"/>
    </xf>
    <xf numFmtId="42" fontId="6" fillId="0" borderId="9" xfId="1" applyFont="1" applyBorder="1" applyAlignment="1">
      <alignment vertical="center" wrapText="1"/>
    </xf>
    <xf numFmtId="42" fontId="6" fillId="0" borderId="10" xfId="1" applyFont="1" applyBorder="1" applyAlignment="1">
      <alignment vertical="center" wrapText="1"/>
    </xf>
    <xf numFmtId="42" fontId="6" fillId="0" borderId="16" xfId="1" applyFont="1" applyBorder="1" applyAlignment="1">
      <alignment vertical="center" wrapText="1"/>
    </xf>
    <xf numFmtId="42" fontId="3" fillId="0" borderId="3" xfId="1" applyFont="1" applyBorder="1" applyAlignment="1">
      <alignment vertical="center" wrapText="1"/>
    </xf>
    <xf numFmtId="42" fontId="3" fillId="0" borderId="1" xfId="1" applyFont="1" applyBorder="1" applyAlignment="1">
      <alignment vertical="center" wrapText="1"/>
    </xf>
    <xf numFmtId="42" fontId="3" fillId="0" borderId="4" xfId="1" applyFont="1" applyBorder="1" applyAlignment="1">
      <alignment vertical="center" wrapText="1"/>
    </xf>
    <xf numFmtId="42" fontId="3" fillId="0" borderId="17" xfId="1" applyFont="1" applyBorder="1" applyAlignment="1">
      <alignment vertical="center" wrapText="1"/>
    </xf>
    <xf numFmtId="42" fontId="3" fillId="0" borderId="26" xfId="1" applyFont="1" applyBorder="1" applyAlignment="1">
      <alignment vertical="center" wrapText="1"/>
    </xf>
    <xf numFmtId="42" fontId="3" fillId="0" borderId="27" xfId="1" applyFont="1" applyBorder="1" applyAlignment="1">
      <alignment vertical="center" wrapText="1"/>
    </xf>
    <xf numFmtId="42" fontId="3" fillId="0" borderId="28" xfId="1" applyFont="1" applyBorder="1" applyAlignment="1">
      <alignment vertical="center" wrapText="1"/>
    </xf>
    <xf numFmtId="42" fontId="3" fillId="0" borderId="29" xfId="1" applyFont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42" fontId="7" fillId="3" borderId="11" xfId="1" applyFont="1" applyFill="1" applyBorder="1" applyAlignment="1">
      <alignment vertical="center" wrapText="1"/>
    </xf>
    <xf numFmtId="42" fontId="7" fillId="3" borderId="12" xfId="1" applyFont="1" applyFill="1" applyBorder="1" applyAlignment="1">
      <alignment vertical="center" wrapText="1"/>
    </xf>
    <xf numFmtId="42" fontId="7" fillId="3" borderId="13" xfId="1" applyFont="1" applyFill="1" applyBorder="1" applyAlignment="1">
      <alignment vertical="center" wrapText="1"/>
    </xf>
    <xf numFmtId="42" fontId="7" fillId="3" borderId="15" xfId="1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42" fontId="0" fillId="0" borderId="0" xfId="0" applyNumberFormat="1" applyAlignment="1">
      <alignment vertical="center" wrapText="1"/>
    </xf>
    <xf numFmtId="10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42" fontId="0" fillId="0" borderId="9" xfId="0" applyNumberFormat="1" applyBorder="1" applyAlignment="1">
      <alignment vertical="center" wrapText="1"/>
    </xf>
    <xf numFmtId="44" fontId="0" fillId="0" borderId="9" xfId="0" applyNumberForma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42" fontId="0" fillId="0" borderId="1" xfId="0" applyNumberFormat="1" applyBorder="1" applyAlignment="1">
      <alignment vertical="center" wrapText="1"/>
    </xf>
    <xf numFmtId="44" fontId="0" fillId="0" borderId="1" xfId="0" applyNumberFormat="1" applyBorder="1" applyAlignment="1">
      <alignment vertical="center" wrapText="1"/>
    </xf>
    <xf numFmtId="8" fontId="0" fillId="0" borderId="1" xfId="0" applyNumberFormat="1" applyBorder="1" applyAlignment="1">
      <alignment vertical="center" wrapText="1"/>
    </xf>
    <xf numFmtId="8" fontId="0" fillId="0" borderId="4" xfId="0" applyNumberFormat="1" applyBorder="1" applyAlignment="1">
      <alignment vertical="center" wrapText="1"/>
    </xf>
    <xf numFmtId="42" fontId="5" fillId="5" borderId="0" xfId="1" applyFont="1" applyFill="1" applyAlignment="1">
      <alignment vertical="center" wrapText="1"/>
    </xf>
    <xf numFmtId="42" fontId="0" fillId="6" borderId="0" xfId="1" applyFont="1" applyFill="1" applyAlignment="1">
      <alignment vertical="center" wrapText="1"/>
    </xf>
    <xf numFmtId="0" fontId="9" fillId="8" borderId="35" xfId="0" applyFont="1" applyFill="1" applyBorder="1" applyAlignment="1">
      <alignment horizontal="left" vertical="center" wrapText="1" indent="1"/>
    </xf>
    <xf numFmtId="0" fontId="10" fillId="8" borderId="36" xfId="0" applyFont="1" applyFill="1" applyBorder="1" applyAlignment="1">
      <alignment horizontal="left" vertical="center" wrapText="1" indent="1"/>
    </xf>
    <xf numFmtId="0" fontId="11" fillId="9" borderId="35" xfId="0" applyFont="1" applyFill="1" applyBorder="1" applyAlignment="1">
      <alignment horizontal="left" vertical="center" wrapText="1" indent="1"/>
    </xf>
    <xf numFmtId="0" fontId="12" fillId="9" borderId="36" xfId="0" applyFont="1" applyFill="1" applyBorder="1" applyAlignment="1">
      <alignment horizontal="left" vertical="center" wrapText="1" indent="1"/>
    </xf>
    <xf numFmtId="0" fontId="0" fillId="0" borderId="0" xfId="0" applyFill="1" applyAlignment="1">
      <alignment vertical="center" wrapText="1"/>
    </xf>
    <xf numFmtId="0" fontId="0" fillId="0" borderId="0" xfId="0" applyFill="1"/>
    <xf numFmtId="42" fontId="0" fillId="0" borderId="6" xfId="0" applyNumberFormat="1" applyBorder="1" applyAlignment="1">
      <alignment vertical="center" wrapText="1"/>
    </xf>
    <xf numFmtId="44" fontId="0" fillId="0" borderId="6" xfId="0" applyNumberFormat="1" applyBorder="1" applyAlignment="1">
      <alignment vertical="center" wrapText="1"/>
    </xf>
    <xf numFmtId="8" fontId="0" fillId="0" borderId="6" xfId="0" applyNumberFormat="1" applyBorder="1" applyAlignment="1">
      <alignment vertical="center" wrapText="1"/>
    </xf>
    <xf numFmtId="8" fontId="0" fillId="0" borderId="7" xfId="0" applyNumberForma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10" fontId="2" fillId="0" borderId="12" xfId="0" applyNumberFormat="1" applyFont="1" applyBorder="1" applyAlignment="1">
      <alignment horizontal="center" vertical="center" wrapText="1"/>
    </xf>
    <xf numFmtId="42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2" fontId="0" fillId="0" borderId="16" xfId="0" applyNumberFormat="1" applyBorder="1" applyAlignment="1">
      <alignment vertical="center" wrapText="1"/>
    </xf>
    <xf numFmtId="42" fontId="0" fillId="0" borderId="17" xfId="0" applyNumberFormat="1" applyBorder="1" applyAlignment="1">
      <alignment vertical="center" wrapText="1"/>
    </xf>
    <xf numFmtId="42" fontId="0" fillId="0" borderId="39" xfId="0" applyNumberForma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42" fontId="0" fillId="0" borderId="41" xfId="1" applyFont="1" applyBorder="1" applyAlignment="1">
      <alignment vertical="center" wrapText="1"/>
    </xf>
    <xf numFmtId="9" fontId="0" fillId="0" borderId="42" xfId="0" applyNumberFormat="1" applyBorder="1" applyAlignment="1">
      <alignment vertical="center" wrapText="1"/>
    </xf>
    <xf numFmtId="42" fontId="0" fillId="0" borderId="42" xfId="0" applyNumberForma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10" fontId="0" fillId="0" borderId="42" xfId="0" applyNumberFormat="1" applyBorder="1" applyAlignment="1">
      <alignment vertical="center" wrapText="1"/>
    </xf>
    <xf numFmtId="10" fontId="0" fillId="0" borderId="43" xfId="0" applyNumberForma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4" fillId="0" borderId="45" xfId="0" applyFont="1" applyBorder="1" applyAlignment="1">
      <alignment horizontal="center" vertical="center" wrapText="1"/>
    </xf>
    <xf numFmtId="42" fontId="4" fillId="2" borderId="11" xfId="0" applyNumberFormat="1" applyFont="1" applyFill="1" applyBorder="1" applyAlignment="1">
      <alignment horizontal="center" vertical="center" wrapText="1"/>
    </xf>
    <xf numFmtId="42" fontId="4" fillId="2" borderId="12" xfId="0" applyNumberFormat="1" applyFont="1" applyFill="1" applyBorder="1" applyAlignment="1">
      <alignment horizontal="center" vertical="center" wrapText="1"/>
    </xf>
    <xf numFmtId="42" fontId="4" fillId="2" borderId="12" xfId="1" applyFont="1" applyFill="1" applyBorder="1" applyAlignment="1">
      <alignment horizontal="center" vertical="center" wrapText="1"/>
    </xf>
    <xf numFmtId="42" fontId="4" fillId="2" borderId="13" xfId="1" applyFont="1" applyFill="1" applyBorder="1" applyAlignment="1">
      <alignment horizontal="center" vertical="center" wrapText="1"/>
    </xf>
    <xf numFmtId="42" fontId="4" fillId="2" borderId="15" xfId="1" applyFont="1" applyFill="1" applyBorder="1" applyAlignment="1">
      <alignment horizontal="center" vertical="center" wrapText="1"/>
    </xf>
    <xf numFmtId="44" fontId="0" fillId="0" borderId="0" xfId="0" applyNumberFormat="1" applyAlignment="1">
      <alignment vertical="center" wrapText="1"/>
    </xf>
    <xf numFmtId="44" fontId="2" fillId="0" borderId="4" xfId="2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4" fontId="0" fillId="0" borderId="4" xfId="2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44" fontId="14" fillId="0" borderId="13" xfId="2" applyFont="1" applyBorder="1" applyAlignment="1">
      <alignment vertical="center" wrapText="1"/>
    </xf>
    <xf numFmtId="44" fontId="0" fillId="0" borderId="49" xfId="2" applyFont="1" applyBorder="1" applyAlignment="1">
      <alignment vertical="center" wrapText="1"/>
    </xf>
    <xf numFmtId="44" fontId="2" fillId="0" borderId="49" xfId="2" applyFont="1" applyBorder="1" applyAlignment="1">
      <alignment vertical="center" wrapText="1"/>
    </xf>
    <xf numFmtId="44" fontId="2" fillId="0" borderId="50" xfId="2" applyFont="1" applyBorder="1" applyAlignment="1">
      <alignment vertical="center" wrapText="1"/>
    </xf>
    <xf numFmtId="44" fontId="14" fillId="0" borderId="31" xfId="2" applyFont="1" applyBorder="1" applyAlignment="1">
      <alignment vertical="center" wrapText="1"/>
    </xf>
    <xf numFmtId="164" fontId="0" fillId="0" borderId="10" xfId="1" applyNumberFormat="1" applyFont="1" applyBorder="1" applyAlignment="1">
      <alignment vertical="center" wrapText="1"/>
    </xf>
    <xf numFmtId="164" fontId="0" fillId="0" borderId="0" xfId="1" applyNumberFormat="1" applyFont="1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42" fontId="0" fillId="0" borderId="1" xfId="1" applyFont="1" applyFill="1" applyBorder="1"/>
    <xf numFmtId="42" fontId="0" fillId="0" borderId="1" xfId="0" applyNumberFormat="1" applyFill="1" applyBorder="1"/>
    <xf numFmtId="42" fontId="0" fillId="0" borderId="1" xfId="1" applyNumberFormat="1" applyFont="1" applyFill="1" applyBorder="1"/>
    <xf numFmtId="42" fontId="0" fillId="0" borderId="4" xfId="0" applyNumberFormat="1" applyFill="1" applyBorder="1"/>
    <xf numFmtId="0" fontId="0" fillId="0" borderId="4" xfId="0" applyFill="1" applyBorder="1"/>
    <xf numFmtId="0" fontId="0" fillId="0" borderId="9" xfId="0" applyFill="1" applyBorder="1"/>
    <xf numFmtId="42" fontId="0" fillId="0" borderId="9" xfId="1" applyFont="1" applyFill="1" applyBorder="1"/>
    <xf numFmtId="42" fontId="0" fillId="0" borderId="9" xfId="0" applyNumberFormat="1" applyFill="1" applyBorder="1"/>
    <xf numFmtId="42" fontId="0" fillId="0" borderId="10" xfId="0" applyNumberFormat="1" applyFill="1" applyBorder="1"/>
    <xf numFmtId="42" fontId="14" fillId="0" borderId="45" xfId="0" applyNumberFormat="1" applyFont="1" applyFill="1" applyBorder="1"/>
    <xf numFmtId="0" fontId="0" fillId="0" borderId="28" xfId="0" applyFill="1" applyBorder="1"/>
    <xf numFmtId="0" fontId="0" fillId="0" borderId="27" xfId="0" applyFill="1" applyBorder="1"/>
    <xf numFmtId="42" fontId="0" fillId="0" borderId="27" xfId="1" applyFont="1" applyFill="1" applyBorder="1"/>
    <xf numFmtId="42" fontId="0" fillId="0" borderId="27" xfId="1" applyNumberFormat="1" applyFont="1" applyFill="1" applyBorder="1"/>
    <xf numFmtId="42" fontId="0" fillId="0" borderId="27" xfId="0" applyNumberFormat="1" applyFill="1" applyBorder="1"/>
    <xf numFmtId="42" fontId="0" fillId="0" borderId="28" xfId="0" applyNumberFormat="1" applyFill="1" applyBorder="1"/>
    <xf numFmtId="0" fontId="0" fillId="0" borderId="9" xfId="0" applyFont="1" applyFill="1" applyBorder="1"/>
    <xf numFmtId="42" fontId="1" fillId="0" borderId="9" xfId="1" applyFont="1" applyFill="1" applyBorder="1"/>
    <xf numFmtId="44" fontId="1" fillId="0" borderId="9" xfId="2" applyFont="1" applyFill="1" applyBorder="1"/>
    <xf numFmtId="44" fontId="0" fillId="0" borderId="10" xfId="0" applyNumberFormat="1" applyFont="1" applyFill="1" applyBorder="1"/>
    <xf numFmtId="0" fontId="0" fillId="0" borderId="1" xfId="0" applyFont="1" applyFill="1" applyBorder="1"/>
    <xf numFmtId="42" fontId="1" fillId="0" borderId="1" xfId="1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0" fillId="0" borderId="16" xfId="0" applyFont="1" applyFill="1" applyBorder="1"/>
    <xf numFmtId="0" fontId="0" fillId="0" borderId="17" xfId="0" applyFont="1" applyFill="1" applyBorder="1"/>
    <xf numFmtId="0" fontId="0" fillId="0" borderId="44" xfId="0" applyFont="1" applyFill="1" applyBorder="1"/>
    <xf numFmtId="0" fontId="0" fillId="0" borderId="40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vertical="center" wrapText="1"/>
    </xf>
    <xf numFmtId="0" fontId="0" fillId="0" borderId="16" xfId="0" applyFill="1" applyBorder="1"/>
    <xf numFmtId="0" fontId="0" fillId="0" borderId="17" xfId="0" applyFill="1" applyBorder="1"/>
    <xf numFmtId="0" fontId="0" fillId="0" borderId="44" xfId="0" applyFill="1" applyBorder="1" applyAlignment="1">
      <alignment vertical="center" wrapText="1"/>
    </xf>
    <xf numFmtId="0" fontId="0" fillId="0" borderId="40" xfId="0" applyFill="1" applyBorder="1" applyAlignment="1">
      <alignment vertical="center" wrapText="1"/>
    </xf>
    <xf numFmtId="0" fontId="0" fillId="0" borderId="19" xfId="0" applyFill="1" applyBorder="1" applyAlignment="1">
      <alignment vertical="center" wrapText="1"/>
    </xf>
    <xf numFmtId="0" fontId="2" fillId="0" borderId="40" xfId="0" applyFont="1" applyFill="1" applyBorder="1" applyAlignment="1">
      <alignment horizontal="center"/>
    </xf>
    <xf numFmtId="0" fontId="0" fillId="0" borderId="60" xfId="0" applyFill="1" applyBorder="1" applyAlignment="1">
      <alignment vertical="center" wrapText="1"/>
    </xf>
    <xf numFmtId="0" fontId="0" fillId="0" borderId="29" xfId="0" applyFill="1" applyBorder="1"/>
    <xf numFmtId="0" fontId="0" fillId="0" borderId="20" xfId="0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13" borderId="11" xfId="0" applyFont="1" applyFill="1" applyBorder="1" applyAlignment="1">
      <alignment vertical="center" wrapText="1"/>
    </xf>
    <xf numFmtId="0" fontId="2" fillId="13" borderId="12" xfId="0" applyFont="1" applyFill="1" applyBorder="1" applyAlignment="1">
      <alignment vertical="center" wrapText="1"/>
    </xf>
    <xf numFmtId="0" fontId="2" fillId="13" borderId="31" xfId="0" applyFont="1" applyFill="1" applyBorder="1" applyAlignment="1">
      <alignment vertical="center" wrapText="1"/>
    </xf>
    <xf numFmtId="0" fontId="2" fillId="13" borderId="2" xfId="0" applyFont="1" applyFill="1" applyBorder="1" applyAlignment="1">
      <alignment vertical="center" wrapText="1"/>
    </xf>
    <xf numFmtId="0" fontId="2" fillId="13" borderId="53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13" borderId="45" xfId="0" applyFont="1" applyFill="1" applyBorder="1" applyAlignment="1">
      <alignment vertical="center" wrapText="1"/>
    </xf>
    <xf numFmtId="0" fontId="0" fillId="0" borderId="44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 wrapText="1"/>
    </xf>
    <xf numFmtId="42" fontId="1" fillId="0" borderId="9" xfId="1" applyFont="1" applyFill="1" applyBorder="1" applyAlignment="1">
      <alignment vertical="center" wrapText="1"/>
    </xf>
    <xf numFmtId="44" fontId="1" fillId="0" borderId="48" xfId="2" applyFont="1" applyFill="1" applyBorder="1" applyAlignment="1">
      <alignment vertical="center" wrapText="1"/>
    </xf>
    <xf numFmtId="44" fontId="0" fillId="0" borderId="56" xfId="0" applyNumberFormat="1" applyFont="1" applyFill="1" applyBorder="1" applyAlignment="1">
      <alignment vertical="center" wrapText="1"/>
    </xf>
    <xf numFmtId="44" fontId="0" fillId="0" borderId="0" xfId="0" applyNumberFormat="1" applyFill="1" applyAlignment="1">
      <alignment vertical="center" wrapText="1"/>
    </xf>
    <xf numFmtId="0" fontId="0" fillId="0" borderId="16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42" fontId="0" fillId="0" borderId="9" xfId="1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2" fontId="1" fillId="0" borderId="1" xfId="1" applyFont="1" applyFill="1" applyBorder="1" applyAlignment="1">
      <alignment vertical="center" wrapText="1"/>
    </xf>
    <xf numFmtId="42" fontId="1" fillId="0" borderId="49" xfId="1" applyFont="1" applyFill="1" applyBorder="1" applyAlignment="1">
      <alignment vertical="center" wrapText="1"/>
    </xf>
    <xf numFmtId="42" fontId="0" fillId="0" borderId="40" xfId="0" applyNumberFormat="1" applyFont="1" applyFill="1" applyBorder="1" applyAlignment="1">
      <alignment vertical="center" wrapText="1"/>
    </xf>
    <xf numFmtId="42" fontId="0" fillId="0" borderId="42" xfId="0" applyNumberFormat="1" applyFont="1" applyFill="1" applyBorder="1" applyAlignment="1">
      <alignment vertical="center" wrapText="1"/>
    </xf>
    <xf numFmtId="0" fontId="0" fillId="0" borderId="17" xfId="0" applyFill="1" applyBorder="1" applyAlignment="1">
      <alignment vertical="center" wrapText="1"/>
    </xf>
    <xf numFmtId="42" fontId="0" fillId="0" borderId="1" xfId="1" applyFont="1" applyFill="1" applyBorder="1" applyAlignment="1">
      <alignment vertical="center" wrapText="1"/>
    </xf>
    <xf numFmtId="42" fontId="0" fillId="0" borderId="0" xfId="0" applyNumberFormat="1" applyFill="1" applyAlignment="1">
      <alignment vertical="center" wrapText="1"/>
    </xf>
    <xf numFmtId="42" fontId="1" fillId="0" borderId="49" xfId="1" applyNumberFormat="1" applyFont="1" applyFill="1" applyBorder="1" applyAlignment="1">
      <alignment vertical="center" wrapText="1"/>
    </xf>
    <xf numFmtId="0" fontId="0" fillId="0" borderId="29" xfId="0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42" fontId="0" fillId="0" borderId="27" xfId="1" applyFont="1" applyFill="1" applyBorder="1" applyAlignment="1">
      <alignment vertical="center" wrapText="1"/>
    </xf>
    <xf numFmtId="0" fontId="0" fillId="0" borderId="29" xfId="0" applyFont="1" applyFill="1" applyBorder="1" applyAlignment="1">
      <alignment vertical="center" wrapText="1"/>
    </xf>
    <xf numFmtId="0" fontId="0" fillId="0" borderId="27" xfId="0" applyFont="1" applyFill="1" applyBorder="1" applyAlignment="1">
      <alignment vertical="center" wrapText="1"/>
    </xf>
    <xf numFmtId="42" fontId="1" fillId="0" borderId="27" xfId="1" applyFont="1" applyFill="1" applyBorder="1" applyAlignment="1">
      <alignment vertical="center" wrapText="1"/>
    </xf>
    <xf numFmtId="42" fontId="1" fillId="0" borderId="50" xfId="1" applyNumberFormat="1" applyFont="1" applyFill="1" applyBorder="1" applyAlignment="1">
      <alignment vertical="center" wrapText="1"/>
    </xf>
    <xf numFmtId="42" fontId="0" fillId="0" borderId="19" xfId="0" applyNumberFormat="1" applyFont="1" applyFill="1" applyBorder="1" applyAlignment="1">
      <alignment vertical="center" wrapText="1"/>
    </xf>
    <xf numFmtId="42" fontId="0" fillId="0" borderId="43" xfId="0" applyNumberFormat="1" applyFont="1" applyFill="1" applyBorder="1" applyAlignment="1">
      <alignment vertical="center" wrapText="1"/>
    </xf>
    <xf numFmtId="42" fontId="0" fillId="0" borderId="48" xfId="1" applyNumberFormat="1" applyFont="1" applyFill="1" applyBorder="1" applyAlignment="1">
      <alignment vertical="center" wrapText="1"/>
    </xf>
    <xf numFmtId="42" fontId="0" fillId="0" borderId="56" xfId="0" applyNumberFormat="1" applyFill="1" applyBorder="1" applyAlignment="1">
      <alignment vertical="center" wrapText="1"/>
    </xf>
    <xf numFmtId="42" fontId="0" fillId="0" borderId="49" xfId="1" applyNumberFormat="1" applyFont="1" applyFill="1" applyBorder="1" applyAlignment="1">
      <alignment vertical="center" wrapText="1"/>
    </xf>
    <xf numFmtId="42" fontId="0" fillId="0" borderId="42" xfId="0" applyNumberFormat="1" applyFill="1" applyBorder="1" applyAlignment="1">
      <alignment vertical="center" wrapText="1"/>
    </xf>
    <xf numFmtId="0" fontId="0" fillId="0" borderId="39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42" fontId="0" fillId="0" borderId="6" xfId="1" applyFont="1" applyFill="1" applyBorder="1" applyAlignment="1">
      <alignment vertical="center" wrapText="1"/>
    </xf>
    <xf numFmtId="42" fontId="0" fillId="0" borderId="54" xfId="1" applyNumberFormat="1" applyFont="1" applyFill="1" applyBorder="1" applyAlignment="1">
      <alignment vertical="center" wrapText="1"/>
    </xf>
    <xf numFmtId="42" fontId="0" fillId="0" borderId="43" xfId="0" applyNumberFormat="1" applyFill="1" applyBorder="1" applyAlignment="1">
      <alignment vertical="center" wrapText="1"/>
    </xf>
    <xf numFmtId="42" fontId="14" fillId="0" borderId="53" xfId="0" applyNumberFormat="1" applyFont="1" applyFill="1" applyBorder="1" applyAlignment="1">
      <alignment vertical="center" wrapText="1"/>
    </xf>
    <xf numFmtId="42" fontId="0" fillId="0" borderId="0" xfId="1" applyFont="1" applyFill="1" applyAlignment="1">
      <alignment vertical="center" wrapText="1"/>
    </xf>
    <xf numFmtId="42" fontId="0" fillId="0" borderId="0" xfId="1" applyNumberFormat="1" applyFont="1" applyFill="1" applyAlignment="1">
      <alignment vertical="center" wrapText="1"/>
    </xf>
    <xf numFmtId="9" fontId="8" fillId="0" borderId="0" xfId="0" applyNumberFormat="1" applyFont="1" applyFill="1" applyAlignment="1">
      <alignment vertical="center" wrapText="1"/>
    </xf>
    <xf numFmtId="42" fontId="0" fillId="0" borderId="48" xfId="1" applyFont="1" applyFill="1" applyBorder="1" applyAlignment="1">
      <alignment vertical="center" wrapText="1"/>
    </xf>
    <xf numFmtId="42" fontId="0" fillId="0" borderId="49" xfId="1" applyFont="1" applyFill="1" applyBorder="1" applyAlignment="1">
      <alignment vertical="center" wrapText="1"/>
    </xf>
    <xf numFmtId="42" fontId="0" fillId="0" borderId="50" xfId="1" applyFont="1" applyFill="1" applyBorder="1" applyAlignment="1">
      <alignment vertical="center" wrapText="1"/>
    </xf>
    <xf numFmtId="0" fontId="0" fillId="0" borderId="42" xfId="0" applyFill="1" applyBorder="1" applyAlignment="1">
      <alignment vertical="center" wrapText="1"/>
    </xf>
    <xf numFmtId="0" fontId="0" fillId="0" borderId="55" xfId="0" applyFill="1" applyBorder="1" applyAlignment="1">
      <alignment vertical="center" wrapText="1"/>
    </xf>
    <xf numFmtId="42" fontId="0" fillId="0" borderId="44" xfId="0" applyNumberFormat="1" applyFill="1" applyBorder="1" applyAlignment="1">
      <alignment vertical="center" wrapText="1"/>
    </xf>
    <xf numFmtId="42" fontId="0" fillId="0" borderId="40" xfId="0" applyNumberFormat="1" applyFill="1" applyBorder="1" applyAlignment="1">
      <alignment vertical="center" wrapText="1"/>
    </xf>
    <xf numFmtId="42" fontId="0" fillId="0" borderId="19" xfId="0" applyNumberFormat="1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42" fontId="0" fillId="0" borderId="54" xfId="1" applyFont="1" applyFill="1" applyBorder="1" applyAlignment="1">
      <alignment vertical="center" wrapText="1"/>
    </xf>
    <xf numFmtId="42" fontId="14" fillId="0" borderId="2" xfId="0" applyNumberFormat="1" applyFont="1" applyFill="1" applyBorder="1" applyAlignment="1">
      <alignment vertical="center" wrapText="1"/>
    </xf>
    <xf numFmtId="0" fontId="0" fillId="0" borderId="40" xfId="0" applyFont="1" applyFill="1" applyBorder="1" applyAlignment="1">
      <alignment horizontal="center" vertical="center" wrapText="1"/>
    </xf>
    <xf numFmtId="44" fontId="0" fillId="0" borderId="0" xfId="0" applyNumberFormat="1"/>
    <xf numFmtId="42" fontId="0" fillId="0" borderId="40" xfId="1" applyFont="1" applyFill="1" applyBorder="1" applyAlignment="1">
      <alignment vertical="center" wrapText="1"/>
    </xf>
    <xf numFmtId="42" fontId="0" fillId="0" borderId="19" xfId="1" applyFont="1" applyFill="1" applyBorder="1" applyAlignment="1">
      <alignment vertical="center" wrapText="1"/>
    </xf>
    <xf numFmtId="42" fontId="0" fillId="10" borderId="1" xfId="1" applyFont="1" applyFill="1" applyBorder="1" applyAlignment="1">
      <alignment vertical="center" wrapText="1"/>
    </xf>
    <xf numFmtId="10" fontId="0" fillId="10" borderId="1" xfId="0" applyNumberFormat="1" applyFill="1" applyBorder="1" applyAlignment="1">
      <alignment vertical="center" wrapText="1"/>
    </xf>
    <xf numFmtId="42" fontId="0" fillId="10" borderId="17" xfId="1" applyFont="1" applyFill="1" applyBorder="1" applyAlignment="1">
      <alignment vertical="center" wrapText="1"/>
    </xf>
    <xf numFmtId="10" fontId="0" fillId="11" borderId="17" xfId="0" applyNumberFormat="1" applyFill="1" applyBorder="1" applyAlignment="1">
      <alignment vertical="center" wrapText="1"/>
    </xf>
    <xf numFmtId="0" fontId="2" fillId="11" borderId="44" xfId="0" applyFont="1" applyFill="1" applyBorder="1" applyAlignment="1">
      <alignment vertical="center" wrapText="1"/>
    </xf>
    <xf numFmtId="0" fontId="2" fillId="10" borderId="40" xfId="0" applyFont="1" applyFill="1" applyBorder="1" applyAlignment="1">
      <alignment vertical="center" wrapText="1"/>
    </xf>
    <xf numFmtId="42" fontId="0" fillId="11" borderId="65" xfId="1" applyFont="1" applyFill="1" applyBorder="1" applyAlignment="1">
      <alignment vertical="center" wrapText="1"/>
    </xf>
    <xf numFmtId="0" fontId="2" fillId="12" borderId="19" xfId="0" applyFont="1" applyFill="1" applyBorder="1" applyAlignment="1">
      <alignment vertical="center" wrapText="1"/>
    </xf>
    <xf numFmtId="42" fontId="0" fillId="12" borderId="39" xfId="1" applyFont="1" applyFill="1" applyBorder="1" applyAlignment="1">
      <alignment vertical="center" wrapText="1"/>
    </xf>
    <xf numFmtId="10" fontId="0" fillId="11" borderId="65" xfId="0" applyNumberFormat="1" applyFill="1" applyBorder="1" applyAlignment="1">
      <alignment vertical="center" wrapText="1"/>
    </xf>
    <xf numFmtId="10" fontId="0" fillId="10" borderId="51" xfId="0" applyNumberFormat="1" applyFill="1" applyBorder="1" applyAlignment="1">
      <alignment vertical="center" wrapText="1"/>
    </xf>
    <xf numFmtId="10" fontId="0" fillId="12" borderId="52" xfId="0" applyNumberFormat="1" applyFill="1" applyBorder="1" applyAlignment="1">
      <alignment vertical="center" wrapText="1"/>
    </xf>
    <xf numFmtId="10" fontId="0" fillId="12" borderId="4" xfId="0" applyNumberFormat="1" applyFill="1" applyBorder="1" applyAlignment="1">
      <alignment vertical="center" wrapText="1"/>
    </xf>
    <xf numFmtId="10" fontId="0" fillId="11" borderId="39" xfId="0" applyNumberFormat="1" applyFill="1" applyBorder="1" applyAlignment="1">
      <alignment vertical="center" wrapText="1"/>
    </xf>
    <xf numFmtId="10" fontId="0" fillId="10" borderId="6" xfId="0" applyNumberFormat="1" applyFill="1" applyBorder="1" applyAlignment="1">
      <alignment vertical="center" wrapText="1"/>
    </xf>
    <xf numFmtId="10" fontId="0" fillId="12" borderId="7" xfId="0" applyNumberFormat="1" applyFill="1" applyBorder="1" applyAlignment="1">
      <alignment vertical="center" wrapText="1"/>
    </xf>
    <xf numFmtId="42" fontId="0" fillId="11" borderId="51" xfId="1" applyFont="1" applyFill="1" applyBorder="1" applyAlignment="1">
      <alignment vertical="center" wrapText="1"/>
    </xf>
    <xf numFmtId="42" fontId="0" fillId="12" borderId="6" xfId="1" applyFont="1" applyFill="1" applyBorder="1" applyAlignment="1">
      <alignment vertical="center" wrapText="1"/>
    </xf>
    <xf numFmtId="42" fontId="8" fillId="0" borderId="0" xfId="0" applyNumberFormat="1" applyFont="1" applyFill="1"/>
    <xf numFmtId="44" fontId="1" fillId="0" borderId="1" xfId="2" applyFont="1" applyFill="1" applyBorder="1"/>
    <xf numFmtId="44" fontId="0" fillId="0" borderId="4" xfId="0" applyNumberFormat="1" applyFont="1" applyFill="1" applyBorder="1"/>
    <xf numFmtId="0" fontId="0" fillId="0" borderId="40" xfId="0" applyFont="1" applyFill="1" applyBorder="1"/>
    <xf numFmtId="42" fontId="0" fillId="0" borderId="9" xfId="1" applyNumberFormat="1" applyFont="1" applyFill="1" applyBorder="1"/>
    <xf numFmtId="42" fontId="2" fillId="0" borderId="2" xfId="0" applyNumberFormat="1" applyFont="1" applyFill="1" applyBorder="1"/>
    <xf numFmtId="42" fontId="2" fillId="0" borderId="53" xfId="0" applyNumberFormat="1" applyFont="1" applyFill="1" applyBorder="1"/>
    <xf numFmtId="42" fontId="5" fillId="0" borderId="10" xfId="0" applyNumberFormat="1" applyFont="1" applyFill="1" applyBorder="1"/>
    <xf numFmtId="42" fontId="5" fillId="0" borderId="4" xfId="0" applyNumberFormat="1" applyFont="1" applyFill="1" applyBorder="1"/>
    <xf numFmtId="9" fontId="0" fillId="0" borderId="0" xfId="3" applyFont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9" fontId="0" fillId="0" borderId="31" xfId="0" applyNumberFormat="1" applyBorder="1" applyAlignment="1">
      <alignment horizontal="center" vertical="center" wrapText="1"/>
    </xf>
    <xf numFmtId="9" fontId="0" fillId="0" borderId="32" xfId="0" applyNumberFormat="1" applyBorder="1" applyAlignment="1">
      <alignment horizontal="center" vertical="center" wrapText="1"/>
    </xf>
    <xf numFmtId="9" fontId="0" fillId="0" borderId="15" xfId="0" applyNumberForma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4" fillId="0" borderId="45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0" fontId="14" fillId="0" borderId="53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13" borderId="59" xfId="0" applyFont="1" applyFill="1" applyBorder="1" applyAlignment="1">
      <alignment horizontal="center" vertical="center" wrapText="1"/>
    </xf>
    <xf numFmtId="0" fontId="2" fillId="13" borderId="57" xfId="0" applyFont="1" applyFill="1" applyBorder="1" applyAlignment="1">
      <alignment horizontal="center" vertical="center" wrapText="1"/>
    </xf>
    <xf numFmtId="0" fontId="2" fillId="13" borderId="58" xfId="0" applyFont="1" applyFill="1" applyBorder="1" applyAlignment="1">
      <alignment horizontal="center" vertical="center" wrapText="1"/>
    </xf>
    <xf numFmtId="0" fontId="14" fillId="0" borderId="62" xfId="0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center" vertical="center" wrapText="1"/>
    </xf>
    <xf numFmtId="0" fontId="14" fillId="0" borderId="63" xfId="0" applyFont="1" applyFill="1" applyBorder="1" applyAlignment="1">
      <alignment horizontal="center" vertical="center" wrapText="1"/>
    </xf>
    <xf numFmtId="0" fontId="14" fillId="0" borderId="59" xfId="0" applyFont="1" applyFill="1" applyBorder="1" applyAlignment="1">
      <alignment horizontal="center" vertical="center" wrapText="1"/>
    </xf>
    <xf numFmtId="0" fontId="14" fillId="0" borderId="57" xfId="0" applyFont="1" applyFill="1" applyBorder="1" applyAlignment="1">
      <alignment horizontal="center" vertical="center" wrapText="1"/>
    </xf>
    <xf numFmtId="0" fontId="14" fillId="0" borderId="58" xfId="0" applyFont="1" applyFill="1" applyBorder="1" applyAlignment="1">
      <alignment horizontal="center" vertical="center" wrapText="1"/>
    </xf>
    <xf numFmtId="42" fontId="14" fillId="0" borderId="64" xfId="0" applyNumberFormat="1" applyFont="1" applyFill="1" applyBorder="1" applyAlignment="1">
      <alignment horizontal="center" vertical="center" wrapText="1"/>
    </xf>
    <xf numFmtId="42" fontId="14" fillId="0" borderId="25" xfId="0" applyNumberFormat="1" applyFont="1" applyFill="1" applyBorder="1" applyAlignment="1">
      <alignment horizontal="center" vertical="center" wrapText="1"/>
    </xf>
    <xf numFmtId="42" fontId="14" fillId="0" borderId="63" xfId="0" applyNumberFormat="1" applyFont="1" applyFill="1" applyBorder="1" applyAlignment="1">
      <alignment horizontal="center" vertical="center" wrapText="1"/>
    </xf>
    <xf numFmtId="42" fontId="14" fillId="0" borderId="58" xfId="0" applyNumberFormat="1" applyFont="1" applyFill="1" applyBorder="1" applyAlignment="1">
      <alignment horizontal="center" vertical="center" wrapText="1"/>
    </xf>
    <xf numFmtId="0" fontId="2" fillId="13" borderId="45" xfId="0" applyFont="1" applyFill="1" applyBorder="1" applyAlignment="1">
      <alignment horizontal="center" vertical="center" wrapText="1"/>
    </xf>
    <xf numFmtId="0" fontId="2" fillId="13" borderId="32" xfId="0" applyFont="1" applyFill="1" applyBorder="1" applyAlignment="1">
      <alignment horizontal="center" vertical="center" wrapText="1"/>
    </xf>
    <xf numFmtId="0" fontId="2" fillId="13" borderId="53" xfId="0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4" fillId="0" borderId="5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49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4" fontId="0" fillId="0" borderId="28" xfId="2" applyFont="1" applyBorder="1" applyAlignment="1">
      <alignment horizontal="center" vertical="center" wrapText="1"/>
    </xf>
    <xf numFmtId="44" fontId="0" fillId="0" borderId="10" xfId="2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44" fontId="2" fillId="0" borderId="28" xfId="2" applyFont="1" applyBorder="1" applyAlignment="1">
      <alignment horizontal="center" vertical="center" wrapText="1"/>
    </xf>
    <xf numFmtId="44" fontId="2" fillId="0" borderId="47" xfId="2" applyFont="1" applyBorder="1" applyAlignment="1">
      <alignment horizontal="center" vertical="center" wrapText="1"/>
    </xf>
    <xf numFmtId="0" fontId="14" fillId="4" borderId="3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48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8" borderId="33" xfId="0" applyFont="1" applyFill="1" applyBorder="1" applyAlignment="1">
      <alignment horizontal="left" vertical="center" wrapText="1" indent="1"/>
    </xf>
    <xf numFmtId="0" fontId="9" fillId="8" borderId="34" xfId="0" applyFont="1" applyFill="1" applyBorder="1" applyAlignment="1">
      <alignment horizontal="left" vertical="center" wrapText="1" indent="1"/>
    </xf>
    <xf numFmtId="0" fontId="13" fillId="7" borderId="37" xfId="0" applyFont="1" applyFill="1" applyBorder="1" applyAlignment="1">
      <alignment horizontal="left" vertical="center" wrapText="1" indent="1"/>
    </xf>
    <xf numFmtId="0" fontId="13" fillId="7" borderId="38" xfId="0" applyFont="1" applyFill="1" applyBorder="1" applyAlignment="1">
      <alignment horizontal="left" vertical="center" wrapText="1" indent="1"/>
    </xf>
  </cellXfs>
  <cellStyles count="4">
    <cellStyle name="Moneda" xfId="2" builtinId="4"/>
    <cellStyle name="Moneda [0]" xfId="1" builtinId="7"/>
    <cellStyle name="Normal" xfId="0" builtinId="0"/>
    <cellStyle name="Porcentaje" xfId="3" builtinId="5"/>
  </cellStyles>
  <dxfs count="3">
    <dxf>
      <font>
        <color rgb="FF00B050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GUSTO/Downloads/Exportaciones%20de%20Aguacate%20por%20pa&#237;s%20de%20destino%20-%202014%20a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etalle"/>
    </sheetNames>
    <sheetDataSet>
      <sheetData sheetId="0"/>
      <sheetData sheetId="1">
        <row r="42">
          <cell r="M42">
            <v>2105.6356110160632</v>
          </cell>
          <cell r="P42">
            <v>1699.7094442236814</v>
          </cell>
          <cell r="S42">
            <v>1841.6019186838887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8"/>
  <sheetViews>
    <sheetView tabSelected="1" topLeftCell="A52" workbookViewId="0">
      <selection activeCell="E77" sqref="E77"/>
    </sheetView>
  </sheetViews>
  <sheetFormatPr baseColWidth="10" defaultColWidth="11" defaultRowHeight="15"/>
  <cols>
    <col min="1" max="1" width="19.28515625" style="1" bestFit="1" customWidth="1"/>
    <col min="2" max="2" width="26.85546875" style="1" bestFit="1" customWidth="1"/>
    <col min="3" max="3" width="15.28515625" style="1" bestFit="1" customWidth="1"/>
    <col min="4" max="4" width="25.7109375" style="1" bestFit="1" customWidth="1"/>
    <col min="5" max="5" width="14.140625" style="1" bestFit="1" customWidth="1"/>
    <col min="6" max="6" width="15.28515625" style="1" bestFit="1" customWidth="1"/>
    <col min="7" max="7" width="21.7109375" style="1" bestFit="1" customWidth="1"/>
    <col min="8" max="8" width="14.140625" style="1" bestFit="1" customWidth="1"/>
    <col min="9" max="9" width="26.85546875" style="1" bestFit="1" customWidth="1"/>
    <col min="10" max="10" width="14.140625" style="1" bestFit="1" customWidth="1"/>
    <col min="11" max="11" width="18.28515625" style="1" bestFit="1" customWidth="1"/>
    <col min="12" max="12" width="14.140625" style="1" bestFit="1" customWidth="1"/>
    <col min="13" max="13" width="13.42578125" style="1" bestFit="1" customWidth="1"/>
    <col min="14" max="15" width="15.28515625" style="1" bestFit="1" customWidth="1"/>
    <col min="16" max="16" width="13" style="1" bestFit="1" customWidth="1"/>
    <col min="17" max="18" width="15.28515625" style="1" bestFit="1" customWidth="1"/>
    <col min="19" max="25" width="17.140625" style="1" bestFit="1" customWidth="1"/>
    <col min="26" max="16384" width="11" style="1"/>
  </cols>
  <sheetData>
    <row r="1" spans="2:14" ht="15.75" thickBot="1">
      <c r="B1" s="141" t="s">
        <v>35</v>
      </c>
      <c r="C1" s="142" t="s">
        <v>16</v>
      </c>
      <c r="D1" s="142" t="s">
        <v>17</v>
      </c>
      <c r="E1" s="142" t="s">
        <v>18</v>
      </c>
      <c r="F1" s="142" t="s">
        <v>19</v>
      </c>
      <c r="G1" s="142" t="s">
        <v>20</v>
      </c>
      <c r="H1" s="142" t="s">
        <v>92</v>
      </c>
      <c r="I1" s="143" t="s">
        <v>93</v>
      </c>
      <c r="J1"/>
      <c r="K1"/>
      <c r="L1"/>
      <c r="M1"/>
      <c r="N1"/>
    </row>
    <row r="2" spans="2:14" ht="15.75" thickBot="1">
      <c r="B2" s="271" t="s">
        <v>88</v>
      </c>
      <c r="C2" s="272"/>
      <c r="D2" s="272"/>
      <c r="E2" s="272"/>
      <c r="F2" s="272"/>
      <c r="G2" s="272"/>
      <c r="H2" s="272"/>
      <c r="I2" s="273"/>
      <c r="J2"/>
      <c r="K2"/>
      <c r="L2"/>
      <c r="M2"/>
      <c r="N2"/>
    </row>
    <row r="3" spans="2:14" ht="30">
      <c r="B3" s="151" t="s">
        <v>15</v>
      </c>
      <c r="C3" s="149" t="s">
        <v>26</v>
      </c>
      <c r="D3" s="124">
        <v>24</v>
      </c>
      <c r="E3" s="124">
        <v>1</v>
      </c>
      <c r="F3" s="125">
        <v>3500000</v>
      </c>
      <c r="G3" s="125">
        <f t="shared" ref="G3:G14" si="0">F3*E3*D3</f>
        <v>84000000</v>
      </c>
      <c r="H3" s="126">
        <f>G3/2</f>
        <v>42000000</v>
      </c>
      <c r="I3" s="248">
        <f>G3/2</f>
        <v>42000000</v>
      </c>
      <c r="J3" s="2"/>
      <c r="K3" s="2"/>
      <c r="L3"/>
      <c r="M3"/>
      <c r="N3"/>
    </row>
    <row r="4" spans="2:14">
      <c r="B4" s="154" t="s">
        <v>72</v>
      </c>
      <c r="C4" s="150" t="s">
        <v>26</v>
      </c>
      <c r="D4" s="117">
        <v>24</v>
      </c>
      <c r="E4" s="117">
        <v>2</v>
      </c>
      <c r="F4" s="119">
        <v>3000000</v>
      </c>
      <c r="G4" s="119">
        <f t="shared" si="0"/>
        <v>144000000</v>
      </c>
      <c r="H4" s="120">
        <f>G4/2</f>
        <v>72000000</v>
      </c>
      <c r="I4" s="249">
        <f>G4/2</f>
        <v>72000000</v>
      </c>
      <c r="J4" s="2"/>
      <c r="K4" s="2"/>
      <c r="L4"/>
      <c r="M4"/>
      <c r="N4"/>
    </row>
    <row r="5" spans="2:14" ht="30">
      <c r="B5" s="152" t="s">
        <v>30</v>
      </c>
      <c r="C5" s="150" t="s">
        <v>28</v>
      </c>
      <c r="D5" s="117">
        <v>24</v>
      </c>
      <c r="E5" s="117">
        <v>5</v>
      </c>
      <c r="F5" s="119">
        <v>500000</v>
      </c>
      <c r="G5" s="119">
        <f t="shared" si="0"/>
        <v>60000000</v>
      </c>
      <c r="H5" s="120">
        <f>G5/2</f>
        <v>30000000</v>
      </c>
      <c r="I5" s="249">
        <f>G5/2</f>
        <v>30000000</v>
      </c>
      <c r="J5"/>
      <c r="K5"/>
      <c r="L5"/>
      <c r="M5"/>
      <c r="N5"/>
    </row>
    <row r="6" spans="2:14">
      <c r="B6" s="152" t="s">
        <v>14</v>
      </c>
      <c r="C6" s="150" t="s">
        <v>26</v>
      </c>
      <c r="D6" s="117">
        <v>24</v>
      </c>
      <c r="E6" s="117">
        <v>1</v>
      </c>
      <c r="F6" s="119">
        <v>3000000</v>
      </c>
      <c r="G6" s="119">
        <f t="shared" si="0"/>
        <v>72000000</v>
      </c>
      <c r="H6" s="120">
        <f>G6/2</f>
        <v>36000000</v>
      </c>
      <c r="I6" s="249">
        <f>G6/2</f>
        <v>36000000</v>
      </c>
      <c r="J6"/>
      <c r="K6"/>
      <c r="L6"/>
      <c r="M6"/>
      <c r="N6"/>
    </row>
    <row r="7" spans="2:14">
      <c r="B7" s="152" t="s">
        <v>31</v>
      </c>
      <c r="C7" s="150" t="s">
        <v>28</v>
      </c>
      <c r="D7" s="117">
        <v>24</v>
      </c>
      <c r="E7" s="117">
        <v>1</v>
      </c>
      <c r="F7" s="119">
        <v>500000</v>
      </c>
      <c r="G7" s="121">
        <f t="shared" si="0"/>
        <v>12000000</v>
      </c>
      <c r="H7" s="120">
        <f>G7/2</f>
        <v>6000000</v>
      </c>
      <c r="I7" s="249">
        <f>G7/2</f>
        <v>6000000</v>
      </c>
      <c r="J7"/>
      <c r="K7"/>
      <c r="L7"/>
      <c r="M7"/>
      <c r="N7"/>
    </row>
    <row r="8" spans="2:14">
      <c r="B8" s="152" t="s">
        <v>11</v>
      </c>
      <c r="C8" s="150" t="s">
        <v>26</v>
      </c>
      <c r="D8" s="117">
        <v>22</v>
      </c>
      <c r="E8" s="117">
        <v>2</v>
      </c>
      <c r="F8" s="119">
        <v>2700000</v>
      </c>
      <c r="G8" s="119">
        <f t="shared" si="0"/>
        <v>118800000</v>
      </c>
      <c r="H8" s="120">
        <f>F8*20</f>
        <v>54000000</v>
      </c>
      <c r="I8" s="249">
        <f>F8*24</f>
        <v>64800000</v>
      </c>
      <c r="J8"/>
      <c r="K8"/>
      <c r="L8"/>
      <c r="M8"/>
      <c r="N8"/>
    </row>
    <row r="9" spans="2:14">
      <c r="B9" s="152" t="s">
        <v>32</v>
      </c>
      <c r="C9" s="150" t="s">
        <v>28</v>
      </c>
      <c r="D9" s="117">
        <v>22</v>
      </c>
      <c r="E9" s="117">
        <v>2</v>
      </c>
      <c r="F9" s="119">
        <v>500000</v>
      </c>
      <c r="G9" s="119">
        <f t="shared" si="0"/>
        <v>22000000</v>
      </c>
      <c r="H9" s="120">
        <f>F9*20</f>
        <v>10000000</v>
      </c>
      <c r="I9" s="249">
        <f>F9*24</f>
        <v>12000000</v>
      </c>
      <c r="J9"/>
      <c r="K9"/>
      <c r="L9"/>
      <c r="M9"/>
      <c r="N9"/>
    </row>
    <row r="10" spans="2:14">
      <c r="B10" s="152" t="s">
        <v>13</v>
      </c>
      <c r="C10" s="150" t="s">
        <v>26</v>
      </c>
      <c r="D10" s="117">
        <v>22</v>
      </c>
      <c r="E10" s="117">
        <v>4</v>
      </c>
      <c r="F10" s="119">
        <v>1500000</v>
      </c>
      <c r="G10" s="119">
        <f t="shared" si="0"/>
        <v>132000000</v>
      </c>
      <c r="H10" s="120">
        <f>F10*40</f>
        <v>60000000</v>
      </c>
      <c r="I10" s="249">
        <f>F10*48</f>
        <v>72000000</v>
      </c>
      <c r="J10"/>
      <c r="K10"/>
      <c r="L10"/>
      <c r="M10"/>
      <c r="N10"/>
    </row>
    <row r="11" spans="2:14">
      <c r="B11" s="152" t="s">
        <v>27</v>
      </c>
      <c r="C11" s="150" t="s">
        <v>28</v>
      </c>
      <c r="D11" s="117">
        <v>22</v>
      </c>
      <c r="E11" s="117">
        <v>4</v>
      </c>
      <c r="F11" s="119">
        <v>500000</v>
      </c>
      <c r="G11" s="119">
        <f t="shared" si="0"/>
        <v>44000000</v>
      </c>
      <c r="H11" s="120">
        <f>F11*40</f>
        <v>20000000</v>
      </c>
      <c r="I11" s="249">
        <f>F11*48</f>
        <v>24000000</v>
      </c>
      <c r="J11"/>
      <c r="K11"/>
      <c r="L11"/>
      <c r="M11"/>
      <c r="N11"/>
    </row>
    <row r="12" spans="2:14">
      <c r="B12" s="152" t="s">
        <v>50</v>
      </c>
      <c r="C12" s="150" t="s">
        <v>51</v>
      </c>
      <c r="D12" s="117">
        <v>12</v>
      </c>
      <c r="E12" s="117">
        <v>10</v>
      </c>
      <c r="F12" s="119">
        <v>850000</v>
      </c>
      <c r="G12" s="121">
        <f t="shared" si="0"/>
        <v>102000000</v>
      </c>
      <c r="H12" s="117"/>
      <c r="I12" s="249">
        <f>G12</f>
        <v>102000000</v>
      </c>
      <c r="J12"/>
      <c r="K12"/>
      <c r="L12"/>
      <c r="M12"/>
      <c r="N12"/>
    </row>
    <row r="13" spans="2:14">
      <c r="B13" s="152" t="s">
        <v>12</v>
      </c>
      <c r="C13" s="150" t="s">
        <v>26</v>
      </c>
      <c r="D13" s="117">
        <v>12</v>
      </c>
      <c r="E13" s="117">
        <v>2</v>
      </c>
      <c r="F13" s="119">
        <v>500000</v>
      </c>
      <c r="G13" s="119">
        <f t="shared" si="0"/>
        <v>12000000</v>
      </c>
      <c r="H13" s="120">
        <f>G13</f>
        <v>12000000</v>
      </c>
      <c r="I13" s="123"/>
      <c r="J13"/>
      <c r="K13"/>
      <c r="L13"/>
      <c r="M13"/>
      <c r="N13"/>
    </row>
    <row r="14" spans="2:14" ht="15.75" thickBot="1">
      <c r="B14" s="155" t="s">
        <v>29</v>
      </c>
      <c r="C14" s="156" t="s">
        <v>28</v>
      </c>
      <c r="D14" s="130">
        <v>12</v>
      </c>
      <c r="E14" s="130">
        <v>2</v>
      </c>
      <c r="F14" s="131">
        <v>120000</v>
      </c>
      <c r="G14" s="131">
        <f t="shared" si="0"/>
        <v>2880000</v>
      </c>
      <c r="H14" s="133">
        <f>G14</f>
        <v>2880000</v>
      </c>
      <c r="I14" s="129"/>
      <c r="J14"/>
      <c r="K14"/>
      <c r="L14"/>
      <c r="M14"/>
      <c r="N14"/>
    </row>
    <row r="15" spans="2:14" ht="15.75" thickBot="1">
      <c r="B15" s="274" t="s">
        <v>89</v>
      </c>
      <c r="C15" s="275"/>
      <c r="D15" s="275"/>
      <c r="E15" s="275"/>
      <c r="F15" s="275"/>
      <c r="G15" s="275"/>
      <c r="H15" s="275"/>
      <c r="I15" s="276"/>
      <c r="J15"/>
      <c r="K15"/>
      <c r="L15"/>
      <c r="M15"/>
      <c r="N15"/>
    </row>
    <row r="16" spans="2:14">
      <c r="B16" s="146" t="s">
        <v>62</v>
      </c>
      <c r="C16" s="144"/>
      <c r="D16" s="135">
        <v>1</v>
      </c>
      <c r="E16" s="135">
        <v>1</v>
      </c>
      <c r="F16" s="136">
        <v>750000000</v>
      </c>
      <c r="G16" s="137">
        <f t="shared" ref="G16:G31" si="1">F16*E16*D16</f>
        <v>750000000</v>
      </c>
      <c r="H16" s="135"/>
      <c r="I16" s="138">
        <f>G16</f>
        <v>750000000</v>
      </c>
      <c r="J16"/>
      <c r="K16"/>
      <c r="L16"/>
      <c r="M16"/>
      <c r="N16"/>
    </row>
    <row r="17" spans="2:14">
      <c r="B17" s="244" t="s">
        <v>171</v>
      </c>
      <c r="C17" s="145" t="s">
        <v>172</v>
      </c>
      <c r="D17" s="139">
        <v>1</v>
      </c>
      <c r="E17" s="139">
        <v>6000</v>
      </c>
      <c r="F17" s="140">
        <v>15000</v>
      </c>
      <c r="G17" s="242">
        <f t="shared" si="1"/>
        <v>90000000</v>
      </c>
      <c r="H17" s="139"/>
      <c r="I17" s="243">
        <f>G17</f>
        <v>90000000</v>
      </c>
      <c r="J17"/>
      <c r="K17"/>
      <c r="L17"/>
      <c r="M17"/>
      <c r="N17"/>
    </row>
    <row r="18" spans="2:14" ht="45">
      <c r="B18" s="152" t="s">
        <v>5</v>
      </c>
      <c r="C18" s="150" t="s">
        <v>23</v>
      </c>
      <c r="D18" s="117">
        <v>1</v>
      </c>
      <c r="E18" s="117">
        <v>21</v>
      </c>
      <c r="F18" s="119">
        <v>1500000</v>
      </c>
      <c r="G18" s="119">
        <f t="shared" si="1"/>
        <v>31500000</v>
      </c>
      <c r="H18" s="120">
        <f>G18/2</f>
        <v>15750000</v>
      </c>
      <c r="I18" s="122">
        <f>G18/2</f>
        <v>15750000</v>
      </c>
      <c r="J18" s="2">
        <f>(SUM(H17:H31)-H20)/2</f>
        <v>26306250</v>
      </c>
      <c r="K18" s="2">
        <f>(SUM(I17:I31)-I20)/2</f>
        <v>70843750</v>
      </c>
      <c r="L18"/>
      <c r="M18"/>
      <c r="N18"/>
    </row>
    <row r="19" spans="2:14">
      <c r="B19" s="152" t="s">
        <v>6</v>
      </c>
      <c r="C19" s="150" t="s">
        <v>23</v>
      </c>
      <c r="D19" s="117">
        <v>1</v>
      </c>
      <c r="E19" s="117">
        <v>10</v>
      </c>
      <c r="F19" s="119">
        <v>1500000</v>
      </c>
      <c r="G19" s="119">
        <f t="shared" si="1"/>
        <v>15000000</v>
      </c>
      <c r="H19" s="120"/>
      <c r="I19" s="122">
        <f>G19</f>
        <v>15000000</v>
      </c>
      <c r="J19" s="2"/>
      <c r="K19" s="2"/>
      <c r="L19"/>
      <c r="M19"/>
      <c r="N19"/>
    </row>
    <row r="20" spans="2:14">
      <c r="B20" s="152" t="s">
        <v>22</v>
      </c>
      <c r="C20" s="150" t="s">
        <v>21</v>
      </c>
      <c r="D20" s="117">
        <v>1</v>
      </c>
      <c r="E20" s="117">
        <v>200</v>
      </c>
      <c r="F20" s="119">
        <v>20000</v>
      </c>
      <c r="G20" s="119">
        <f t="shared" si="1"/>
        <v>4000000</v>
      </c>
      <c r="H20" s="120">
        <f t="shared" ref="H20:H29" si="2">G20/2</f>
        <v>2000000</v>
      </c>
      <c r="I20" s="122">
        <f t="shared" ref="I20:I29" si="3">G20/2</f>
        <v>2000000</v>
      </c>
      <c r="J20"/>
      <c r="K20"/>
      <c r="L20"/>
      <c r="M20"/>
      <c r="N20"/>
    </row>
    <row r="21" spans="2:14" ht="30">
      <c r="B21" s="152" t="s">
        <v>36</v>
      </c>
      <c r="C21" s="150" t="s">
        <v>47</v>
      </c>
      <c r="D21" s="117">
        <v>1</v>
      </c>
      <c r="E21" s="117">
        <v>75</v>
      </c>
      <c r="F21" s="119">
        <v>120000</v>
      </c>
      <c r="G21" s="121">
        <f t="shared" si="1"/>
        <v>9000000</v>
      </c>
      <c r="H21" s="120">
        <f t="shared" si="2"/>
        <v>4500000</v>
      </c>
      <c r="I21" s="122">
        <f t="shared" si="3"/>
        <v>4500000</v>
      </c>
      <c r="J21"/>
      <c r="K21"/>
      <c r="L21"/>
      <c r="M21"/>
      <c r="N21"/>
    </row>
    <row r="22" spans="2:14" ht="30">
      <c r="B22" s="152" t="s">
        <v>37</v>
      </c>
      <c r="C22" s="150" t="s">
        <v>47</v>
      </c>
      <c r="D22" s="117">
        <v>1</v>
      </c>
      <c r="E22" s="117">
        <v>600</v>
      </c>
      <c r="F22" s="119">
        <v>20000</v>
      </c>
      <c r="G22" s="121">
        <f t="shared" si="1"/>
        <v>12000000</v>
      </c>
      <c r="H22" s="120">
        <f t="shared" si="2"/>
        <v>6000000</v>
      </c>
      <c r="I22" s="249">
        <f t="shared" si="3"/>
        <v>6000000</v>
      </c>
      <c r="J22"/>
      <c r="K22"/>
      <c r="L22"/>
      <c r="M22"/>
      <c r="N22"/>
    </row>
    <row r="23" spans="2:14">
      <c r="B23" s="152" t="s">
        <v>40</v>
      </c>
      <c r="C23" s="150" t="s">
        <v>48</v>
      </c>
      <c r="D23" s="117">
        <v>1</v>
      </c>
      <c r="E23" s="117">
        <v>150</v>
      </c>
      <c r="F23" s="119">
        <v>15000</v>
      </c>
      <c r="G23" s="121">
        <f t="shared" si="1"/>
        <v>2250000</v>
      </c>
      <c r="H23" s="120">
        <f t="shared" si="2"/>
        <v>1125000</v>
      </c>
      <c r="I23" s="122">
        <f t="shared" si="3"/>
        <v>1125000</v>
      </c>
      <c r="J23"/>
      <c r="K23"/>
      <c r="L23"/>
      <c r="M23"/>
      <c r="N23"/>
    </row>
    <row r="24" spans="2:14">
      <c r="B24" s="152" t="s">
        <v>41</v>
      </c>
      <c r="C24" s="150" t="s">
        <v>48</v>
      </c>
      <c r="D24" s="117">
        <v>1</v>
      </c>
      <c r="E24" s="117">
        <v>75</v>
      </c>
      <c r="F24" s="119">
        <v>25000</v>
      </c>
      <c r="G24" s="121">
        <f t="shared" si="1"/>
        <v>1875000</v>
      </c>
      <c r="H24" s="120">
        <f t="shared" si="2"/>
        <v>937500</v>
      </c>
      <c r="I24" s="122">
        <f t="shared" si="3"/>
        <v>937500</v>
      </c>
      <c r="J24"/>
      <c r="K24"/>
      <c r="L24"/>
      <c r="M24"/>
      <c r="N24"/>
    </row>
    <row r="25" spans="2:14">
      <c r="B25" s="152" t="s">
        <v>38</v>
      </c>
      <c r="C25" s="150" t="s">
        <v>54</v>
      </c>
      <c r="D25" s="117">
        <v>1</v>
      </c>
      <c r="E25" s="117">
        <v>50</v>
      </c>
      <c r="F25" s="119">
        <v>70000</v>
      </c>
      <c r="G25" s="121">
        <f t="shared" si="1"/>
        <v>3500000</v>
      </c>
      <c r="H25" s="120">
        <f t="shared" si="2"/>
        <v>1750000</v>
      </c>
      <c r="I25" s="122">
        <f t="shared" si="3"/>
        <v>1750000</v>
      </c>
      <c r="J25"/>
      <c r="K25"/>
      <c r="L25"/>
      <c r="M25"/>
      <c r="N25"/>
    </row>
    <row r="26" spans="2:14">
      <c r="B26" s="152" t="s">
        <v>39</v>
      </c>
      <c r="C26" s="150" t="s">
        <v>55</v>
      </c>
      <c r="D26" s="117">
        <v>1</v>
      </c>
      <c r="E26" s="117">
        <v>50</v>
      </c>
      <c r="F26" s="119">
        <v>45000</v>
      </c>
      <c r="G26" s="121">
        <f t="shared" si="1"/>
        <v>2250000</v>
      </c>
      <c r="H26" s="120">
        <f t="shared" si="2"/>
        <v>1125000</v>
      </c>
      <c r="I26" s="122">
        <f t="shared" si="3"/>
        <v>1125000</v>
      </c>
      <c r="J26"/>
      <c r="K26"/>
      <c r="L26"/>
      <c r="M26"/>
      <c r="N26"/>
    </row>
    <row r="27" spans="2:14">
      <c r="B27" s="152" t="s">
        <v>42</v>
      </c>
      <c r="C27" s="150" t="s">
        <v>55</v>
      </c>
      <c r="D27" s="117">
        <v>1</v>
      </c>
      <c r="E27" s="117">
        <v>50</v>
      </c>
      <c r="F27" s="119">
        <v>30000</v>
      </c>
      <c r="G27" s="121">
        <f t="shared" si="1"/>
        <v>1500000</v>
      </c>
      <c r="H27" s="120">
        <f t="shared" si="2"/>
        <v>750000</v>
      </c>
      <c r="I27" s="122">
        <f t="shared" si="3"/>
        <v>750000</v>
      </c>
      <c r="J27"/>
      <c r="K27"/>
      <c r="L27"/>
      <c r="M27"/>
      <c r="N27"/>
    </row>
    <row r="28" spans="2:14">
      <c r="B28" s="152" t="s">
        <v>43</v>
      </c>
      <c r="C28" s="150" t="s">
        <v>55</v>
      </c>
      <c r="D28" s="117">
        <v>1</v>
      </c>
      <c r="E28" s="117">
        <v>50</v>
      </c>
      <c r="F28" s="119">
        <v>50000</v>
      </c>
      <c r="G28" s="121">
        <f t="shared" si="1"/>
        <v>2500000</v>
      </c>
      <c r="H28" s="120">
        <f t="shared" si="2"/>
        <v>1250000</v>
      </c>
      <c r="I28" s="122">
        <f t="shared" si="3"/>
        <v>1250000</v>
      </c>
      <c r="J28"/>
      <c r="K28"/>
      <c r="L28"/>
      <c r="M28"/>
      <c r="N28"/>
    </row>
    <row r="29" spans="2:14">
      <c r="B29" s="152" t="s">
        <v>44</v>
      </c>
      <c r="C29" s="150" t="s">
        <v>47</v>
      </c>
      <c r="D29" s="117">
        <v>1</v>
      </c>
      <c r="E29" s="117">
        <v>50</v>
      </c>
      <c r="F29" s="119">
        <v>140000</v>
      </c>
      <c r="G29" s="121">
        <f t="shared" si="1"/>
        <v>7000000</v>
      </c>
      <c r="H29" s="120">
        <f t="shared" si="2"/>
        <v>3500000</v>
      </c>
      <c r="I29" s="122">
        <f t="shared" si="3"/>
        <v>3500000</v>
      </c>
      <c r="J29"/>
      <c r="K29"/>
      <c r="L29"/>
      <c r="M29"/>
      <c r="N29"/>
    </row>
    <row r="30" spans="2:14">
      <c r="B30" s="152" t="s">
        <v>45</v>
      </c>
      <c r="C30" s="150" t="s">
        <v>48</v>
      </c>
      <c r="D30" s="117">
        <v>1</v>
      </c>
      <c r="E30" s="117">
        <v>35</v>
      </c>
      <c r="F30" s="119">
        <v>340000</v>
      </c>
      <c r="G30" s="121">
        <f t="shared" si="1"/>
        <v>11900000</v>
      </c>
      <c r="H30" s="120">
        <f>G30</f>
        <v>11900000</v>
      </c>
      <c r="I30" s="122"/>
      <c r="J30"/>
      <c r="K30"/>
      <c r="L30"/>
      <c r="M30"/>
      <c r="N30"/>
    </row>
    <row r="31" spans="2:14" ht="15.75" thickBot="1">
      <c r="B31" s="153" t="s">
        <v>46</v>
      </c>
      <c r="C31" s="156" t="s">
        <v>49</v>
      </c>
      <c r="D31" s="130">
        <v>1</v>
      </c>
      <c r="E31" s="130">
        <v>35</v>
      </c>
      <c r="F31" s="131">
        <v>115000</v>
      </c>
      <c r="G31" s="132">
        <f t="shared" si="1"/>
        <v>4025000</v>
      </c>
      <c r="H31" s="133">
        <f>G31</f>
        <v>4025000</v>
      </c>
      <c r="I31" s="134"/>
      <c r="J31"/>
      <c r="K31"/>
      <c r="L31"/>
      <c r="M31"/>
      <c r="N31"/>
    </row>
    <row r="32" spans="2:14" ht="15.75" thickBot="1">
      <c r="B32" s="274" t="s">
        <v>90</v>
      </c>
      <c r="C32" s="275"/>
      <c r="D32" s="275"/>
      <c r="E32" s="275"/>
      <c r="F32" s="275"/>
      <c r="G32" s="275"/>
      <c r="H32" s="275"/>
      <c r="I32" s="276"/>
      <c r="J32"/>
      <c r="K32"/>
      <c r="L32"/>
      <c r="M32"/>
      <c r="N32"/>
    </row>
    <row r="33" spans="2:14">
      <c r="B33" s="151" t="s">
        <v>7</v>
      </c>
      <c r="C33" s="149" t="s">
        <v>24</v>
      </c>
      <c r="D33" s="124">
        <v>1</v>
      </c>
      <c r="E33" s="124">
        <v>1</v>
      </c>
      <c r="F33" s="125">
        <v>4000000</v>
      </c>
      <c r="G33" s="125">
        <f>F33*E33*D33</f>
        <v>4000000</v>
      </c>
      <c r="H33" s="126">
        <f>G33</f>
        <v>4000000</v>
      </c>
      <c r="I33" s="127"/>
      <c r="J33"/>
      <c r="K33"/>
      <c r="L33"/>
      <c r="M33"/>
      <c r="N33"/>
    </row>
    <row r="34" spans="2:14">
      <c r="B34" s="152" t="s">
        <v>8</v>
      </c>
      <c r="C34" s="150" t="s">
        <v>24</v>
      </c>
      <c r="D34" s="117">
        <v>1</v>
      </c>
      <c r="E34" s="117">
        <v>10</v>
      </c>
      <c r="F34" s="119">
        <v>5000000</v>
      </c>
      <c r="G34" s="119">
        <f>F34*E34*D34</f>
        <v>50000000</v>
      </c>
      <c r="H34" s="120">
        <f>G34</f>
        <v>50000000</v>
      </c>
      <c r="I34" s="123"/>
      <c r="J34"/>
      <c r="K34"/>
      <c r="L34"/>
      <c r="M34"/>
      <c r="N34"/>
    </row>
    <row r="35" spans="2:14">
      <c r="B35" s="152" t="s">
        <v>25</v>
      </c>
      <c r="C35" s="150" t="s">
        <v>9</v>
      </c>
      <c r="D35" s="117">
        <v>1</v>
      </c>
      <c r="E35" s="117">
        <f>E19*2</f>
        <v>20</v>
      </c>
      <c r="F35" s="119">
        <v>45000</v>
      </c>
      <c r="G35" s="119">
        <f>F35*E35*D35</f>
        <v>900000</v>
      </c>
      <c r="H35" s="120">
        <f>G35</f>
        <v>900000</v>
      </c>
      <c r="I35" s="122"/>
      <c r="J35"/>
      <c r="K35"/>
      <c r="L35"/>
      <c r="M35"/>
      <c r="N35"/>
    </row>
    <row r="36" spans="2:14" ht="15.75" thickBot="1">
      <c r="B36" s="153" t="s">
        <v>25</v>
      </c>
      <c r="C36" s="156" t="s">
        <v>10</v>
      </c>
      <c r="D36" s="130">
        <v>1</v>
      </c>
      <c r="E36" s="130">
        <f>E19*2</f>
        <v>20</v>
      </c>
      <c r="F36" s="131">
        <v>20000</v>
      </c>
      <c r="G36" s="131">
        <f>F36*E36*D36</f>
        <v>400000</v>
      </c>
      <c r="H36" s="133">
        <f>G36</f>
        <v>400000</v>
      </c>
      <c r="I36" s="134"/>
      <c r="J36"/>
      <c r="K36"/>
      <c r="L36"/>
      <c r="M36"/>
      <c r="N36"/>
    </row>
    <row r="37" spans="2:14" ht="15.75" thickBot="1">
      <c r="B37" s="274" t="s">
        <v>91</v>
      </c>
      <c r="C37" s="275"/>
      <c r="D37" s="275"/>
      <c r="E37" s="275"/>
      <c r="F37" s="275"/>
      <c r="G37" s="275"/>
      <c r="H37" s="275"/>
      <c r="I37" s="276"/>
      <c r="J37"/>
      <c r="K37"/>
      <c r="L37"/>
      <c r="M37"/>
      <c r="N37"/>
    </row>
    <row r="38" spans="2:14" ht="30">
      <c r="B38" s="151" t="s">
        <v>147</v>
      </c>
      <c r="C38" s="149"/>
      <c r="D38" s="124">
        <v>9</v>
      </c>
      <c r="E38" s="124">
        <v>60</v>
      </c>
      <c r="F38" s="125">
        <v>77949</v>
      </c>
      <c r="G38" s="245">
        <f>F38*E38*D38</f>
        <v>42092460</v>
      </c>
      <c r="H38" s="124"/>
      <c r="I38" s="127">
        <f>G38</f>
        <v>42092460</v>
      </c>
      <c r="J38"/>
      <c r="K38" s="2"/>
      <c r="L38"/>
      <c r="M38"/>
      <c r="N38"/>
    </row>
    <row r="39" spans="2:14" ht="30">
      <c r="B39" s="152" t="s">
        <v>148</v>
      </c>
      <c r="C39" s="150"/>
      <c r="D39" s="117">
        <v>9</v>
      </c>
      <c r="E39" s="117">
        <v>60</v>
      </c>
      <c r="F39" s="119">
        <v>91806</v>
      </c>
      <c r="G39" s="121">
        <f>F39*E39*D39</f>
        <v>49575240</v>
      </c>
      <c r="H39" s="117"/>
      <c r="I39" s="122">
        <f>G39</f>
        <v>49575240</v>
      </c>
      <c r="J39"/>
      <c r="K39"/>
      <c r="L39"/>
      <c r="M39"/>
      <c r="N39"/>
    </row>
    <row r="40" spans="2:14">
      <c r="B40" s="152" t="s">
        <v>52</v>
      </c>
      <c r="C40" s="150"/>
      <c r="D40" s="117">
        <v>700</v>
      </c>
      <c r="E40" s="117">
        <v>12</v>
      </c>
      <c r="F40" s="119">
        <v>30000</v>
      </c>
      <c r="G40" s="121">
        <f>F40*E40*D40</f>
        <v>252000000</v>
      </c>
      <c r="H40" s="117"/>
      <c r="I40" s="122">
        <f>G40</f>
        <v>252000000</v>
      </c>
      <c r="J40"/>
      <c r="K40"/>
      <c r="L40"/>
      <c r="M40"/>
      <c r="N40"/>
    </row>
    <row r="41" spans="2:14" ht="15.75" thickBot="1">
      <c r="B41" s="155" t="s">
        <v>53</v>
      </c>
      <c r="C41" s="156"/>
      <c r="D41" s="130">
        <v>500</v>
      </c>
      <c r="E41" s="130">
        <v>12</v>
      </c>
      <c r="F41" s="131">
        <v>10000</v>
      </c>
      <c r="G41" s="132">
        <f>F41*E41*D41</f>
        <v>60000000</v>
      </c>
      <c r="H41" s="130"/>
      <c r="I41" s="134">
        <f>G41</f>
        <v>60000000</v>
      </c>
      <c r="J41"/>
      <c r="K41"/>
      <c r="L41"/>
      <c r="M41"/>
      <c r="N41"/>
    </row>
    <row r="42" spans="2:14" ht="15.75" thickBot="1">
      <c r="B42" s="274" t="s">
        <v>170</v>
      </c>
      <c r="C42" s="275"/>
      <c r="D42" s="275"/>
      <c r="E42" s="275"/>
      <c r="F42" s="275"/>
      <c r="G42" s="275"/>
      <c r="H42" s="275"/>
      <c r="I42" s="276"/>
      <c r="J42"/>
      <c r="K42"/>
      <c r="L42"/>
      <c r="M42"/>
      <c r="N42"/>
    </row>
    <row r="43" spans="2:14">
      <c r="B43" s="157" t="s">
        <v>173</v>
      </c>
      <c r="C43" s="149"/>
      <c r="D43" s="124">
        <v>1</v>
      </c>
      <c r="E43" s="124">
        <v>24</v>
      </c>
      <c r="F43" s="125">
        <v>3000000</v>
      </c>
      <c r="G43" s="125">
        <f>F43*E43*D43</f>
        <v>72000000</v>
      </c>
      <c r="H43" s="124"/>
      <c r="I43" s="127">
        <f>G43</f>
        <v>72000000</v>
      </c>
      <c r="J43"/>
      <c r="K43" s="220">
        <f>G46-I16-I43-I44-I45</f>
        <v>1462947700</v>
      </c>
      <c r="L43"/>
      <c r="M43"/>
      <c r="N43"/>
    </row>
    <row r="44" spans="2:14" ht="30">
      <c r="B44" s="152" t="s">
        <v>174</v>
      </c>
      <c r="C44" s="150"/>
      <c r="D44" s="117">
        <v>3</v>
      </c>
      <c r="E44" s="117">
        <v>24</v>
      </c>
      <c r="F44" s="119">
        <v>500000</v>
      </c>
      <c r="G44" s="119">
        <f>F44*E44*D44</f>
        <v>36000000</v>
      </c>
      <c r="H44" s="117"/>
      <c r="I44" s="122">
        <f t="shared" ref="I44:I45" si="4">G44</f>
        <v>36000000</v>
      </c>
      <c r="J44"/>
      <c r="K44"/>
      <c r="L44"/>
      <c r="M44"/>
      <c r="N44"/>
    </row>
    <row r="45" spans="2:14" ht="15.75" thickBot="1">
      <c r="B45" s="155" t="s">
        <v>175</v>
      </c>
      <c r="C45" s="156"/>
      <c r="D45" s="130">
        <v>3</v>
      </c>
      <c r="E45" s="130">
        <v>4</v>
      </c>
      <c r="F45" s="131">
        <v>600000</v>
      </c>
      <c r="G45" s="131">
        <f>F45*E45*D45</f>
        <v>7200000</v>
      </c>
      <c r="H45" s="130"/>
      <c r="I45" s="134">
        <f t="shared" si="4"/>
        <v>7200000</v>
      </c>
      <c r="J45"/>
      <c r="K45"/>
      <c r="L45"/>
      <c r="M45"/>
      <c r="N45"/>
    </row>
    <row r="46" spans="2:14" ht="19.5" thickBot="1">
      <c r="B46" s="268" t="s">
        <v>34</v>
      </c>
      <c r="C46" s="269"/>
      <c r="D46" s="269"/>
      <c r="E46" s="269"/>
      <c r="F46" s="270"/>
      <c r="G46" s="128">
        <f>SUM(G3:G45)</f>
        <v>2328147700</v>
      </c>
      <c r="H46" s="246">
        <f>SUM(H3:H45)</f>
        <v>454792500</v>
      </c>
      <c r="I46" s="247">
        <f>SUM(I3:I45)</f>
        <v>1873355200</v>
      </c>
      <c r="J46"/>
      <c r="K46" s="220"/>
      <c r="L46"/>
      <c r="M46"/>
      <c r="N46"/>
    </row>
    <row r="47" spans="2:14" ht="15.75" thickBot="1">
      <c r="B47" s="71"/>
      <c r="C47" s="71"/>
      <c r="D47" s="71"/>
      <c r="E47" s="71"/>
      <c r="F47" s="71"/>
      <c r="G47" s="71"/>
      <c r="H47" s="241">
        <f>H46/12</f>
        <v>37899375</v>
      </c>
      <c r="I47" s="241">
        <f>I46/12</f>
        <v>156112933.33333334</v>
      </c>
      <c r="J47"/>
      <c r="K47"/>
      <c r="L47"/>
      <c r="M47"/>
      <c r="N47"/>
    </row>
    <row r="48" spans="2:14" ht="19.5" thickBot="1">
      <c r="B48" s="71"/>
      <c r="C48" s="71"/>
      <c r="D48" s="71"/>
      <c r="E48" s="71"/>
      <c r="F48" t="s">
        <v>188</v>
      </c>
      <c r="G48" s="128">
        <f>+G46*10%</f>
        <v>232814770</v>
      </c>
      <c r="H48" s="241">
        <f>$H$46*G48</f>
        <v>1.0588241128522499E+17</v>
      </c>
      <c r="I48" s="128">
        <f>+I46+G49+G48</f>
        <v>2222577355</v>
      </c>
      <c r="J48"/>
      <c r="K48"/>
      <c r="L48"/>
      <c r="M48"/>
      <c r="N48"/>
    </row>
    <row r="49" spans="1:25" ht="19.5" thickBot="1">
      <c r="B49" s="71"/>
      <c r="C49" s="71"/>
      <c r="D49" s="71"/>
      <c r="E49" s="71"/>
      <c r="F49" t="s">
        <v>189</v>
      </c>
      <c r="G49" s="128">
        <f>+G46*5%</f>
        <v>116407385</v>
      </c>
      <c r="H49" s="241">
        <f>$H$46*G49</f>
        <v>5.2941205642612496E+16</v>
      </c>
      <c r="I49" s="128"/>
      <c r="J49"/>
      <c r="K49"/>
      <c r="L49"/>
      <c r="M49"/>
      <c r="N49"/>
    </row>
    <row r="51" spans="1:25" ht="15.75" thickBot="1">
      <c r="G51" s="54">
        <f>+G46+G48+G49</f>
        <v>2677369855</v>
      </c>
      <c r="I51" s="54"/>
    </row>
    <row r="52" spans="1:25" ht="19.5" thickBot="1">
      <c r="I52" s="128"/>
      <c r="R52" s="250">
        <f>R59/Q59</f>
        <v>1.2</v>
      </c>
      <c r="S52" s="250">
        <f t="shared" ref="S52:Y52" si="5">S59/R59</f>
        <v>1.1666666666666667</v>
      </c>
      <c r="T52" s="250">
        <f t="shared" si="5"/>
        <v>1.1428571428571428</v>
      </c>
      <c r="U52" s="250">
        <f t="shared" si="5"/>
        <v>1.0625</v>
      </c>
      <c r="V52" s="250">
        <f t="shared" si="5"/>
        <v>1.0588235294117647</v>
      </c>
      <c r="W52" s="250">
        <f t="shared" si="5"/>
        <v>1.0555555555555556</v>
      </c>
      <c r="X52" s="250">
        <f t="shared" si="5"/>
        <v>1</v>
      </c>
      <c r="Y52" s="250">
        <f t="shared" si="5"/>
        <v>1</v>
      </c>
    </row>
    <row r="53" spans="1:25" ht="15.75" thickBot="1">
      <c r="R53" s="250">
        <f>Q59/R59</f>
        <v>0.83333333333333337</v>
      </c>
      <c r="S53" s="250">
        <f t="shared" ref="S53:Y53" si="6">R59/S59</f>
        <v>0.8571428571428571</v>
      </c>
      <c r="T53" s="250">
        <f t="shared" si="6"/>
        <v>0.875</v>
      </c>
      <c r="U53" s="250">
        <f t="shared" si="6"/>
        <v>0.94117647058823528</v>
      </c>
      <c r="V53" s="250">
        <f t="shared" si="6"/>
        <v>0.94444444444444442</v>
      </c>
      <c r="W53" s="250">
        <f t="shared" si="6"/>
        <v>0.94736842105263153</v>
      </c>
      <c r="X53" s="250">
        <f t="shared" si="6"/>
        <v>1</v>
      </c>
      <c r="Y53" s="250">
        <f t="shared" si="6"/>
        <v>1</v>
      </c>
    </row>
    <row r="54" spans="1:25" ht="15.75" thickBot="1">
      <c r="A54" s="23" t="s">
        <v>80</v>
      </c>
      <c r="B54" s="24">
        <v>1</v>
      </c>
      <c r="C54" s="25">
        <v>2</v>
      </c>
      <c r="D54" s="25">
        <v>3</v>
      </c>
      <c r="E54" s="25">
        <v>4</v>
      </c>
      <c r="F54" s="25">
        <v>5</v>
      </c>
      <c r="G54" s="25">
        <v>6</v>
      </c>
      <c r="H54" s="25">
        <v>7</v>
      </c>
      <c r="I54" s="25">
        <v>8</v>
      </c>
      <c r="J54" s="25">
        <v>9</v>
      </c>
      <c r="K54" s="25">
        <v>10</v>
      </c>
      <c r="L54" s="25">
        <v>11</v>
      </c>
      <c r="M54" s="25">
        <v>12</v>
      </c>
      <c r="N54" s="25">
        <v>13</v>
      </c>
      <c r="O54" s="25">
        <v>14</v>
      </c>
      <c r="P54" s="25">
        <v>15</v>
      </c>
      <c r="Q54" s="25">
        <v>16</v>
      </c>
      <c r="R54" s="25">
        <v>17</v>
      </c>
      <c r="S54" s="25">
        <v>18</v>
      </c>
      <c r="T54" s="25">
        <v>19</v>
      </c>
      <c r="U54" s="25">
        <v>20</v>
      </c>
      <c r="V54" s="25">
        <v>21</v>
      </c>
      <c r="W54" s="25">
        <v>22</v>
      </c>
      <c r="X54" s="25">
        <v>23</v>
      </c>
      <c r="Y54" s="26">
        <v>24</v>
      </c>
    </row>
    <row r="55" spans="1:25" ht="30.75" thickBot="1">
      <c r="A55" s="22" t="s">
        <v>87</v>
      </c>
      <c r="B55" s="265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7"/>
      <c r="N55" s="256"/>
      <c r="O55" s="257"/>
      <c r="P55" s="258"/>
      <c r="Q55" s="27">
        <v>0.5</v>
      </c>
      <c r="R55" s="27">
        <v>0.6</v>
      </c>
      <c r="S55" s="27">
        <v>0.7</v>
      </c>
      <c r="T55" s="27">
        <v>0.8</v>
      </c>
      <c r="U55" s="27">
        <v>0.85</v>
      </c>
      <c r="V55" s="27">
        <v>0.9</v>
      </c>
      <c r="W55" s="27">
        <v>0.95</v>
      </c>
      <c r="X55" s="27">
        <v>0.95</v>
      </c>
      <c r="Y55" s="28">
        <v>0.95</v>
      </c>
    </row>
    <row r="56" spans="1:25" ht="15.75" thickBot="1">
      <c r="A56" s="254"/>
      <c r="B56" s="261" t="s">
        <v>82</v>
      </c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3"/>
      <c r="N56" s="251" t="s">
        <v>81</v>
      </c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3"/>
    </row>
    <row r="57" spans="1:25" ht="15.75" thickBot="1">
      <c r="A57" s="255"/>
      <c r="B57" s="262" t="s">
        <v>79</v>
      </c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264"/>
      <c r="N57" s="41">
        <v>1</v>
      </c>
      <c r="O57" s="42">
        <v>2</v>
      </c>
      <c r="P57" s="42">
        <v>3</v>
      </c>
      <c r="Q57" s="42">
        <v>4</v>
      </c>
      <c r="R57" s="42">
        <v>5</v>
      </c>
      <c r="S57" s="42">
        <v>6</v>
      </c>
      <c r="T57" s="42">
        <v>7</v>
      </c>
      <c r="U57" s="42">
        <v>8</v>
      </c>
      <c r="V57" s="42">
        <v>9</v>
      </c>
      <c r="W57" s="42">
        <v>10</v>
      </c>
      <c r="X57" s="42">
        <v>11</v>
      </c>
      <c r="Y57" s="43">
        <v>12</v>
      </c>
    </row>
    <row r="58" spans="1:25" s="97" customFormat="1" ht="16.5" thickBot="1">
      <c r="A58" s="98" t="s">
        <v>166</v>
      </c>
      <c r="B58" s="99">
        <f>B63</f>
        <v>144017625</v>
      </c>
      <c r="C58" s="100">
        <f>B63+C63</f>
        <v>106118250</v>
      </c>
      <c r="D58" s="100">
        <f>C58+D63</f>
        <v>122793975</v>
      </c>
      <c r="E58" s="100">
        <f>D58+E63</f>
        <v>84894600</v>
      </c>
      <c r="F58" s="101">
        <f t="shared" ref="F58:Y58" si="7">E58+F63</f>
        <v>101570325</v>
      </c>
      <c r="G58" s="101">
        <f t="shared" si="7"/>
        <v>63670950</v>
      </c>
      <c r="H58" s="101">
        <f t="shared" si="7"/>
        <v>80346675</v>
      </c>
      <c r="I58" s="101">
        <f t="shared" si="7"/>
        <v>42447300</v>
      </c>
      <c r="J58" s="101">
        <f t="shared" si="7"/>
        <v>59123025</v>
      </c>
      <c r="K58" s="101">
        <f t="shared" si="7"/>
        <v>21223650</v>
      </c>
      <c r="L58" s="101">
        <f t="shared" si="7"/>
        <v>37899375</v>
      </c>
      <c r="M58" s="102">
        <f>L58+M63</f>
        <v>0</v>
      </c>
      <c r="N58" s="103">
        <f t="shared" si="7"/>
        <v>199976066.66666666</v>
      </c>
      <c r="O58" s="103">
        <f t="shared" si="7"/>
        <v>100486383.33333331</v>
      </c>
      <c r="P58" s="103">
        <f t="shared" si="7"/>
        <v>1530949.9999999702</v>
      </c>
      <c r="Q58" s="101">
        <f t="shared" si="7"/>
        <v>362109766.66666663</v>
      </c>
      <c r="R58" s="101">
        <f t="shared" si="7"/>
        <v>815022833.33333325</v>
      </c>
      <c r="S58" s="101">
        <f t="shared" si="7"/>
        <v>1360270150</v>
      </c>
      <c r="T58" s="101">
        <f t="shared" si="7"/>
        <v>1997851716.6666665</v>
      </c>
      <c r="U58" s="101">
        <f t="shared" si="7"/>
        <v>2681867533.333333</v>
      </c>
      <c r="V58" s="101">
        <f t="shared" si="7"/>
        <v>3412317599.9999995</v>
      </c>
      <c r="W58" s="101">
        <f t="shared" si="7"/>
        <v>4189201916.666666</v>
      </c>
      <c r="X58" s="101">
        <f t="shared" si="7"/>
        <v>4966620483.333333</v>
      </c>
      <c r="Y58" s="102">
        <f t="shared" si="7"/>
        <v>5744573300</v>
      </c>
    </row>
    <row r="59" spans="1:25" ht="30">
      <c r="A59" s="21" t="s">
        <v>4</v>
      </c>
      <c r="B59" s="29">
        <f>+H46*40%</f>
        <v>181917000</v>
      </c>
      <c r="C59" s="30"/>
      <c r="D59" s="30">
        <f>+H46*12%</f>
        <v>54575100</v>
      </c>
      <c r="E59" s="30"/>
      <c r="F59" s="30">
        <f>+D59</f>
        <v>54575100</v>
      </c>
      <c r="G59" s="30"/>
      <c r="H59" s="30">
        <f>+F59</f>
        <v>54575100</v>
      </c>
      <c r="I59" s="30"/>
      <c r="J59" s="30">
        <f>+H59</f>
        <v>54575100</v>
      </c>
      <c r="K59" s="30"/>
      <c r="L59" s="30">
        <f>+J59</f>
        <v>54575100</v>
      </c>
      <c r="M59" s="31"/>
      <c r="N59" s="32">
        <v>300000000</v>
      </c>
      <c r="O59" s="32">
        <v>0</v>
      </c>
      <c r="P59" s="32">
        <v>0</v>
      </c>
      <c r="Q59" s="30">
        <f>($B$67*$B$66)*Q55*$B$68</f>
        <v>459000000</v>
      </c>
      <c r="R59" s="30">
        <f t="shared" ref="R59:Y59" si="8">($B$67*$B$66)*R55*$B$68</f>
        <v>550800000</v>
      </c>
      <c r="S59" s="30">
        <f t="shared" si="8"/>
        <v>642600000</v>
      </c>
      <c r="T59" s="30">
        <f t="shared" si="8"/>
        <v>734400000</v>
      </c>
      <c r="U59" s="30">
        <f t="shared" si="8"/>
        <v>780300000</v>
      </c>
      <c r="V59" s="30">
        <f t="shared" si="8"/>
        <v>826200000</v>
      </c>
      <c r="W59" s="30">
        <f t="shared" si="8"/>
        <v>872100000</v>
      </c>
      <c r="X59" s="30">
        <f t="shared" si="8"/>
        <v>872100000</v>
      </c>
      <c r="Y59" s="31">
        <f t="shared" si="8"/>
        <v>872100000</v>
      </c>
    </row>
    <row r="60" spans="1:25">
      <c r="A60" s="20" t="s">
        <v>0</v>
      </c>
      <c r="B60" s="33">
        <f>'Costos y Gastos'!$H$27</f>
        <v>4551041.666666667</v>
      </c>
      <c r="C60" s="34">
        <f>'Costos y Gastos'!$H$27</f>
        <v>4551041.666666667</v>
      </c>
      <c r="D60" s="34">
        <f>'Costos y Gastos'!$H$27</f>
        <v>4551041.666666667</v>
      </c>
      <c r="E60" s="34">
        <f>'Costos y Gastos'!$H$27</f>
        <v>4551041.666666667</v>
      </c>
      <c r="F60" s="34">
        <f>'Costos y Gastos'!$H$27</f>
        <v>4551041.666666667</v>
      </c>
      <c r="G60" s="34">
        <f>'Costos y Gastos'!$H$27</f>
        <v>4551041.666666667</v>
      </c>
      <c r="H60" s="34">
        <f>'Costos y Gastos'!$H$27</f>
        <v>4551041.666666667</v>
      </c>
      <c r="I60" s="34">
        <f>'Costos y Gastos'!$H$27</f>
        <v>4551041.666666667</v>
      </c>
      <c r="J60" s="34">
        <f>'Costos y Gastos'!$H$27</f>
        <v>4551041.666666667</v>
      </c>
      <c r="K60" s="34">
        <f>'Costos y Gastos'!$H$27</f>
        <v>4551041.666666667</v>
      </c>
      <c r="L60" s="34">
        <f>'Costos y Gastos'!$H$27</f>
        <v>4551041.666666667</v>
      </c>
      <c r="M60" s="35">
        <f>'Costos y Gastos'!$H$27</f>
        <v>4551041.666666667</v>
      </c>
      <c r="N60" s="36">
        <f>'Costos y Gastos'!$I$27</f>
        <v>45612933.333333336</v>
      </c>
      <c r="O60" s="34">
        <f>'Costos y Gastos'!$I$27</f>
        <v>45612933.333333336</v>
      </c>
      <c r="P60" s="34">
        <f>'Costos y Gastos'!$I$27</f>
        <v>45612933.333333336</v>
      </c>
      <c r="Q60" s="34">
        <f>'Costos y Gastos'!$I$27</f>
        <v>45612933.333333336</v>
      </c>
      <c r="R60" s="34">
        <f>'Costos y Gastos'!$I$27</f>
        <v>45612933.333333336</v>
      </c>
      <c r="S60" s="34">
        <f>'Costos y Gastos'!$I$27</f>
        <v>45612933.333333336</v>
      </c>
      <c r="T60" s="34">
        <f>'Costos y Gastos'!$I$27</f>
        <v>45612933.333333336</v>
      </c>
      <c r="U60" s="34">
        <f>'Costos y Gastos'!$I$27</f>
        <v>45612933.333333336</v>
      </c>
      <c r="V60" s="34">
        <f>'Costos y Gastos'!$I$27</f>
        <v>45612933.333333336</v>
      </c>
      <c r="W60" s="34">
        <f>'Costos y Gastos'!$I$27</f>
        <v>45612933.333333336</v>
      </c>
      <c r="X60" s="34">
        <f>'Costos y Gastos'!$I$27</f>
        <v>45612933.333333336</v>
      </c>
      <c r="Y60" s="35">
        <f>'Costos y Gastos'!$I$27</f>
        <v>45612933.333333336</v>
      </c>
    </row>
    <row r="61" spans="1:25">
      <c r="A61" s="20" t="s">
        <v>1</v>
      </c>
      <c r="B61" s="33">
        <f>'Costos y Gastos'!$Q$27</f>
        <v>33348333.333333332</v>
      </c>
      <c r="C61" s="34">
        <f>'Costos y Gastos'!$Q$27</f>
        <v>33348333.333333332</v>
      </c>
      <c r="D61" s="34">
        <f>'Costos y Gastos'!$Q$27</f>
        <v>33348333.333333332</v>
      </c>
      <c r="E61" s="34">
        <f>'Costos y Gastos'!$Q$27</f>
        <v>33348333.333333332</v>
      </c>
      <c r="F61" s="34">
        <f>'Costos y Gastos'!$Q$27</f>
        <v>33348333.333333332</v>
      </c>
      <c r="G61" s="34">
        <f>'Costos y Gastos'!$Q$27</f>
        <v>33348333.333333332</v>
      </c>
      <c r="H61" s="34">
        <f>'Costos y Gastos'!$Q$27</f>
        <v>33348333.333333332</v>
      </c>
      <c r="I61" s="34">
        <f>'Costos y Gastos'!$Q$27</f>
        <v>33348333.333333332</v>
      </c>
      <c r="J61" s="34">
        <f>'Costos y Gastos'!$Q$27</f>
        <v>33348333.333333332</v>
      </c>
      <c r="K61" s="34">
        <f>'Costos y Gastos'!$Q$27</f>
        <v>33348333.333333332</v>
      </c>
      <c r="L61" s="34">
        <f>'Costos y Gastos'!$Q$27</f>
        <v>33348333.333333332</v>
      </c>
      <c r="M61" s="35">
        <f>'Costos y Gastos'!$Q$27</f>
        <v>33348333.333333332</v>
      </c>
      <c r="N61" s="36">
        <f>'Costos y Gastos'!$R$27</f>
        <v>48000000</v>
      </c>
      <c r="O61" s="36">
        <f>'Costos y Gastos'!$R$27</f>
        <v>48000000</v>
      </c>
      <c r="P61" s="36">
        <f>'Costos y Gastos'!$R$27</f>
        <v>48000000</v>
      </c>
      <c r="Q61" s="36">
        <f>'Costos y Gastos'!$R$27</f>
        <v>48000000</v>
      </c>
      <c r="R61" s="36">
        <f>'Costos y Gastos'!$R$27</f>
        <v>48000000</v>
      </c>
      <c r="S61" s="36">
        <f>'Costos y Gastos'!$R$27</f>
        <v>48000000</v>
      </c>
      <c r="T61" s="36">
        <f>'Costos y Gastos'!$R$27</f>
        <v>48000000</v>
      </c>
      <c r="U61" s="36">
        <f>'Costos y Gastos'!$R$27</f>
        <v>48000000</v>
      </c>
      <c r="V61" s="36">
        <f>'Costos y Gastos'!$R$27</f>
        <v>48000000</v>
      </c>
      <c r="W61" s="36">
        <f>'Costos y Gastos'!$R$27</f>
        <v>48000000</v>
      </c>
      <c r="X61" s="36">
        <f>'Costos y Gastos'!$R$27</f>
        <v>48000000</v>
      </c>
      <c r="Y61" s="36">
        <f>'Costos y Gastos'!$R$27</f>
        <v>48000000</v>
      </c>
    </row>
    <row r="62" spans="1:25" ht="15.75" thickBot="1">
      <c r="A62" s="44" t="s">
        <v>2</v>
      </c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9"/>
      <c r="N62" s="40">
        <f>Amortización!E14</f>
        <v>6411000</v>
      </c>
      <c r="O62" s="38">
        <f>Amortización!E15</f>
        <v>5876750</v>
      </c>
      <c r="P62" s="38">
        <f>Amortización!E16</f>
        <v>5342500</v>
      </c>
      <c r="Q62" s="38">
        <f>Amortización!E17</f>
        <v>4808250</v>
      </c>
      <c r="R62" s="38">
        <f>Amortización!E18</f>
        <v>4274000</v>
      </c>
      <c r="S62" s="38">
        <f>Amortización!E19</f>
        <v>3739750</v>
      </c>
      <c r="T62" s="38">
        <f>Amortización!E20</f>
        <v>3205500</v>
      </c>
      <c r="U62" s="38">
        <f>Amortización!E21</f>
        <v>2671250</v>
      </c>
      <c r="V62" s="38">
        <f>Amortización!E22</f>
        <v>2137000</v>
      </c>
      <c r="W62" s="38">
        <f>Amortización!E23</f>
        <v>1602750</v>
      </c>
      <c r="X62" s="38">
        <f>Amortización!E24</f>
        <v>1068500</v>
      </c>
      <c r="Y62" s="39">
        <f>Amortización!E25</f>
        <v>534250</v>
      </c>
    </row>
    <row r="63" spans="1:25" ht="15.75" thickBot="1">
      <c r="A63" s="23" t="s">
        <v>3</v>
      </c>
      <c r="B63" s="45">
        <f>B59-B60-B61-B62</f>
        <v>144017625</v>
      </c>
      <c r="C63" s="46">
        <f t="shared" ref="C63:Y63" si="9">C59-C60-C61-C62</f>
        <v>-37899375</v>
      </c>
      <c r="D63" s="46">
        <f t="shared" si="9"/>
        <v>16675725.000000004</v>
      </c>
      <c r="E63" s="46">
        <f t="shared" si="9"/>
        <v>-37899375</v>
      </c>
      <c r="F63" s="46">
        <f t="shared" si="9"/>
        <v>16675725.000000004</v>
      </c>
      <c r="G63" s="46">
        <f t="shared" si="9"/>
        <v>-37899375</v>
      </c>
      <c r="H63" s="46">
        <f t="shared" si="9"/>
        <v>16675725.000000004</v>
      </c>
      <c r="I63" s="46">
        <f t="shared" si="9"/>
        <v>-37899375</v>
      </c>
      <c r="J63" s="46">
        <f t="shared" si="9"/>
        <v>16675725.000000004</v>
      </c>
      <c r="K63" s="46">
        <f t="shared" si="9"/>
        <v>-37899375</v>
      </c>
      <c r="L63" s="46">
        <f t="shared" si="9"/>
        <v>16675725.000000004</v>
      </c>
      <c r="M63" s="47">
        <f t="shared" si="9"/>
        <v>-37899375</v>
      </c>
      <c r="N63" s="48">
        <f t="shared" si="9"/>
        <v>199976066.66666666</v>
      </c>
      <c r="O63" s="46">
        <f t="shared" si="9"/>
        <v>-99489683.333333343</v>
      </c>
      <c r="P63" s="46">
        <f t="shared" si="9"/>
        <v>-98955433.333333343</v>
      </c>
      <c r="Q63" s="46">
        <f t="shared" si="9"/>
        <v>360578816.66666669</v>
      </c>
      <c r="R63" s="46">
        <f t="shared" si="9"/>
        <v>452913066.66666669</v>
      </c>
      <c r="S63" s="46">
        <f t="shared" si="9"/>
        <v>545247316.66666663</v>
      </c>
      <c r="T63" s="46">
        <f t="shared" si="9"/>
        <v>637581566.66666663</v>
      </c>
      <c r="U63" s="46">
        <f t="shared" si="9"/>
        <v>684015816.66666663</v>
      </c>
      <c r="V63" s="46">
        <f t="shared" si="9"/>
        <v>730450066.66666663</v>
      </c>
      <c r="W63" s="46">
        <f t="shared" si="9"/>
        <v>776884316.66666663</v>
      </c>
      <c r="X63" s="46">
        <f t="shared" si="9"/>
        <v>777418566.66666663</v>
      </c>
      <c r="Y63" s="47">
        <f t="shared" si="9"/>
        <v>777952816.66666663</v>
      </c>
    </row>
    <row r="64" spans="1:25" ht="15.75" thickBot="1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14" ht="15.75" thickBot="1">
      <c r="A65" s="259" t="s">
        <v>86</v>
      </c>
      <c r="B65" s="260"/>
    </row>
    <row r="66" spans="1:14">
      <c r="A66" s="53" t="s">
        <v>83</v>
      </c>
      <c r="B66" s="19">
        <v>3400</v>
      </c>
    </row>
    <row r="67" spans="1:14">
      <c r="A67" s="53" t="s">
        <v>167</v>
      </c>
      <c r="B67" s="115">
        <v>1800</v>
      </c>
      <c r="C67" s="116">
        <f>([1]Detalle!$M$42+[1]Detalle!$P$42+[1]Detalle!$S$42)/3</f>
        <v>1882.3156579745444</v>
      </c>
      <c r="D67" s="1" t="s">
        <v>168</v>
      </c>
    </row>
    <row r="68" spans="1:14" ht="45">
      <c r="A68" s="49" t="s">
        <v>85</v>
      </c>
      <c r="B68" s="50">
        <f>B69*B70</f>
        <v>150</v>
      </c>
      <c r="D68" s="54"/>
    </row>
    <row r="69" spans="1:14">
      <c r="A69" s="49" t="s">
        <v>84</v>
      </c>
      <c r="B69" s="50">
        <v>15</v>
      </c>
    </row>
    <row r="70" spans="1:14" ht="15.75" thickBot="1">
      <c r="A70" s="51" t="s">
        <v>33</v>
      </c>
      <c r="B70" s="52">
        <v>10</v>
      </c>
      <c r="E70" s="54"/>
    </row>
    <row r="71" spans="1:14" ht="15.75" thickBot="1"/>
    <row r="72" spans="1:14">
      <c r="A72" s="227" t="s">
        <v>177</v>
      </c>
      <c r="B72" s="229">
        <f>-(SUM(B59:M59))</f>
        <v>-454792500</v>
      </c>
      <c r="C72" s="239">
        <f>N63</f>
        <v>199976066.66666666</v>
      </c>
      <c r="D72" s="239">
        <f>O63</f>
        <v>-99489683.333333343</v>
      </c>
      <c r="E72" s="239">
        <f>P63</f>
        <v>-98955433.333333343</v>
      </c>
      <c r="F72" s="239">
        <f>Q63</f>
        <v>360578816.66666669</v>
      </c>
      <c r="G72" s="239">
        <f t="shared" ref="G72:N72" si="10">R63</f>
        <v>452913066.66666669</v>
      </c>
      <c r="H72" s="239">
        <f t="shared" si="10"/>
        <v>545247316.66666663</v>
      </c>
      <c r="I72" s="239">
        <f t="shared" si="10"/>
        <v>637581566.66666663</v>
      </c>
      <c r="J72" s="239">
        <f t="shared" si="10"/>
        <v>684015816.66666663</v>
      </c>
      <c r="K72" s="239">
        <f t="shared" si="10"/>
        <v>730450066.66666663</v>
      </c>
      <c r="L72" s="239">
        <f t="shared" si="10"/>
        <v>776884316.66666663</v>
      </c>
      <c r="M72" s="239">
        <f t="shared" si="10"/>
        <v>777418566.66666663</v>
      </c>
      <c r="N72" s="239">
        <f t="shared" si="10"/>
        <v>777952816.66666663</v>
      </c>
    </row>
    <row r="73" spans="1:14" ht="30">
      <c r="A73" s="228" t="s">
        <v>178</v>
      </c>
      <c r="B73" s="225">
        <v>-1</v>
      </c>
      <c r="C73" s="223">
        <f>N63</f>
        <v>199976066.66666666</v>
      </c>
      <c r="D73" s="223">
        <f t="shared" ref="D73:N73" si="11">O63</f>
        <v>-99489683.333333343</v>
      </c>
      <c r="E73" s="223">
        <f t="shared" si="11"/>
        <v>-98955433.333333343</v>
      </c>
      <c r="F73" s="223">
        <f t="shared" si="11"/>
        <v>360578816.66666669</v>
      </c>
      <c r="G73" s="223">
        <f t="shared" si="11"/>
        <v>452913066.66666669</v>
      </c>
      <c r="H73" s="223">
        <f t="shared" si="11"/>
        <v>545247316.66666663</v>
      </c>
      <c r="I73" s="223">
        <f t="shared" si="11"/>
        <v>637581566.66666663</v>
      </c>
      <c r="J73" s="223">
        <f t="shared" si="11"/>
        <v>684015816.66666663</v>
      </c>
      <c r="K73" s="223">
        <f t="shared" si="11"/>
        <v>730450066.66666663</v>
      </c>
      <c r="L73" s="223">
        <f t="shared" si="11"/>
        <v>776884316.66666663</v>
      </c>
      <c r="M73" s="223">
        <f t="shared" si="11"/>
        <v>777418566.66666663</v>
      </c>
      <c r="N73" s="223">
        <f t="shared" si="11"/>
        <v>777952816.66666663</v>
      </c>
    </row>
    <row r="74" spans="1:14" ht="30.75" thickBot="1">
      <c r="A74" s="230" t="s">
        <v>179</v>
      </c>
      <c r="B74" s="231">
        <f>-N59</f>
        <v>-300000000</v>
      </c>
      <c r="C74" s="240">
        <f>N63</f>
        <v>199976066.66666666</v>
      </c>
      <c r="D74" s="240">
        <f t="shared" ref="D74:N74" si="12">O63</f>
        <v>-99489683.333333343</v>
      </c>
      <c r="E74" s="240">
        <f t="shared" si="12"/>
        <v>-98955433.333333343</v>
      </c>
      <c r="F74" s="240">
        <f t="shared" si="12"/>
        <v>360578816.66666669</v>
      </c>
      <c r="G74" s="240">
        <f t="shared" si="12"/>
        <v>452913066.66666669</v>
      </c>
      <c r="H74" s="240">
        <f t="shared" si="12"/>
        <v>545247316.66666663</v>
      </c>
      <c r="I74" s="240">
        <f t="shared" si="12"/>
        <v>637581566.66666663</v>
      </c>
      <c r="J74" s="240">
        <f t="shared" si="12"/>
        <v>684015816.66666663</v>
      </c>
      <c r="K74" s="240">
        <f t="shared" si="12"/>
        <v>730450066.66666663</v>
      </c>
      <c r="L74" s="240">
        <f t="shared" si="12"/>
        <v>776884316.66666663</v>
      </c>
      <c r="M74" s="240">
        <f t="shared" si="12"/>
        <v>777418566.66666663</v>
      </c>
      <c r="N74" s="240">
        <f t="shared" si="12"/>
        <v>777952816.66666663</v>
      </c>
    </row>
    <row r="75" spans="1:14">
      <c r="A75" s="94" t="s">
        <v>160</v>
      </c>
      <c r="B75" s="232">
        <f>IRR(B72:N72)</f>
        <v>0.42791696752189479</v>
      </c>
      <c r="C75" s="233" t="e">
        <f>IRR(B73:N73)</f>
        <v>#NUM!</v>
      </c>
      <c r="D75" s="234">
        <f>IRR(B74:N74)</f>
        <v>0.54761456890484905</v>
      </c>
    </row>
    <row r="76" spans="1:14">
      <c r="A76" s="95" t="s">
        <v>161</v>
      </c>
      <c r="B76" s="226">
        <v>0.45</v>
      </c>
      <c r="C76" s="224"/>
      <c r="D76" s="235"/>
    </row>
    <row r="77" spans="1:14" ht="15.75" thickBot="1">
      <c r="A77" s="96" t="s">
        <v>176</v>
      </c>
      <c r="B77" s="236">
        <f>MIRR(B72:N72,B75,B76)</f>
        <v>0.4407580843374217</v>
      </c>
      <c r="C77" s="237">
        <f>MIRR(B73:N73,B75,B76)</f>
        <v>0.68383386392274392</v>
      </c>
      <c r="D77" s="238">
        <f>MIRR(B74:N74,B75,B76)</f>
        <v>0.48211407867970268</v>
      </c>
    </row>
    <row r="78" spans="1:14">
      <c r="A78" s="1" t="s">
        <v>169</v>
      </c>
    </row>
  </sheetData>
  <mergeCells count="13">
    <mergeCell ref="B46:F46"/>
    <mergeCell ref="B2:I2"/>
    <mergeCell ref="B15:I15"/>
    <mergeCell ref="B32:I32"/>
    <mergeCell ref="B37:I37"/>
    <mergeCell ref="B42:I42"/>
    <mergeCell ref="N56:Y56"/>
    <mergeCell ref="A56:A57"/>
    <mergeCell ref="N55:P55"/>
    <mergeCell ref="A65:B65"/>
    <mergeCell ref="B56:M56"/>
    <mergeCell ref="B57:M57"/>
    <mergeCell ref="B55:M55"/>
  </mergeCells>
  <conditionalFormatting sqref="B63:Y63">
    <cfRule type="cellIs" dxfId="2" priority="3" operator="lessThan">
      <formula>0</formula>
    </cfRule>
  </conditionalFormatting>
  <conditionalFormatting sqref="B58:Y58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52"/>
  <sheetViews>
    <sheetView topLeftCell="A25" workbookViewId="0">
      <selection activeCell="H33" sqref="H33"/>
    </sheetView>
  </sheetViews>
  <sheetFormatPr baseColWidth="10" defaultColWidth="11.42578125" defaultRowHeight="15"/>
  <cols>
    <col min="1" max="1" width="11.42578125" style="70"/>
    <col min="2" max="2" width="25" style="70" bestFit="1" customWidth="1"/>
    <col min="3" max="3" width="10.140625" style="70" bestFit="1" customWidth="1"/>
    <col min="4" max="4" width="11.42578125" style="70" bestFit="1" customWidth="1"/>
    <col min="5" max="5" width="10.85546875" style="70" bestFit="1" customWidth="1"/>
    <col min="6" max="6" width="13.42578125" style="70" bestFit="1" customWidth="1"/>
    <col min="7" max="7" width="15.42578125" style="70" bestFit="1" customWidth="1"/>
    <col min="8" max="8" width="18" style="70" bestFit="1" customWidth="1"/>
    <col min="9" max="9" width="21" style="70" bestFit="1" customWidth="1"/>
    <col min="10" max="10" width="16.7109375" style="70" customWidth="1"/>
    <col min="11" max="11" width="25" style="70" bestFit="1" customWidth="1"/>
    <col min="12" max="12" width="14.140625" style="70" bestFit="1" customWidth="1"/>
    <col min="13" max="13" width="6.85546875" style="70" bestFit="1" customWidth="1"/>
    <col min="14" max="14" width="10.85546875" style="70" bestFit="1" customWidth="1"/>
    <col min="15" max="15" width="13.42578125" style="70" bestFit="1" customWidth="1"/>
    <col min="16" max="16" width="14" style="70" bestFit="1" customWidth="1"/>
    <col min="17" max="18" width="19.42578125" style="70" bestFit="1" customWidth="1"/>
    <col min="19" max="16384" width="11.42578125" style="70"/>
  </cols>
  <sheetData>
    <row r="1" spans="2:18" ht="15.75" thickBot="1"/>
    <row r="2" spans="2:18" ht="19.5" thickBot="1">
      <c r="B2" s="277" t="s">
        <v>0</v>
      </c>
      <c r="C2" s="278"/>
      <c r="D2" s="278"/>
      <c r="E2" s="278"/>
      <c r="F2" s="278"/>
      <c r="G2" s="278"/>
      <c r="H2" s="278"/>
      <c r="I2" s="279"/>
      <c r="J2" s="158"/>
      <c r="K2" s="277" t="s">
        <v>1</v>
      </c>
      <c r="L2" s="278"/>
      <c r="M2" s="278"/>
      <c r="N2" s="278"/>
      <c r="O2" s="278"/>
      <c r="P2" s="278"/>
      <c r="Q2" s="278"/>
      <c r="R2" s="279"/>
    </row>
    <row r="3" spans="2:18" ht="15.75" thickBot="1">
      <c r="B3" s="159" t="s">
        <v>35</v>
      </c>
      <c r="C3" s="160" t="s">
        <v>16</v>
      </c>
      <c r="D3" s="160" t="s">
        <v>17</v>
      </c>
      <c r="E3" s="160" t="s">
        <v>18</v>
      </c>
      <c r="F3" s="160" t="s">
        <v>19</v>
      </c>
      <c r="G3" s="161" t="s">
        <v>20</v>
      </c>
      <c r="H3" s="162" t="s">
        <v>180</v>
      </c>
      <c r="I3" s="163" t="s">
        <v>181</v>
      </c>
      <c r="J3" s="164"/>
      <c r="K3" s="159" t="s">
        <v>35</v>
      </c>
      <c r="L3" s="160" t="s">
        <v>16</v>
      </c>
      <c r="M3" s="160" t="s">
        <v>17</v>
      </c>
      <c r="N3" s="160" t="s">
        <v>18</v>
      </c>
      <c r="O3" s="160" t="s">
        <v>19</v>
      </c>
      <c r="P3" s="161" t="s">
        <v>20</v>
      </c>
      <c r="Q3" s="165" t="s">
        <v>180</v>
      </c>
      <c r="R3" s="162" t="s">
        <v>181</v>
      </c>
    </row>
    <row r="4" spans="2:18" ht="15.75" thickBot="1">
      <c r="B4" s="296" t="s">
        <v>89</v>
      </c>
      <c r="C4" s="297"/>
      <c r="D4" s="297"/>
      <c r="E4" s="297"/>
      <c r="F4" s="297"/>
      <c r="G4" s="297"/>
      <c r="H4" s="297"/>
      <c r="I4" s="298"/>
      <c r="J4" s="164"/>
      <c r="K4" s="283" t="s">
        <v>88</v>
      </c>
      <c r="L4" s="284"/>
      <c r="M4" s="284"/>
      <c r="N4" s="284"/>
      <c r="O4" s="284"/>
      <c r="P4" s="284"/>
      <c r="Q4" s="284"/>
      <c r="R4" s="285"/>
    </row>
    <row r="5" spans="2:18" ht="60" customHeight="1">
      <c r="B5" s="166" t="s">
        <v>171</v>
      </c>
      <c r="C5" s="167" t="s">
        <v>172</v>
      </c>
      <c r="D5" s="168">
        <v>1</v>
      </c>
      <c r="E5" s="168">
        <v>6000</v>
      </c>
      <c r="F5" s="169">
        <v>15000</v>
      </c>
      <c r="G5" s="170">
        <f t="shared" ref="G5:G19" si="0">F5*E5*D5</f>
        <v>90000000</v>
      </c>
      <c r="H5" s="166"/>
      <c r="I5" s="171">
        <f>G5</f>
        <v>90000000</v>
      </c>
      <c r="J5" s="172"/>
      <c r="K5" s="151" t="s">
        <v>15</v>
      </c>
      <c r="L5" s="173" t="s">
        <v>26</v>
      </c>
      <c r="M5" s="174">
        <v>24</v>
      </c>
      <c r="N5" s="174">
        <v>1</v>
      </c>
      <c r="O5" s="175">
        <v>3500000</v>
      </c>
      <c r="P5" s="208">
        <f t="shared" ref="P5:P16" si="1">O5*N5*M5</f>
        <v>84000000</v>
      </c>
      <c r="Q5" s="213">
        <f>P5/2</f>
        <v>42000000</v>
      </c>
      <c r="R5" s="196">
        <f>P5/2</f>
        <v>42000000</v>
      </c>
    </row>
    <row r="6" spans="2:18" ht="45">
      <c r="B6" s="147" t="s">
        <v>5</v>
      </c>
      <c r="C6" s="176" t="s">
        <v>23</v>
      </c>
      <c r="D6" s="177">
        <v>1</v>
      </c>
      <c r="E6" s="177">
        <v>21</v>
      </c>
      <c r="F6" s="178">
        <v>1500000</v>
      </c>
      <c r="G6" s="179">
        <f t="shared" si="0"/>
        <v>31500000</v>
      </c>
      <c r="H6" s="180">
        <f>G6/2</f>
        <v>15750000</v>
      </c>
      <c r="I6" s="181">
        <f>G6/2</f>
        <v>15750000</v>
      </c>
      <c r="J6" s="172"/>
      <c r="K6" s="219" t="s">
        <v>72</v>
      </c>
      <c r="L6" s="182" t="s">
        <v>26</v>
      </c>
      <c r="M6" s="118">
        <v>24</v>
      </c>
      <c r="N6" s="118">
        <v>2</v>
      </c>
      <c r="O6" s="183">
        <v>3000000</v>
      </c>
      <c r="P6" s="209">
        <f t="shared" si="1"/>
        <v>144000000</v>
      </c>
      <c r="Q6" s="214">
        <f>P6/2</f>
        <v>72000000</v>
      </c>
      <c r="R6" s="198">
        <f>P6/2</f>
        <v>72000000</v>
      </c>
    </row>
    <row r="7" spans="2:18" ht="60" customHeight="1">
      <c r="B7" s="147" t="s">
        <v>6</v>
      </c>
      <c r="C7" s="176" t="s">
        <v>23</v>
      </c>
      <c r="D7" s="177">
        <v>1</v>
      </c>
      <c r="E7" s="177">
        <v>10</v>
      </c>
      <c r="F7" s="178">
        <v>1500000</v>
      </c>
      <c r="G7" s="179">
        <f t="shared" si="0"/>
        <v>15000000</v>
      </c>
      <c r="H7" s="180"/>
      <c r="I7" s="181">
        <f>G7</f>
        <v>15000000</v>
      </c>
      <c r="J7" s="184"/>
      <c r="K7" s="152" t="s">
        <v>30</v>
      </c>
      <c r="L7" s="182" t="s">
        <v>28</v>
      </c>
      <c r="M7" s="118">
        <v>24</v>
      </c>
      <c r="N7" s="118">
        <v>5</v>
      </c>
      <c r="O7" s="183">
        <v>500000</v>
      </c>
      <c r="P7" s="209">
        <f t="shared" si="1"/>
        <v>60000000</v>
      </c>
      <c r="Q7" s="214">
        <f>P7/2</f>
        <v>30000000</v>
      </c>
      <c r="R7" s="198">
        <f>P7/2</f>
        <v>30000000</v>
      </c>
    </row>
    <row r="8" spans="2:18" ht="30" customHeight="1">
      <c r="B8" s="147" t="s">
        <v>22</v>
      </c>
      <c r="C8" s="176" t="s">
        <v>21</v>
      </c>
      <c r="D8" s="177">
        <v>1</v>
      </c>
      <c r="E8" s="177">
        <v>200</v>
      </c>
      <c r="F8" s="178">
        <v>20000</v>
      </c>
      <c r="G8" s="179">
        <f t="shared" si="0"/>
        <v>4000000</v>
      </c>
      <c r="H8" s="180">
        <f t="shared" ref="H8:H17" si="2">G8/2</f>
        <v>2000000</v>
      </c>
      <c r="I8" s="181">
        <f t="shared" ref="I8:I17" si="3">G8/2</f>
        <v>2000000</v>
      </c>
      <c r="J8" s="184"/>
      <c r="K8" s="152" t="s">
        <v>14</v>
      </c>
      <c r="L8" s="182" t="s">
        <v>26</v>
      </c>
      <c r="M8" s="118">
        <v>24</v>
      </c>
      <c r="N8" s="118">
        <v>1</v>
      </c>
      <c r="O8" s="183">
        <v>3000000</v>
      </c>
      <c r="P8" s="209">
        <f t="shared" si="1"/>
        <v>72000000</v>
      </c>
      <c r="Q8" s="214">
        <f>P8/2</f>
        <v>36000000</v>
      </c>
      <c r="R8" s="198">
        <f>P8/2</f>
        <v>36000000</v>
      </c>
    </row>
    <row r="9" spans="2:18" ht="45">
      <c r="B9" s="147" t="s">
        <v>36</v>
      </c>
      <c r="C9" s="176" t="s">
        <v>47</v>
      </c>
      <c r="D9" s="177">
        <v>1</v>
      </c>
      <c r="E9" s="177">
        <v>75</v>
      </c>
      <c r="F9" s="178">
        <v>120000</v>
      </c>
      <c r="G9" s="185">
        <f t="shared" si="0"/>
        <v>9000000</v>
      </c>
      <c r="H9" s="180">
        <f t="shared" si="2"/>
        <v>4500000</v>
      </c>
      <c r="I9" s="181">
        <f t="shared" si="3"/>
        <v>4500000</v>
      </c>
      <c r="J9" s="184"/>
      <c r="K9" s="152" t="s">
        <v>31</v>
      </c>
      <c r="L9" s="182" t="s">
        <v>28</v>
      </c>
      <c r="M9" s="118">
        <v>24</v>
      </c>
      <c r="N9" s="118">
        <v>1</v>
      </c>
      <c r="O9" s="183">
        <v>500000</v>
      </c>
      <c r="P9" s="197">
        <f t="shared" si="1"/>
        <v>12000000</v>
      </c>
      <c r="Q9" s="214">
        <f>P9/2</f>
        <v>6000000</v>
      </c>
      <c r="R9" s="198">
        <f>P9/2</f>
        <v>6000000</v>
      </c>
    </row>
    <row r="10" spans="2:18" ht="30" customHeight="1">
      <c r="B10" s="147" t="s">
        <v>37</v>
      </c>
      <c r="C10" s="176" t="s">
        <v>47</v>
      </c>
      <c r="D10" s="177">
        <v>1</v>
      </c>
      <c r="E10" s="177">
        <v>600</v>
      </c>
      <c r="F10" s="178">
        <v>20000</v>
      </c>
      <c r="G10" s="185">
        <f t="shared" si="0"/>
        <v>12000000</v>
      </c>
      <c r="H10" s="180">
        <f t="shared" si="2"/>
        <v>6000000</v>
      </c>
      <c r="I10" s="181">
        <f t="shared" si="3"/>
        <v>6000000</v>
      </c>
      <c r="J10" s="184"/>
      <c r="K10" s="152" t="s">
        <v>11</v>
      </c>
      <c r="L10" s="182" t="s">
        <v>26</v>
      </c>
      <c r="M10" s="118">
        <v>22</v>
      </c>
      <c r="N10" s="118">
        <v>2</v>
      </c>
      <c r="O10" s="183">
        <v>2700000</v>
      </c>
      <c r="P10" s="209">
        <f t="shared" si="1"/>
        <v>118800000</v>
      </c>
      <c r="Q10" s="214">
        <f>O10*20</f>
        <v>54000000</v>
      </c>
      <c r="R10" s="198">
        <f>O10*24</f>
        <v>64800000</v>
      </c>
    </row>
    <row r="11" spans="2:18" ht="30" customHeight="1">
      <c r="B11" s="147" t="s">
        <v>40</v>
      </c>
      <c r="C11" s="176" t="s">
        <v>48</v>
      </c>
      <c r="D11" s="177">
        <v>1</v>
      </c>
      <c r="E11" s="177">
        <v>150</v>
      </c>
      <c r="F11" s="178">
        <v>15000</v>
      </c>
      <c r="G11" s="185">
        <f t="shared" si="0"/>
        <v>2250000</v>
      </c>
      <c r="H11" s="180">
        <f t="shared" si="2"/>
        <v>1125000</v>
      </c>
      <c r="I11" s="181">
        <f t="shared" si="3"/>
        <v>1125000</v>
      </c>
      <c r="J11" s="184"/>
      <c r="K11" s="152" t="s">
        <v>32</v>
      </c>
      <c r="L11" s="182" t="s">
        <v>28</v>
      </c>
      <c r="M11" s="118">
        <v>22</v>
      </c>
      <c r="N11" s="118">
        <v>2</v>
      </c>
      <c r="O11" s="183">
        <v>500000</v>
      </c>
      <c r="P11" s="209">
        <f t="shared" si="1"/>
        <v>22000000</v>
      </c>
      <c r="Q11" s="214">
        <f>O11*20</f>
        <v>10000000</v>
      </c>
      <c r="R11" s="198">
        <f>O11*24</f>
        <v>12000000</v>
      </c>
    </row>
    <row r="12" spans="2:18" ht="30" customHeight="1">
      <c r="B12" s="147" t="s">
        <v>41</v>
      </c>
      <c r="C12" s="176" t="s">
        <v>48</v>
      </c>
      <c r="D12" s="177">
        <v>1</v>
      </c>
      <c r="E12" s="177">
        <v>75</v>
      </c>
      <c r="F12" s="178">
        <v>25000</v>
      </c>
      <c r="G12" s="185">
        <f t="shared" si="0"/>
        <v>1875000</v>
      </c>
      <c r="H12" s="180">
        <f t="shared" si="2"/>
        <v>937500</v>
      </c>
      <c r="I12" s="181">
        <f t="shared" si="3"/>
        <v>937500</v>
      </c>
      <c r="J12" s="184"/>
      <c r="K12" s="152" t="s">
        <v>13</v>
      </c>
      <c r="L12" s="182" t="s">
        <v>26</v>
      </c>
      <c r="M12" s="118">
        <v>22</v>
      </c>
      <c r="N12" s="118">
        <v>4</v>
      </c>
      <c r="O12" s="183">
        <v>1500000</v>
      </c>
      <c r="P12" s="209">
        <f t="shared" si="1"/>
        <v>132000000</v>
      </c>
      <c r="Q12" s="214">
        <f>O12*40</f>
        <v>60000000</v>
      </c>
      <c r="R12" s="198">
        <f>O12*48</f>
        <v>72000000</v>
      </c>
    </row>
    <row r="13" spans="2:18" ht="30" customHeight="1">
      <c r="B13" s="147" t="s">
        <v>38</v>
      </c>
      <c r="C13" s="176" t="s">
        <v>54</v>
      </c>
      <c r="D13" s="177">
        <v>1</v>
      </c>
      <c r="E13" s="177">
        <v>50</v>
      </c>
      <c r="F13" s="178">
        <v>70000</v>
      </c>
      <c r="G13" s="185">
        <f t="shared" si="0"/>
        <v>3500000</v>
      </c>
      <c r="H13" s="180">
        <f t="shared" si="2"/>
        <v>1750000</v>
      </c>
      <c r="I13" s="181">
        <f t="shared" si="3"/>
        <v>1750000</v>
      </c>
      <c r="J13" s="184"/>
      <c r="K13" s="152" t="s">
        <v>27</v>
      </c>
      <c r="L13" s="182" t="s">
        <v>28</v>
      </c>
      <c r="M13" s="118">
        <v>22</v>
      </c>
      <c r="N13" s="118">
        <v>4</v>
      </c>
      <c r="O13" s="183">
        <v>500000</v>
      </c>
      <c r="P13" s="209">
        <f t="shared" si="1"/>
        <v>44000000</v>
      </c>
      <c r="Q13" s="214">
        <f>O13*40</f>
        <v>20000000</v>
      </c>
      <c r="R13" s="198">
        <f>O13*48</f>
        <v>24000000</v>
      </c>
    </row>
    <row r="14" spans="2:18">
      <c r="B14" s="147" t="s">
        <v>39</v>
      </c>
      <c r="C14" s="176" t="s">
        <v>55</v>
      </c>
      <c r="D14" s="177">
        <v>1</v>
      </c>
      <c r="E14" s="177">
        <v>50</v>
      </c>
      <c r="F14" s="178">
        <v>45000</v>
      </c>
      <c r="G14" s="185">
        <f t="shared" si="0"/>
        <v>2250000</v>
      </c>
      <c r="H14" s="180">
        <f t="shared" si="2"/>
        <v>1125000</v>
      </c>
      <c r="I14" s="181">
        <f t="shared" si="3"/>
        <v>1125000</v>
      </c>
      <c r="J14" s="184"/>
      <c r="K14" s="152" t="s">
        <v>50</v>
      </c>
      <c r="L14" s="182" t="s">
        <v>51</v>
      </c>
      <c r="M14" s="118">
        <v>12</v>
      </c>
      <c r="N14" s="118">
        <v>10</v>
      </c>
      <c r="O14" s="183">
        <v>850000</v>
      </c>
      <c r="P14" s="197">
        <f t="shared" si="1"/>
        <v>102000000</v>
      </c>
      <c r="Q14" s="152"/>
      <c r="R14" s="198">
        <f>P14</f>
        <v>102000000</v>
      </c>
    </row>
    <row r="15" spans="2:18">
      <c r="B15" s="147" t="s">
        <v>42</v>
      </c>
      <c r="C15" s="176" t="s">
        <v>55</v>
      </c>
      <c r="D15" s="177">
        <v>1</v>
      </c>
      <c r="E15" s="177">
        <v>50</v>
      </c>
      <c r="F15" s="178">
        <v>30000</v>
      </c>
      <c r="G15" s="185">
        <f t="shared" si="0"/>
        <v>1500000</v>
      </c>
      <c r="H15" s="180">
        <f t="shared" si="2"/>
        <v>750000</v>
      </c>
      <c r="I15" s="181">
        <f t="shared" si="3"/>
        <v>750000</v>
      </c>
      <c r="J15" s="184"/>
      <c r="K15" s="152" t="s">
        <v>12</v>
      </c>
      <c r="L15" s="182" t="s">
        <v>26</v>
      </c>
      <c r="M15" s="118">
        <v>12</v>
      </c>
      <c r="N15" s="118">
        <v>2</v>
      </c>
      <c r="O15" s="183">
        <v>500000</v>
      </c>
      <c r="P15" s="209">
        <f t="shared" si="1"/>
        <v>12000000</v>
      </c>
      <c r="Q15" s="214">
        <f>P15</f>
        <v>12000000</v>
      </c>
      <c r="R15" s="211"/>
    </row>
    <row r="16" spans="2:18" ht="30" customHeight="1" thickBot="1">
      <c r="B16" s="147" t="s">
        <v>43</v>
      </c>
      <c r="C16" s="176" t="s">
        <v>55</v>
      </c>
      <c r="D16" s="177">
        <v>1</v>
      </c>
      <c r="E16" s="177">
        <v>50</v>
      </c>
      <c r="F16" s="178">
        <v>50000</v>
      </c>
      <c r="G16" s="185">
        <f t="shared" si="0"/>
        <v>2500000</v>
      </c>
      <c r="H16" s="180">
        <f t="shared" si="2"/>
        <v>1250000</v>
      </c>
      <c r="I16" s="181">
        <f t="shared" si="3"/>
        <v>1250000</v>
      </c>
      <c r="J16" s="184"/>
      <c r="K16" s="155" t="s">
        <v>29</v>
      </c>
      <c r="L16" s="186" t="s">
        <v>28</v>
      </c>
      <c r="M16" s="187">
        <v>12</v>
      </c>
      <c r="N16" s="187">
        <v>2</v>
      </c>
      <c r="O16" s="188">
        <v>120000</v>
      </c>
      <c r="P16" s="210">
        <f t="shared" si="1"/>
        <v>2880000</v>
      </c>
      <c r="Q16" s="215">
        <f>P16</f>
        <v>2880000</v>
      </c>
      <c r="R16" s="212"/>
    </row>
    <row r="17" spans="2:18" ht="15.75" thickBot="1">
      <c r="B17" s="147" t="s">
        <v>44</v>
      </c>
      <c r="C17" s="176" t="s">
        <v>47</v>
      </c>
      <c r="D17" s="177">
        <v>1</v>
      </c>
      <c r="E17" s="177">
        <v>50</v>
      </c>
      <c r="F17" s="178">
        <v>140000</v>
      </c>
      <c r="G17" s="185">
        <f t="shared" si="0"/>
        <v>7000000</v>
      </c>
      <c r="H17" s="180">
        <f t="shared" si="2"/>
        <v>3500000</v>
      </c>
      <c r="I17" s="181">
        <f t="shared" si="3"/>
        <v>3500000</v>
      </c>
      <c r="J17" s="184"/>
      <c r="K17" s="280" t="s">
        <v>90</v>
      </c>
      <c r="L17" s="281"/>
      <c r="M17" s="281"/>
      <c r="N17" s="281"/>
      <c r="O17" s="281"/>
      <c r="P17" s="281"/>
      <c r="Q17" s="281"/>
      <c r="R17" s="282"/>
    </row>
    <row r="18" spans="2:18">
      <c r="B18" s="147" t="s">
        <v>45</v>
      </c>
      <c r="C18" s="176" t="s">
        <v>48</v>
      </c>
      <c r="D18" s="177">
        <v>1</v>
      </c>
      <c r="E18" s="177">
        <v>35</v>
      </c>
      <c r="F18" s="178">
        <v>340000</v>
      </c>
      <c r="G18" s="185">
        <f t="shared" si="0"/>
        <v>11900000</v>
      </c>
      <c r="H18" s="180">
        <f>G18</f>
        <v>11900000</v>
      </c>
      <c r="I18" s="181"/>
      <c r="J18" s="184"/>
      <c r="K18" s="157" t="s">
        <v>7</v>
      </c>
      <c r="L18" s="173" t="s">
        <v>24</v>
      </c>
      <c r="M18" s="174">
        <v>1</v>
      </c>
      <c r="N18" s="174">
        <v>1</v>
      </c>
      <c r="O18" s="175">
        <v>4000000</v>
      </c>
      <c r="P18" s="208">
        <f>O18*N18*M18</f>
        <v>4000000</v>
      </c>
      <c r="Q18" s="213">
        <f>P18</f>
        <v>4000000</v>
      </c>
      <c r="R18" s="216"/>
    </row>
    <row r="19" spans="2:18" ht="15.75" thickBot="1">
      <c r="B19" s="148" t="s">
        <v>46</v>
      </c>
      <c r="C19" s="189" t="s">
        <v>49</v>
      </c>
      <c r="D19" s="190">
        <v>1</v>
      </c>
      <c r="E19" s="190">
        <v>35</v>
      </c>
      <c r="F19" s="191">
        <v>115000</v>
      </c>
      <c r="G19" s="192">
        <f t="shared" si="0"/>
        <v>4025000</v>
      </c>
      <c r="H19" s="193">
        <f>G19</f>
        <v>4025000</v>
      </c>
      <c r="I19" s="194"/>
      <c r="J19" s="184"/>
      <c r="K19" s="152" t="s">
        <v>8</v>
      </c>
      <c r="L19" s="182" t="s">
        <v>24</v>
      </c>
      <c r="M19" s="118">
        <v>1</v>
      </c>
      <c r="N19" s="118">
        <v>10</v>
      </c>
      <c r="O19" s="183">
        <v>5000000</v>
      </c>
      <c r="P19" s="209">
        <f>O19*N19*M19</f>
        <v>50000000</v>
      </c>
      <c r="Q19" s="214">
        <f>P19</f>
        <v>50000000</v>
      </c>
      <c r="R19" s="211"/>
    </row>
    <row r="20" spans="2:18" ht="15.75" thickBot="1">
      <c r="B20" s="280" t="s">
        <v>91</v>
      </c>
      <c r="C20" s="281"/>
      <c r="D20" s="281"/>
      <c r="E20" s="281"/>
      <c r="F20" s="281"/>
      <c r="G20" s="281"/>
      <c r="H20" s="281"/>
      <c r="I20" s="282"/>
      <c r="J20" s="184"/>
      <c r="K20" s="152" t="s">
        <v>25</v>
      </c>
      <c r="L20" s="182" t="s">
        <v>9</v>
      </c>
      <c r="M20" s="118">
        <v>1</v>
      </c>
      <c r="N20" s="118">
        <f>E7*2</f>
        <v>20</v>
      </c>
      <c r="O20" s="183">
        <v>45000</v>
      </c>
      <c r="P20" s="209">
        <f>O20*N20*M20</f>
        <v>900000</v>
      </c>
      <c r="Q20" s="214">
        <f>P20</f>
        <v>900000</v>
      </c>
      <c r="R20" s="211"/>
    </row>
    <row r="21" spans="2:18" ht="30.75" thickBot="1">
      <c r="B21" s="151" t="s">
        <v>147</v>
      </c>
      <c r="C21" s="173"/>
      <c r="D21" s="174">
        <v>9</v>
      </c>
      <c r="E21" s="174">
        <v>60</v>
      </c>
      <c r="F21" s="175">
        <v>77949</v>
      </c>
      <c r="G21" s="195">
        <f>F21*E21*D21</f>
        <v>42092460</v>
      </c>
      <c r="H21" s="151"/>
      <c r="I21" s="196">
        <f>G21</f>
        <v>42092460</v>
      </c>
      <c r="K21" s="155" t="s">
        <v>25</v>
      </c>
      <c r="L21" s="186" t="s">
        <v>10</v>
      </c>
      <c r="M21" s="187">
        <v>1</v>
      </c>
      <c r="N21" s="187">
        <f>E7*2</f>
        <v>20</v>
      </c>
      <c r="O21" s="188">
        <v>20000</v>
      </c>
      <c r="P21" s="210">
        <f>O21*N21*M21</f>
        <v>400000</v>
      </c>
      <c r="Q21" s="215">
        <f>P21</f>
        <v>400000</v>
      </c>
      <c r="R21" s="212"/>
    </row>
    <row r="22" spans="2:18" ht="30.75" thickBot="1">
      <c r="B22" s="152" t="s">
        <v>148</v>
      </c>
      <c r="C22" s="182"/>
      <c r="D22" s="118">
        <v>9</v>
      </c>
      <c r="E22" s="118">
        <v>60</v>
      </c>
      <c r="F22" s="183">
        <v>91806</v>
      </c>
      <c r="G22" s="197">
        <f>F22*E22*D22</f>
        <v>49575240</v>
      </c>
      <c r="H22" s="152"/>
      <c r="I22" s="198">
        <f>G22</f>
        <v>49575240</v>
      </c>
      <c r="J22" s="184"/>
      <c r="K22" s="280" t="s">
        <v>170</v>
      </c>
      <c r="L22" s="281"/>
      <c r="M22" s="281"/>
      <c r="N22" s="281"/>
      <c r="O22" s="281"/>
      <c r="P22" s="281"/>
      <c r="Q22" s="281"/>
      <c r="R22" s="282"/>
    </row>
    <row r="23" spans="2:18">
      <c r="B23" s="152" t="s">
        <v>52</v>
      </c>
      <c r="C23" s="182"/>
      <c r="D23" s="118">
        <v>700</v>
      </c>
      <c r="E23" s="118">
        <v>12</v>
      </c>
      <c r="F23" s="183">
        <v>30000</v>
      </c>
      <c r="G23" s="197">
        <f>F23*E23*D23</f>
        <v>252000000</v>
      </c>
      <c r="H23" s="152"/>
      <c r="I23" s="198">
        <f>G23</f>
        <v>252000000</v>
      </c>
      <c r="J23" s="184"/>
      <c r="K23" s="157" t="s">
        <v>173</v>
      </c>
      <c r="L23" s="173"/>
      <c r="M23" s="174">
        <v>24</v>
      </c>
      <c r="N23" s="174">
        <v>1</v>
      </c>
      <c r="O23" s="175">
        <v>3000000</v>
      </c>
      <c r="P23" s="208">
        <f>O23*N23*M23</f>
        <v>72000000</v>
      </c>
      <c r="Q23" s="213"/>
      <c r="R23" s="196">
        <f>P23</f>
        <v>72000000</v>
      </c>
    </row>
    <row r="24" spans="2:18" ht="30.75" thickBot="1">
      <c r="B24" s="153" t="s">
        <v>53</v>
      </c>
      <c r="C24" s="199"/>
      <c r="D24" s="200">
        <v>500</v>
      </c>
      <c r="E24" s="200">
        <v>12</v>
      </c>
      <c r="F24" s="201">
        <v>10000</v>
      </c>
      <c r="G24" s="202">
        <f>F24*E24*D24</f>
        <v>60000000</v>
      </c>
      <c r="H24" s="153"/>
      <c r="I24" s="203">
        <f>G24</f>
        <v>60000000</v>
      </c>
      <c r="J24" s="184"/>
      <c r="K24" s="152" t="s">
        <v>174</v>
      </c>
      <c r="L24" s="182"/>
      <c r="M24" s="118">
        <v>24</v>
      </c>
      <c r="N24" s="118">
        <v>3</v>
      </c>
      <c r="O24" s="183">
        <v>500000</v>
      </c>
      <c r="P24" s="209">
        <f>O24*N24*M24</f>
        <v>36000000</v>
      </c>
      <c r="Q24" s="221"/>
      <c r="R24" s="198">
        <f t="shared" ref="R24:R25" si="4">P24</f>
        <v>36000000</v>
      </c>
    </row>
    <row r="25" spans="2:18" ht="19.5" customHeight="1" thickBot="1">
      <c r="B25" s="286" t="s">
        <v>182</v>
      </c>
      <c r="C25" s="287"/>
      <c r="D25" s="287"/>
      <c r="E25" s="287"/>
      <c r="F25" s="287"/>
      <c r="G25" s="288"/>
      <c r="H25" s="292">
        <f>SUM(H5:H24)</f>
        <v>54612500</v>
      </c>
      <c r="I25" s="294">
        <f>SUM(I5:I24)</f>
        <v>547355200</v>
      </c>
      <c r="J25" s="184"/>
      <c r="K25" s="153" t="s">
        <v>175</v>
      </c>
      <c r="L25" s="199"/>
      <c r="M25" s="200">
        <v>4</v>
      </c>
      <c r="N25" s="200">
        <v>3</v>
      </c>
      <c r="O25" s="201">
        <v>600000</v>
      </c>
      <c r="P25" s="217">
        <f>O25*N25*M25</f>
        <v>7200000</v>
      </c>
      <c r="Q25" s="222"/>
      <c r="R25" s="203">
        <f t="shared" si="4"/>
        <v>7200000</v>
      </c>
    </row>
    <row r="26" spans="2:18" ht="19.5" thickBot="1">
      <c r="B26" s="289"/>
      <c r="C26" s="290"/>
      <c r="D26" s="290"/>
      <c r="E26" s="290"/>
      <c r="F26" s="290"/>
      <c r="G26" s="291"/>
      <c r="H26" s="293"/>
      <c r="I26" s="295"/>
      <c r="K26" s="299" t="s">
        <v>183</v>
      </c>
      <c r="L26" s="300"/>
      <c r="M26" s="300"/>
      <c r="N26" s="300"/>
      <c r="O26" s="300"/>
      <c r="P26" s="303"/>
      <c r="Q26" s="218">
        <f>SUM(Q5:Q25)</f>
        <v>400180000</v>
      </c>
      <c r="R26" s="204">
        <f>SUM(R5:R25)</f>
        <v>576000000</v>
      </c>
    </row>
    <row r="27" spans="2:18" ht="19.5" thickBot="1">
      <c r="B27" s="299" t="s">
        <v>185</v>
      </c>
      <c r="C27" s="300"/>
      <c r="D27" s="300"/>
      <c r="E27" s="300"/>
      <c r="F27" s="300"/>
      <c r="G27" s="300"/>
      <c r="H27" s="218">
        <f>H25/12</f>
        <v>4551041.666666667</v>
      </c>
      <c r="I27" s="218">
        <f>I25/12</f>
        <v>45612933.333333336</v>
      </c>
      <c r="K27" s="299" t="s">
        <v>184</v>
      </c>
      <c r="L27" s="300"/>
      <c r="M27" s="300"/>
      <c r="N27" s="300"/>
      <c r="O27" s="300"/>
      <c r="P27" s="300"/>
      <c r="Q27" s="218">
        <f>Q26/12</f>
        <v>33348333.333333332</v>
      </c>
      <c r="R27" s="218">
        <f>R26/12</f>
        <v>48000000</v>
      </c>
    </row>
    <row r="28" spans="2:18" ht="19.5" thickBot="1">
      <c r="B28" s="301" t="s">
        <v>186</v>
      </c>
      <c r="C28" s="302"/>
      <c r="D28" s="302"/>
      <c r="E28" s="302"/>
      <c r="F28" s="302"/>
      <c r="G28" s="302"/>
      <c r="H28" s="218">
        <f>H27/120</f>
        <v>37925.347222222226</v>
      </c>
      <c r="I28" s="218">
        <f>I27/120</f>
        <v>380107.77777777781</v>
      </c>
      <c r="K28" s="301" t="s">
        <v>187</v>
      </c>
      <c r="L28" s="302"/>
      <c r="M28" s="302"/>
      <c r="N28" s="302"/>
      <c r="O28" s="302"/>
      <c r="P28" s="302"/>
      <c r="Q28" s="218">
        <f>Q27/120</f>
        <v>277902.77777777775</v>
      </c>
      <c r="R28" s="218">
        <f>R27/120</f>
        <v>400000</v>
      </c>
    </row>
    <row r="35" spans="6:12">
      <c r="I35" s="184"/>
      <c r="J35" s="184"/>
    </row>
    <row r="37" spans="6:12">
      <c r="I37" s="184"/>
      <c r="J37" s="184"/>
    </row>
    <row r="38" spans="6:12">
      <c r="I38" s="184"/>
      <c r="J38" s="184"/>
    </row>
    <row r="40" spans="6:12">
      <c r="L40" s="184"/>
    </row>
    <row r="48" spans="6:12">
      <c r="F48" s="205"/>
      <c r="G48" s="206"/>
    </row>
    <row r="49" spans="5:10">
      <c r="E49" s="184"/>
      <c r="G49" s="184"/>
      <c r="H49" s="184"/>
      <c r="I49" s="184"/>
      <c r="J49" s="184"/>
    </row>
    <row r="50" spans="5:10">
      <c r="H50" s="184"/>
      <c r="I50" s="184"/>
      <c r="J50" s="184"/>
    </row>
    <row r="51" spans="5:10">
      <c r="G51" s="207"/>
      <c r="H51" s="184"/>
    </row>
    <row r="52" spans="5:10">
      <c r="G52" s="207"/>
      <c r="H52" s="184"/>
    </row>
  </sheetData>
  <mergeCells count="15">
    <mergeCell ref="B27:G27"/>
    <mergeCell ref="K27:P27"/>
    <mergeCell ref="B28:G28"/>
    <mergeCell ref="K28:P28"/>
    <mergeCell ref="K26:P26"/>
    <mergeCell ref="K22:R22"/>
    <mergeCell ref="B25:G26"/>
    <mergeCell ref="H25:H26"/>
    <mergeCell ref="I25:I26"/>
    <mergeCell ref="B4:I4"/>
    <mergeCell ref="K2:R2"/>
    <mergeCell ref="B2:I2"/>
    <mergeCell ref="B20:I20"/>
    <mergeCell ref="K4:R4"/>
    <mergeCell ref="K17:R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9"/>
  <sheetViews>
    <sheetView topLeftCell="A10" workbookViewId="0">
      <selection activeCell="F7" sqref="F7"/>
    </sheetView>
  </sheetViews>
  <sheetFormatPr baseColWidth="10" defaultRowHeight="15"/>
  <cols>
    <col min="2" max="2" width="8" bestFit="1" customWidth="1"/>
    <col min="3" max="4" width="13.42578125" bestFit="1" customWidth="1"/>
    <col min="5" max="5" width="14" bestFit="1" customWidth="1"/>
    <col min="6" max="6" width="15" bestFit="1" customWidth="1"/>
    <col min="7" max="7" width="14.140625" bestFit="1" customWidth="1"/>
    <col min="8" max="8" width="15.140625" bestFit="1" customWidth="1"/>
    <col min="9" max="9" width="13.140625" bestFit="1" customWidth="1"/>
    <col min="10" max="10" width="14.140625" bestFit="1" customWidth="1"/>
  </cols>
  <sheetData>
    <row r="1" spans="2:10" ht="15.75" thickBot="1"/>
    <row r="2" spans="2:10">
      <c r="C2" s="94" t="s">
        <v>94</v>
      </c>
      <c r="D2" s="88">
        <v>300000000</v>
      </c>
      <c r="E2" s="1"/>
    </row>
    <row r="3" spans="2:10">
      <c r="C3" s="95" t="s">
        <v>95</v>
      </c>
      <c r="D3" s="89"/>
      <c r="E3" s="1"/>
    </row>
    <row r="4" spans="2:10">
      <c r="C4" s="95" t="s">
        <v>96</v>
      </c>
      <c r="D4" s="90">
        <f>D2*D3</f>
        <v>0</v>
      </c>
      <c r="E4" s="1"/>
    </row>
    <row r="5" spans="2:10">
      <c r="C5" s="95" t="s">
        <v>97</v>
      </c>
      <c r="D5" s="90">
        <f>D2-D4</f>
        <v>300000000</v>
      </c>
      <c r="E5" s="1"/>
    </row>
    <row r="6" spans="2:10">
      <c r="C6" s="95" t="s">
        <v>164</v>
      </c>
      <c r="D6" s="91">
        <v>1</v>
      </c>
      <c r="E6" s="1"/>
    </row>
    <row r="7" spans="2:10">
      <c r="C7" s="95" t="s">
        <v>165</v>
      </c>
      <c r="D7" s="91">
        <v>12</v>
      </c>
      <c r="E7" s="1"/>
    </row>
    <row r="8" spans="2:10">
      <c r="C8" s="95" t="s">
        <v>98</v>
      </c>
      <c r="D8" s="91">
        <f>D6*D7</f>
        <v>12</v>
      </c>
      <c r="E8" s="1"/>
    </row>
    <row r="9" spans="2:10">
      <c r="C9" s="95" t="s">
        <v>162</v>
      </c>
      <c r="D9" s="92">
        <v>0.2888</v>
      </c>
      <c r="E9" s="54"/>
    </row>
    <row r="10" spans="2:10" ht="15.75" thickBot="1">
      <c r="C10" s="96" t="s">
        <v>163</v>
      </c>
      <c r="D10" s="93">
        <v>2.137E-2</v>
      </c>
      <c r="E10" s="1"/>
    </row>
    <row r="11" spans="2:10" ht="15.75" thickBot="1">
      <c r="C11" s="1"/>
      <c r="D11" s="55"/>
      <c r="E11" s="1"/>
    </row>
    <row r="12" spans="2:10" ht="15.75" thickBot="1">
      <c r="B12" s="84"/>
      <c r="C12" s="304" t="s">
        <v>99</v>
      </c>
      <c r="D12" s="305"/>
      <c r="E12" s="305"/>
      <c r="F12" s="305"/>
      <c r="G12" s="305" t="s">
        <v>100</v>
      </c>
      <c r="H12" s="305"/>
      <c r="I12" s="305"/>
      <c r="J12" s="306"/>
    </row>
    <row r="13" spans="2:10" ht="15.75" customHeight="1" thickBot="1">
      <c r="B13" s="84" t="s">
        <v>101</v>
      </c>
      <c r="C13" s="80" t="s">
        <v>102</v>
      </c>
      <c r="D13" s="77" t="s">
        <v>103</v>
      </c>
      <c r="E13" s="78" t="s">
        <v>104</v>
      </c>
      <c r="F13" s="76" t="s">
        <v>105</v>
      </c>
      <c r="G13" s="76" t="s">
        <v>106</v>
      </c>
      <c r="H13" s="76" t="s">
        <v>103</v>
      </c>
      <c r="I13" s="76" t="s">
        <v>107</v>
      </c>
      <c r="J13" s="79" t="s">
        <v>105</v>
      </c>
    </row>
    <row r="14" spans="2:10">
      <c r="B14" s="85">
        <v>0</v>
      </c>
      <c r="C14" s="81"/>
      <c r="D14" s="57">
        <f>D5</f>
        <v>300000000</v>
      </c>
      <c r="E14" s="58">
        <f>D14*$D$10</f>
        <v>6411000</v>
      </c>
      <c r="F14" s="58">
        <f>C14+E14</f>
        <v>6411000</v>
      </c>
      <c r="G14" s="56"/>
      <c r="H14" s="57">
        <f>D5</f>
        <v>300000000</v>
      </c>
      <c r="I14" s="56"/>
      <c r="J14" s="59"/>
    </row>
    <row r="15" spans="2:10">
      <c r="B15" s="86">
        <v>1</v>
      </c>
      <c r="C15" s="82">
        <f t="shared" ref="C15:C26" si="0">$D$5/$D$8</f>
        <v>25000000</v>
      </c>
      <c r="D15" s="60">
        <f>D14-C15</f>
        <v>275000000</v>
      </c>
      <c r="E15" s="61">
        <f t="shared" ref="E15:E26" si="1">D15*$D$10</f>
        <v>5876750</v>
      </c>
      <c r="F15" s="61">
        <f>C15+E15</f>
        <v>30876750</v>
      </c>
      <c r="G15" s="62">
        <f>PPMT($D$10,B15,$D$8,-$D$5)</f>
        <v>22196098.098927598</v>
      </c>
      <c r="H15" s="62">
        <f>H14-G15</f>
        <v>277803901.90107238</v>
      </c>
      <c r="I15" s="62">
        <f>IPMT($D$10,B15,$D$8,-$D$5)</f>
        <v>6411000</v>
      </c>
      <c r="J15" s="63">
        <f t="shared" ref="J15:J26" si="2">G15+I15</f>
        <v>28607098.098927598</v>
      </c>
    </row>
    <row r="16" spans="2:10">
      <c r="B16" s="86">
        <v>2</v>
      </c>
      <c r="C16" s="82">
        <f t="shared" si="0"/>
        <v>25000000</v>
      </c>
      <c r="D16" s="60">
        <f t="shared" ref="D16:D26" si="3">D15-C16</f>
        <v>250000000</v>
      </c>
      <c r="E16" s="61">
        <f t="shared" si="1"/>
        <v>5342500</v>
      </c>
      <c r="F16" s="61">
        <f t="shared" ref="F16:F26" si="4">C15+E16</f>
        <v>30342500</v>
      </c>
      <c r="G16" s="62">
        <f t="shared" ref="G16:G26" si="5">PPMT($D$10,B16,$D$8,-$D$5)</f>
        <v>22670428.715301678</v>
      </c>
      <c r="H16" s="62">
        <f t="shared" ref="H16:H26" si="6">H15-G16</f>
        <v>255133473.18577069</v>
      </c>
      <c r="I16" s="62">
        <f t="shared" ref="I16:I26" si="7">IPMT($D$10,B16,$D$8,-$D$5)</f>
        <v>5936669.3836259181</v>
      </c>
      <c r="J16" s="63">
        <f t="shared" si="2"/>
        <v>28607098.098927595</v>
      </c>
    </row>
    <row r="17" spans="2:10">
      <c r="B17" s="86">
        <v>3</v>
      </c>
      <c r="C17" s="82">
        <f t="shared" si="0"/>
        <v>25000000</v>
      </c>
      <c r="D17" s="60">
        <f t="shared" si="3"/>
        <v>225000000</v>
      </c>
      <c r="E17" s="61">
        <f t="shared" si="1"/>
        <v>4808250</v>
      </c>
      <c r="F17" s="61">
        <f t="shared" si="4"/>
        <v>29808250</v>
      </c>
      <c r="G17" s="62">
        <f t="shared" si="5"/>
        <v>23154895.776947677</v>
      </c>
      <c r="H17" s="62">
        <f t="shared" si="6"/>
        <v>231978577.40882301</v>
      </c>
      <c r="I17" s="62">
        <f t="shared" si="7"/>
        <v>5452202.3219799213</v>
      </c>
      <c r="J17" s="63">
        <f t="shared" si="2"/>
        <v>28607098.098927598</v>
      </c>
    </row>
    <row r="18" spans="2:10">
      <c r="B18" s="86">
        <v>4</v>
      </c>
      <c r="C18" s="82">
        <f t="shared" si="0"/>
        <v>25000000</v>
      </c>
      <c r="D18" s="60">
        <f t="shared" si="3"/>
        <v>200000000</v>
      </c>
      <c r="E18" s="61">
        <f t="shared" si="1"/>
        <v>4274000</v>
      </c>
      <c r="F18" s="61">
        <f t="shared" si="4"/>
        <v>29274000</v>
      </c>
      <c r="G18" s="62">
        <f t="shared" si="5"/>
        <v>23649715.899701044</v>
      </c>
      <c r="H18" s="62">
        <f t="shared" si="6"/>
        <v>208328861.50912195</v>
      </c>
      <c r="I18" s="62">
        <f t="shared" si="7"/>
        <v>4957382.1992265489</v>
      </c>
      <c r="J18" s="63">
        <f t="shared" si="2"/>
        <v>28607098.098927595</v>
      </c>
    </row>
    <row r="19" spans="2:10">
      <c r="B19" s="86">
        <v>5</v>
      </c>
      <c r="C19" s="82">
        <f t="shared" si="0"/>
        <v>25000000</v>
      </c>
      <c r="D19" s="60">
        <f t="shared" si="3"/>
        <v>175000000</v>
      </c>
      <c r="E19" s="61">
        <f t="shared" si="1"/>
        <v>3739750</v>
      </c>
      <c r="F19" s="61">
        <f t="shared" si="4"/>
        <v>28739750</v>
      </c>
      <c r="G19" s="62">
        <f t="shared" si="5"/>
        <v>24155110.328477658</v>
      </c>
      <c r="H19" s="62">
        <f t="shared" si="6"/>
        <v>184173751.1806443</v>
      </c>
      <c r="I19" s="62">
        <f t="shared" si="7"/>
        <v>4451987.7704499383</v>
      </c>
      <c r="J19" s="63">
        <f t="shared" si="2"/>
        <v>28607098.098927595</v>
      </c>
    </row>
    <row r="20" spans="2:10">
      <c r="B20" s="86">
        <v>6</v>
      </c>
      <c r="C20" s="82">
        <f t="shared" si="0"/>
        <v>25000000</v>
      </c>
      <c r="D20" s="60">
        <f t="shared" si="3"/>
        <v>150000000</v>
      </c>
      <c r="E20" s="61">
        <f t="shared" si="1"/>
        <v>3205500</v>
      </c>
      <c r="F20" s="61">
        <f t="shared" si="4"/>
        <v>28205500</v>
      </c>
      <c r="G20" s="62">
        <f t="shared" si="5"/>
        <v>24671305.03619723</v>
      </c>
      <c r="H20" s="62">
        <f t="shared" si="6"/>
        <v>159502446.14444709</v>
      </c>
      <c r="I20" s="62">
        <f t="shared" si="7"/>
        <v>3935793.0627303706</v>
      </c>
      <c r="J20" s="63">
        <f t="shared" si="2"/>
        <v>28607098.098927602</v>
      </c>
    </row>
    <row r="21" spans="2:10">
      <c r="B21" s="86">
        <v>7</v>
      </c>
      <c r="C21" s="82">
        <f t="shared" si="0"/>
        <v>25000000</v>
      </c>
      <c r="D21" s="60">
        <f t="shared" si="3"/>
        <v>125000000</v>
      </c>
      <c r="E21" s="61">
        <f t="shared" si="1"/>
        <v>2671250</v>
      </c>
      <c r="F21" s="61">
        <f t="shared" si="4"/>
        <v>27671250</v>
      </c>
      <c r="G21" s="62">
        <f t="shared" si="5"/>
        <v>25198530.824820764</v>
      </c>
      <c r="H21" s="62">
        <f t="shared" si="6"/>
        <v>134303915.31962633</v>
      </c>
      <c r="I21" s="62">
        <f t="shared" si="7"/>
        <v>3408567.2741068355</v>
      </c>
      <c r="J21" s="63">
        <f t="shared" si="2"/>
        <v>28607098.098927598</v>
      </c>
    </row>
    <row r="22" spans="2:10">
      <c r="B22" s="86">
        <v>8</v>
      </c>
      <c r="C22" s="82">
        <f t="shared" si="0"/>
        <v>25000000</v>
      </c>
      <c r="D22" s="60">
        <f t="shared" si="3"/>
        <v>100000000</v>
      </c>
      <c r="E22" s="61">
        <f t="shared" si="1"/>
        <v>2137000</v>
      </c>
      <c r="F22" s="61">
        <f t="shared" si="4"/>
        <v>27137000</v>
      </c>
      <c r="G22" s="62">
        <f t="shared" si="5"/>
        <v>25737023.428547185</v>
      </c>
      <c r="H22" s="62">
        <f t="shared" si="6"/>
        <v>108566891.89107914</v>
      </c>
      <c r="I22" s="62">
        <f t="shared" si="7"/>
        <v>2870074.6703804159</v>
      </c>
      <c r="J22" s="63">
        <f t="shared" si="2"/>
        <v>28607098.098927602</v>
      </c>
    </row>
    <row r="23" spans="2:10">
      <c r="B23" s="86">
        <v>9</v>
      </c>
      <c r="C23" s="82">
        <f t="shared" si="0"/>
        <v>25000000</v>
      </c>
      <c r="D23" s="60">
        <f t="shared" si="3"/>
        <v>75000000</v>
      </c>
      <c r="E23" s="61">
        <f t="shared" si="1"/>
        <v>1602750</v>
      </c>
      <c r="F23" s="61">
        <f t="shared" si="4"/>
        <v>26602750</v>
      </c>
      <c r="G23" s="62">
        <f t="shared" si="5"/>
        <v>26287023.619215235</v>
      </c>
      <c r="H23" s="62">
        <f t="shared" si="6"/>
        <v>82279868.271863908</v>
      </c>
      <c r="I23" s="62">
        <f t="shared" si="7"/>
        <v>2320074.4797123624</v>
      </c>
      <c r="J23" s="63">
        <f t="shared" si="2"/>
        <v>28607098.098927598</v>
      </c>
    </row>
    <row r="24" spans="2:10">
      <c r="B24" s="86">
        <v>10</v>
      </c>
      <c r="C24" s="82">
        <f t="shared" si="0"/>
        <v>25000000</v>
      </c>
      <c r="D24" s="60">
        <f t="shared" si="3"/>
        <v>50000000</v>
      </c>
      <c r="E24" s="61">
        <f t="shared" si="1"/>
        <v>1068500</v>
      </c>
      <c r="F24" s="61">
        <f t="shared" si="4"/>
        <v>26068500</v>
      </c>
      <c r="G24" s="62">
        <f t="shared" si="5"/>
        <v>26848777.313957866</v>
      </c>
      <c r="H24" s="62">
        <f t="shared" si="6"/>
        <v>55431090.957906038</v>
      </c>
      <c r="I24" s="62">
        <f t="shared" si="7"/>
        <v>1758320.7849697331</v>
      </c>
      <c r="J24" s="63">
        <f t="shared" si="2"/>
        <v>28607098.098927598</v>
      </c>
    </row>
    <row r="25" spans="2:10">
      <c r="B25" s="86">
        <v>11</v>
      </c>
      <c r="C25" s="82">
        <f t="shared" si="0"/>
        <v>25000000</v>
      </c>
      <c r="D25" s="60">
        <f t="shared" si="3"/>
        <v>25000000</v>
      </c>
      <c r="E25" s="61">
        <f t="shared" si="1"/>
        <v>534250</v>
      </c>
      <c r="F25" s="61">
        <f t="shared" si="4"/>
        <v>25534250</v>
      </c>
      <c r="G25" s="62">
        <f t="shared" si="5"/>
        <v>27422535.685157143</v>
      </c>
      <c r="H25" s="62">
        <f t="shared" si="6"/>
        <v>28008555.272748895</v>
      </c>
      <c r="I25" s="62">
        <f t="shared" si="7"/>
        <v>1184562.4137704531</v>
      </c>
      <c r="J25" s="63">
        <f t="shared" si="2"/>
        <v>28607098.098927595</v>
      </c>
    </row>
    <row r="26" spans="2:10" ht="15.75" thickBot="1">
      <c r="B26" s="87">
        <v>12</v>
      </c>
      <c r="C26" s="83">
        <f t="shared" si="0"/>
        <v>25000000</v>
      </c>
      <c r="D26" s="72">
        <f t="shared" si="3"/>
        <v>0</v>
      </c>
      <c r="E26" s="73">
        <f t="shared" si="1"/>
        <v>0</v>
      </c>
      <c r="F26" s="73">
        <f t="shared" si="4"/>
        <v>25000000</v>
      </c>
      <c r="G26" s="74">
        <f t="shared" si="5"/>
        <v>28008555.272748955</v>
      </c>
      <c r="H26" s="74">
        <f t="shared" si="6"/>
        <v>-5.9604644775390625E-8</v>
      </c>
      <c r="I26" s="74">
        <f t="shared" si="7"/>
        <v>598542.82617864513</v>
      </c>
      <c r="J26" s="75">
        <f t="shared" si="2"/>
        <v>28607098.098927598</v>
      </c>
    </row>
    <row r="27" spans="2:10">
      <c r="B27" s="1"/>
      <c r="C27" s="3">
        <f>SUM(C14:C26)</f>
        <v>300000000</v>
      </c>
      <c r="D27" s="1"/>
      <c r="E27" s="1"/>
      <c r="F27" s="1"/>
      <c r="G27" s="1"/>
      <c r="H27" s="1"/>
      <c r="I27" s="1"/>
      <c r="J27" s="1"/>
    </row>
    <row r="28" spans="2:10">
      <c r="B28" s="1"/>
      <c r="C28" s="1"/>
      <c r="D28" s="3"/>
      <c r="E28" s="3">
        <f>SUM(E14:E26)</f>
        <v>41671500</v>
      </c>
      <c r="F28" s="64">
        <f>SUM(F14:F26)</f>
        <v>341671500</v>
      </c>
      <c r="G28" s="1"/>
      <c r="H28" s="1"/>
      <c r="I28" s="1"/>
      <c r="J28" s="65">
        <f>SUM(J14:J26)</f>
        <v>343285177.18713117</v>
      </c>
    </row>
    <row r="29" spans="2:10">
      <c r="B29" s="1"/>
      <c r="D29" s="1"/>
      <c r="E29" s="1"/>
      <c r="F29" s="1"/>
      <c r="G29" s="1"/>
      <c r="H29" s="1"/>
      <c r="I29" s="1"/>
      <c r="J29" s="1"/>
    </row>
  </sheetData>
  <mergeCells count="2">
    <mergeCell ref="C12:F12"/>
    <mergeCell ref="G12:J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37"/>
  <sheetViews>
    <sheetView topLeftCell="A28" workbookViewId="0">
      <selection activeCell="F43" sqref="F43"/>
    </sheetView>
  </sheetViews>
  <sheetFormatPr baseColWidth="10" defaultRowHeight="15"/>
  <cols>
    <col min="2" max="2" width="45.140625" bestFit="1" customWidth="1"/>
    <col min="3" max="3" width="12" bestFit="1" customWidth="1"/>
    <col min="4" max="4" width="14.28515625" bestFit="1" customWidth="1"/>
    <col min="5" max="5" width="6.85546875" bestFit="1" customWidth="1"/>
    <col min="6" max="6" width="12.28515625" bestFit="1" customWidth="1"/>
    <col min="7" max="7" width="13" bestFit="1" customWidth="1"/>
    <col min="8" max="8" width="21.42578125" bestFit="1" customWidth="1"/>
  </cols>
  <sheetData>
    <row r="1" spans="2:8" ht="16.5" thickBot="1">
      <c r="B1" s="307" t="s">
        <v>76</v>
      </c>
      <c r="C1" s="308"/>
      <c r="D1" s="308"/>
      <c r="E1" s="308"/>
      <c r="F1" s="308"/>
      <c r="G1" s="308"/>
      <c r="H1" s="309"/>
    </row>
    <row r="2" spans="2:8" ht="15.75" thickBot="1">
      <c r="B2" s="16" t="s">
        <v>63</v>
      </c>
      <c r="C2" s="17" t="s">
        <v>68</v>
      </c>
      <c r="D2" s="17" t="s">
        <v>69</v>
      </c>
      <c r="E2" s="17" t="s">
        <v>17</v>
      </c>
      <c r="F2" s="17" t="s">
        <v>70</v>
      </c>
      <c r="G2" s="17" t="s">
        <v>20</v>
      </c>
      <c r="H2" s="18" t="s">
        <v>65</v>
      </c>
    </row>
    <row r="3" spans="2:8">
      <c r="B3" s="12" t="s">
        <v>64</v>
      </c>
      <c r="C3" s="15">
        <f>'Presupuesto Maestro'!F3</f>
        <v>3500000</v>
      </c>
      <c r="D3" s="15">
        <v>0</v>
      </c>
      <c r="E3" s="13">
        <v>12</v>
      </c>
      <c r="F3" s="13" t="s">
        <v>71</v>
      </c>
      <c r="G3" s="15">
        <f t="shared" ref="G3:G12" si="0">(C3+D3)*E3</f>
        <v>42000000</v>
      </c>
      <c r="H3" s="14" t="s">
        <v>67</v>
      </c>
    </row>
    <row r="4" spans="2:8">
      <c r="B4" s="6" t="s">
        <v>74</v>
      </c>
      <c r="C4" s="5">
        <f>'Presupuesto Maestro'!F4</f>
        <v>3000000</v>
      </c>
      <c r="D4" s="5">
        <v>0</v>
      </c>
      <c r="E4" s="4">
        <v>12</v>
      </c>
      <c r="F4" s="4" t="s">
        <v>71</v>
      </c>
      <c r="G4" s="5">
        <f t="shared" si="0"/>
        <v>36000000</v>
      </c>
      <c r="H4" s="7" t="s">
        <v>67</v>
      </c>
    </row>
    <row r="5" spans="2:8">
      <c r="B5" s="6" t="s">
        <v>75</v>
      </c>
      <c r="C5" s="5">
        <f>'Presupuesto Maestro'!F4</f>
        <v>3000000</v>
      </c>
      <c r="D5" s="5">
        <v>0</v>
      </c>
      <c r="E5" s="4">
        <v>12</v>
      </c>
      <c r="F5" s="4" t="s">
        <v>71</v>
      </c>
      <c r="G5" s="5">
        <f t="shared" si="0"/>
        <v>36000000</v>
      </c>
      <c r="H5" s="7" t="s">
        <v>67</v>
      </c>
    </row>
    <row r="6" spans="2:8">
      <c r="B6" s="6" t="s">
        <v>14</v>
      </c>
      <c r="C6" s="5">
        <f>'Presupuesto Maestro'!F6</f>
        <v>3000000</v>
      </c>
      <c r="D6" s="5">
        <f>'Presupuesto Maestro'!F7</f>
        <v>500000</v>
      </c>
      <c r="E6" s="4">
        <v>12</v>
      </c>
      <c r="F6" s="4" t="s">
        <v>71</v>
      </c>
      <c r="G6" s="5">
        <f t="shared" si="0"/>
        <v>42000000</v>
      </c>
      <c r="H6" s="7" t="s">
        <v>67</v>
      </c>
    </row>
    <row r="7" spans="2:8">
      <c r="B7" s="6" t="s">
        <v>66</v>
      </c>
      <c r="C7" s="5">
        <f>'Presupuesto Maestro'!F8</f>
        <v>2700000</v>
      </c>
      <c r="D7" s="5">
        <f>'Presupuesto Maestro'!F9</f>
        <v>500000</v>
      </c>
      <c r="E7" s="4">
        <v>10</v>
      </c>
      <c r="F7" s="4" t="s">
        <v>71</v>
      </c>
      <c r="G7" s="5">
        <f t="shared" si="0"/>
        <v>32000000</v>
      </c>
      <c r="H7" s="7" t="s">
        <v>67</v>
      </c>
    </row>
    <row r="8" spans="2:8">
      <c r="B8" s="6" t="s">
        <v>66</v>
      </c>
      <c r="C8" s="5">
        <f>'Presupuesto Maestro'!F8</f>
        <v>2700000</v>
      </c>
      <c r="D8" s="5">
        <f>'Presupuesto Maestro'!F9</f>
        <v>500000</v>
      </c>
      <c r="E8" s="4">
        <v>10</v>
      </c>
      <c r="F8" s="4" t="s">
        <v>71</v>
      </c>
      <c r="G8" s="5">
        <f t="shared" si="0"/>
        <v>32000000</v>
      </c>
      <c r="H8" s="7" t="s">
        <v>67</v>
      </c>
    </row>
    <row r="9" spans="2:8">
      <c r="B9" s="6" t="s">
        <v>13</v>
      </c>
      <c r="C9" s="5">
        <f>'Presupuesto Maestro'!F10</f>
        <v>1500000</v>
      </c>
      <c r="D9" s="5">
        <f>'Presupuesto Maestro'!F11</f>
        <v>500000</v>
      </c>
      <c r="E9" s="4">
        <v>10</v>
      </c>
      <c r="F9" s="4" t="s">
        <v>71</v>
      </c>
      <c r="G9" s="5">
        <f t="shared" si="0"/>
        <v>20000000</v>
      </c>
      <c r="H9" s="7" t="s">
        <v>67</v>
      </c>
    </row>
    <row r="10" spans="2:8">
      <c r="B10" s="6" t="s">
        <v>13</v>
      </c>
      <c r="C10" s="5">
        <f>'Presupuesto Maestro'!F10</f>
        <v>1500000</v>
      </c>
      <c r="D10" s="5">
        <f>'Presupuesto Maestro'!F11</f>
        <v>500000</v>
      </c>
      <c r="E10" s="4">
        <v>10</v>
      </c>
      <c r="F10" s="4" t="s">
        <v>71</v>
      </c>
      <c r="G10" s="5">
        <f t="shared" si="0"/>
        <v>20000000</v>
      </c>
      <c r="H10" s="7" t="s">
        <v>67</v>
      </c>
    </row>
    <row r="11" spans="2:8">
      <c r="B11" s="6" t="s">
        <v>13</v>
      </c>
      <c r="C11" s="5">
        <f>'Presupuesto Maestro'!F10</f>
        <v>1500000</v>
      </c>
      <c r="D11" s="5">
        <f>'Presupuesto Maestro'!F11</f>
        <v>500000</v>
      </c>
      <c r="E11" s="4">
        <v>10</v>
      </c>
      <c r="F11" s="4" t="s">
        <v>71</v>
      </c>
      <c r="G11" s="5">
        <f t="shared" si="0"/>
        <v>20000000</v>
      </c>
      <c r="H11" s="7" t="s">
        <v>67</v>
      </c>
    </row>
    <row r="12" spans="2:8">
      <c r="B12" s="6" t="s">
        <v>13</v>
      </c>
      <c r="C12" s="5">
        <f>'Presupuesto Maestro'!F10</f>
        <v>1500000</v>
      </c>
      <c r="D12" s="5">
        <f>'Presupuesto Maestro'!F11</f>
        <v>500000</v>
      </c>
      <c r="E12" s="4">
        <v>10</v>
      </c>
      <c r="F12" s="4" t="s">
        <v>71</v>
      </c>
      <c r="G12" s="5">
        <f t="shared" si="0"/>
        <v>20000000</v>
      </c>
      <c r="H12" s="7" t="s">
        <v>67</v>
      </c>
    </row>
    <row r="13" spans="2:8">
      <c r="B13" s="6" t="s">
        <v>12</v>
      </c>
      <c r="C13" s="5">
        <f>'Presupuesto Maestro'!F13</f>
        <v>500000</v>
      </c>
      <c r="D13" s="5">
        <f>'Presupuesto Maestro'!F14</f>
        <v>120000</v>
      </c>
      <c r="E13" s="4">
        <v>12</v>
      </c>
      <c r="F13" s="4" t="s">
        <v>71</v>
      </c>
      <c r="G13" s="5">
        <f>(C13+D13)*E13</f>
        <v>7440000</v>
      </c>
      <c r="H13" s="7" t="s">
        <v>67</v>
      </c>
    </row>
    <row r="14" spans="2:8" ht="15.75" thickBot="1">
      <c r="B14" s="8" t="s">
        <v>12</v>
      </c>
      <c r="C14" s="9">
        <f>'Presupuesto Maestro'!F13</f>
        <v>500000</v>
      </c>
      <c r="D14" s="9">
        <f>'Presupuesto Maestro'!F14</f>
        <v>120000</v>
      </c>
      <c r="E14" s="10">
        <v>12</v>
      </c>
      <c r="F14" s="10" t="s">
        <v>71</v>
      </c>
      <c r="G14" s="9">
        <f>(C14+D14)*E14</f>
        <v>7440000</v>
      </c>
      <c r="H14" s="11" t="s">
        <v>67</v>
      </c>
    </row>
    <row r="15" spans="2:8" ht="15.75" thickBot="1"/>
    <row r="16" spans="2:8" ht="16.5" thickBot="1">
      <c r="B16" s="307" t="s">
        <v>77</v>
      </c>
      <c r="C16" s="308"/>
      <c r="D16" s="308"/>
      <c r="E16" s="308"/>
      <c r="F16" s="308"/>
      <c r="G16" s="308"/>
      <c r="H16" s="309"/>
    </row>
    <row r="17" spans="2:8" ht="15.75" thickBot="1">
      <c r="B17" s="16" t="s">
        <v>63</v>
      </c>
      <c r="C17" s="17" t="s">
        <v>68</v>
      </c>
      <c r="D17" s="17" t="s">
        <v>69</v>
      </c>
      <c r="E17" s="17" t="s">
        <v>17</v>
      </c>
      <c r="F17" s="17" t="s">
        <v>70</v>
      </c>
      <c r="G17" s="17" t="s">
        <v>20</v>
      </c>
      <c r="H17" s="18" t="s">
        <v>65</v>
      </c>
    </row>
    <row r="18" spans="2:8">
      <c r="B18" s="12" t="s">
        <v>64</v>
      </c>
      <c r="C18" s="15">
        <f>'Presupuesto Maestro'!F3</f>
        <v>3500000</v>
      </c>
      <c r="D18" s="15">
        <v>0</v>
      </c>
      <c r="E18" s="13">
        <v>12</v>
      </c>
      <c r="F18" s="13" t="s">
        <v>71</v>
      </c>
      <c r="G18" s="15">
        <f t="shared" ref="G18:G37" si="1">(C18+D18)*E18</f>
        <v>42000000</v>
      </c>
      <c r="H18" s="14" t="s">
        <v>67</v>
      </c>
    </row>
    <row r="19" spans="2:8">
      <c r="B19" s="6" t="s">
        <v>74</v>
      </c>
      <c r="C19" s="5">
        <f>'Presupuesto Maestro'!F4</f>
        <v>3000000</v>
      </c>
      <c r="D19" s="5">
        <v>0</v>
      </c>
      <c r="E19" s="4">
        <v>12</v>
      </c>
      <c r="F19" s="4" t="s">
        <v>71</v>
      </c>
      <c r="G19" s="5">
        <f t="shared" si="1"/>
        <v>36000000</v>
      </c>
      <c r="H19" s="7" t="s">
        <v>67</v>
      </c>
    </row>
    <row r="20" spans="2:8">
      <c r="B20" s="6" t="s">
        <v>75</v>
      </c>
      <c r="C20" s="5">
        <f>'Presupuesto Maestro'!F4</f>
        <v>3000000</v>
      </c>
      <c r="D20" s="5">
        <v>0</v>
      </c>
      <c r="E20" s="4">
        <v>12</v>
      </c>
      <c r="F20" s="4" t="s">
        <v>71</v>
      </c>
      <c r="G20" s="5">
        <f t="shared" si="1"/>
        <v>36000000</v>
      </c>
      <c r="H20" s="7" t="s">
        <v>67</v>
      </c>
    </row>
    <row r="21" spans="2:8">
      <c r="B21" s="6" t="s">
        <v>14</v>
      </c>
      <c r="C21" s="5">
        <f>'Presupuesto Maestro'!F6</f>
        <v>3000000</v>
      </c>
      <c r="D21" s="5">
        <f>'Presupuesto Maestro'!F7</f>
        <v>500000</v>
      </c>
      <c r="E21" s="4">
        <v>12</v>
      </c>
      <c r="F21" s="4" t="s">
        <v>71</v>
      </c>
      <c r="G21" s="5">
        <f t="shared" si="1"/>
        <v>42000000</v>
      </c>
      <c r="H21" s="7" t="s">
        <v>67</v>
      </c>
    </row>
    <row r="22" spans="2:8">
      <c r="B22" s="6" t="s">
        <v>66</v>
      </c>
      <c r="C22" s="5">
        <f>'Presupuesto Maestro'!F8</f>
        <v>2700000</v>
      </c>
      <c r="D22" s="5">
        <f>'Presupuesto Maestro'!F9</f>
        <v>500000</v>
      </c>
      <c r="E22" s="4">
        <v>12</v>
      </c>
      <c r="F22" s="4" t="s">
        <v>71</v>
      </c>
      <c r="G22" s="5">
        <f t="shared" si="1"/>
        <v>38400000</v>
      </c>
      <c r="H22" s="7" t="s">
        <v>67</v>
      </c>
    </row>
    <row r="23" spans="2:8">
      <c r="B23" s="6" t="s">
        <v>66</v>
      </c>
      <c r="C23" s="5">
        <f>'Presupuesto Maestro'!F8</f>
        <v>2700000</v>
      </c>
      <c r="D23" s="5">
        <f>'Presupuesto Maestro'!F9</f>
        <v>500000</v>
      </c>
      <c r="E23" s="4">
        <v>12</v>
      </c>
      <c r="F23" s="4" t="s">
        <v>71</v>
      </c>
      <c r="G23" s="5">
        <f t="shared" si="1"/>
        <v>38400000</v>
      </c>
      <c r="H23" s="7" t="s">
        <v>67</v>
      </c>
    </row>
    <row r="24" spans="2:8">
      <c r="B24" s="6" t="s">
        <v>13</v>
      </c>
      <c r="C24" s="5">
        <f>'Presupuesto Maestro'!F10</f>
        <v>1500000</v>
      </c>
      <c r="D24" s="5">
        <f>'Presupuesto Maestro'!F11</f>
        <v>500000</v>
      </c>
      <c r="E24" s="4">
        <v>12</v>
      </c>
      <c r="F24" s="4" t="s">
        <v>71</v>
      </c>
      <c r="G24" s="5">
        <f t="shared" si="1"/>
        <v>24000000</v>
      </c>
      <c r="H24" s="7" t="s">
        <v>67</v>
      </c>
    </row>
    <row r="25" spans="2:8">
      <c r="B25" s="6" t="s">
        <v>13</v>
      </c>
      <c r="C25" s="5">
        <f>'Presupuesto Maestro'!F10</f>
        <v>1500000</v>
      </c>
      <c r="D25" s="5">
        <f>'Presupuesto Maestro'!F11</f>
        <v>500000</v>
      </c>
      <c r="E25" s="4">
        <v>12</v>
      </c>
      <c r="F25" s="4" t="s">
        <v>71</v>
      </c>
      <c r="G25" s="5">
        <f t="shared" si="1"/>
        <v>24000000</v>
      </c>
      <c r="H25" s="7" t="s">
        <v>67</v>
      </c>
    </row>
    <row r="26" spans="2:8">
      <c r="B26" s="6" t="s">
        <v>13</v>
      </c>
      <c r="C26" s="5">
        <f>'Presupuesto Maestro'!F10</f>
        <v>1500000</v>
      </c>
      <c r="D26" s="5">
        <f>'Presupuesto Maestro'!F11</f>
        <v>500000</v>
      </c>
      <c r="E26" s="4">
        <v>12</v>
      </c>
      <c r="F26" s="4" t="s">
        <v>71</v>
      </c>
      <c r="G26" s="5">
        <f t="shared" si="1"/>
        <v>24000000</v>
      </c>
      <c r="H26" s="7" t="s">
        <v>67</v>
      </c>
    </row>
    <row r="27" spans="2:8">
      <c r="B27" s="6" t="s">
        <v>13</v>
      </c>
      <c r="C27" s="5">
        <f>'Presupuesto Maestro'!F10</f>
        <v>1500000</v>
      </c>
      <c r="D27" s="5">
        <f>'Presupuesto Maestro'!F11</f>
        <v>500000</v>
      </c>
      <c r="E27" s="4">
        <v>12</v>
      </c>
      <c r="F27" s="4" t="s">
        <v>71</v>
      </c>
      <c r="G27" s="5">
        <f t="shared" si="1"/>
        <v>24000000</v>
      </c>
      <c r="H27" s="7" t="s">
        <v>67</v>
      </c>
    </row>
    <row r="28" spans="2:8">
      <c r="B28" s="6" t="s">
        <v>78</v>
      </c>
      <c r="C28" s="5">
        <f>'Presupuesto Maestro'!F12</f>
        <v>850000</v>
      </c>
      <c r="D28" s="5">
        <v>0</v>
      </c>
      <c r="E28" s="4">
        <v>12</v>
      </c>
      <c r="F28" s="4" t="s">
        <v>71</v>
      </c>
      <c r="G28" s="5">
        <f t="shared" si="1"/>
        <v>10200000</v>
      </c>
      <c r="H28" s="7" t="s">
        <v>73</v>
      </c>
    </row>
    <row r="29" spans="2:8">
      <c r="B29" s="6" t="s">
        <v>78</v>
      </c>
      <c r="C29" s="5">
        <f>'Presupuesto Maestro'!F12</f>
        <v>850000</v>
      </c>
      <c r="D29" s="5">
        <v>0</v>
      </c>
      <c r="E29" s="4">
        <v>12</v>
      </c>
      <c r="F29" s="4" t="s">
        <v>71</v>
      </c>
      <c r="G29" s="5">
        <f t="shared" si="1"/>
        <v>10200000</v>
      </c>
      <c r="H29" s="7" t="s">
        <v>73</v>
      </c>
    </row>
    <row r="30" spans="2:8">
      <c r="B30" s="6" t="s">
        <v>78</v>
      </c>
      <c r="C30" s="5">
        <f>'Presupuesto Maestro'!F12</f>
        <v>850000</v>
      </c>
      <c r="D30" s="5">
        <v>0</v>
      </c>
      <c r="E30" s="4">
        <v>12</v>
      </c>
      <c r="F30" s="4" t="s">
        <v>71</v>
      </c>
      <c r="G30" s="5">
        <f t="shared" si="1"/>
        <v>10200000</v>
      </c>
      <c r="H30" s="7" t="s">
        <v>73</v>
      </c>
    </row>
    <row r="31" spans="2:8">
      <c r="B31" s="6" t="s">
        <v>78</v>
      </c>
      <c r="C31" s="5">
        <f>'Presupuesto Maestro'!F12</f>
        <v>850000</v>
      </c>
      <c r="D31" s="5">
        <v>0</v>
      </c>
      <c r="E31" s="4">
        <v>12</v>
      </c>
      <c r="F31" s="4" t="s">
        <v>71</v>
      </c>
      <c r="G31" s="5">
        <f t="shared" si="1"/>
        <v>10200000</v>
      </c>
      <c r="H31" s="7" t="s">
        <v>73</v>
      </c>
    </row>
    <row r="32" spans="2:8">
      <c r="B32" s="6" t="s">
        <v>78</v>
      </c>
      <c r="C32" s="5">
        <f>'Presupuesto Maestro'!F12</f>
        <v>850000</v>
      </c>
      <c r="D32" s="5">
        <v>0</v>
      </c>
      <c r="E32" s="4">
        <v>12</v>
      </c>
      <c r="F32" s="4" t="s">
        <v>71</v>
      </c>
      <c r="G32" s="5">
        <f t="shared" si="1"/>
        <v>10200000</v>
      </c>
      <c r="H32" s="7" t="s">
        <v>73</v>
      </c>
    </row>
    <row r="33" spans="2:8">
      <c r="B33" s="6" t="s">
        <v>78</v>
      </c>
      <c r="C33" s="5">
        <f>'Presupuesto Maestro'!F12</f>
        <v>850000</v>
      </c>
      <c r="D33" s="5">
        <v>0</v>
      </c>
      <c r="E33" s="4">
        <v>12</v>
      </c>
      <c r="F33" s="4" t="s">
        <v>71</v>
      </c>
      <c r="G33" s="5">
        <f t="shared" si="1"/>
        <v>10200000</v>
      </c>
      <c r="H33" s="7" t="s">
        <v>73</v>
      </c>
    </row>
    <row r="34" spans="2:8">
      <c r="B34" s="6" t="s">
        <v>78</v>
      </c>
      <c r="C34" s="5">
        <f>'Presupuesto Maestro'!F12</f>
        <v>850000</v>
      </c>
      <c r="D34" s="5">
        <v>0</v>
      </c>
      <c r="E34" s="4">
        <v>12</v>
      </c>
      <c r="F34" s="4" t="s">
        <v>71</v>
      </c>
      <c r="G34" s="5">
        <f t="shared" si="1"/>
        <v>10200000</v>
      </c>
      <c r="H34" s="7" t="s">
        <v>73</v>
      </c>
    </row>
    <row r="35" spans="2:8">
      <c r="B35" s="6" t="s">
        <v>78</v>
      </c>
      <c r="C35" s="5">
        <f>'Presupuesto Maestro'!F12</f>
        <v>850000</v>
      </c>
      <c r="D35" s="5">
        <v>0</v>
      </c>
      <c r="E35" s="4">
        <v>12</v>
      </c>
      <c r="F35" s="4" t="s">
        <v>71</v>
      </c>
      <c r="G35" s="5">
        <f t="shared" si="1"/>
        <v>10200000</v>
      </c>
      <c r="H35" s="7" t="s">
        <v>73</v>
      </c>
    </row>
    <row r="36" spans="2:8">
      <c r="B36" s="6" t="s">
        <v>78</v>
      </c>
      <c r="C36" s="5">
        <f>'Presupuesto Maestro'!F12</f>
        <v>850000</v>
      </c>
      <c r="D36" s="5">
        <v>0</v>
      </c>
      <c r="E36" s="4">
        <v>12</v>
      </c>
      <c r="F36" s="4" t="s">
        <v>71</v>
      </c>
      <c r="G36" s="5">
        <f t="shared" si="1"/>
        <v>10200000</v>
      </c>
      <c r="H36" s="7" t="s">
        <v>73</v>
      </c>
    </row>
    <row r="37" spans="2:8" ht="15.75" thickBot="1">
      <c r="B37" s="8" t="s">
        <v>78</v>
      </c>
      <c r="C37" s="9">
        <f>'Presupuesto Maestro'!F12</f>
        <v>850000</v>
      </c>
      <c r="D37" s="9">
        <v>0</v>
      </c>
      <c r="E37" s="10">
        <v>12</v>
      </c>
      <c r="F37" s="10" t="s">
        <v>71</v>
      </c>
      <c r="G37" s="9">
        <f t="shared" si="1"/>
        <v>10200000</v>
      </c>
      <c r="H37" s="11" t="s">
        <v>73</v>
      </c>
    </row>
  </sheetData>
  <mergeCells count="2">
    <mergeCell ref="B16:H16"/>
    <mergeCell ref="B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12"/>
  <sheetViews>
    <sheetView workbookViewId="0">
      <selection activeCell="F19" sqref="F19"/>
    </sheetView>
  </sheetViews>
  <sheetFormatPr baseColWidth="10" defaultColWidth="11.42578125" defaultRowHeight="15"/>
  <cols>
    <col min="1" max="1" width="11.42578125" style="1"/>
    <col min="2" max="2" width="24.42578125" style="1" bestFit="1" customWidth="1"/>
    <col min="3" max="3" width="24.7109375" style="1" bestFit="1" customWidth="1"/>
    <col min="4" max="4" width="16.85546875" style="1" bestFit="1" customWidth="1"/>
    <col min="5" max="5" width="24.7109375" style="1" bestFit="1" customWidth="1"/>
    <col min="6" max="16384" width="11.42578125" style="1"/>
  </cols>
  <sheetData>
    <row r="1" spans="2:5" ht="19.5" thickBot="1">
      <c r="B1" s="277" t="s">
        <v>56</v>
      </c>
      <c r="C1" s="320"/>
      <c r="D1" s="277" t="s">
        <v>57</v>
      </c>
      <c r="E1" s="279"/>
    </row>
    <row r="2" spans="2:5" ht="15.75">
      <c r="B2" s="321" t="s">
        <v>151</v>
      </c>
      <c r="C2" s="322"/>
      <c r="D2" s="321" t="s">
        <v>155</v>
      </c>
      <c r="E2" s="323"/>
    </row>
    <row r="3" spans="2:5">
      <c r="B3" s="49" t="s">
        <v>59</v>
      </c>
      <c r="C3" s="111">
        <f>SUM('Presupuesto Maestro'!G38:G41)+SUM('Presupuesto Maestro'!G33:G36)</f>
        <v>458967700</v>
      </c>
      <c r="D3" s="312" t="s">
        <v>59</v>
      </c>
      <c r="E3" s="314">
        <f>SUM('Presupuesto Maestro'!I3:I6)+'Presupuesto Maestro'!I9+'Presupuesto Maestro'!I12+'Presupuesto Maestro'!I22</f>
        <v>300000000</v>
      </c>
    </row>
    <row r="4" spans="2:5">
      <c r="B4" s="49" t="s">
        <v>60</v>
      </c>
      <c r="C4" s="111">
        <f>SUM('Presupuesto Maestro'!G3:G14)+'Presupuesto Maestro'!G48+'Presupuesto Maestro'!G49</f>
        <v>1154902155</v>
      </c>
      <c r="D4" s="313"/>
      <c r="E4" s="315"/>
    </row>
    <row r="5" spans="2:5" ht="30">
      <c r="B5" s="49" t="s">
        <v>61</v>
      </c>
      <c r="C5" s="111">
        <f>SUM('Presupuesto Maestro'!G17:G31)+SUM('Presupuesto Maestro'!G43:G45)</f>
        <v>313500000</v>
      </c>
      <c r="D5" s="106" t="s">
        <v>154</v>
      </c>
      <c r="E5" s="105">
        <f>SUM(E3:E4)</f>
        <v>300000000</v>
      </c>
    </row>
    <row r="6" spans="2:5" ht="15.75">
      <c r="B6" s="106" t="s">
        <v>154</v>
      </c>
      <c r="C6" s="112">
        <f>SUM(C3:C5)</f>
        <v>1927369855</v>
      </c>
      <c r="D6" s="324" t="s">
        <v>58</v>
      </c>
      <c r="E6" s="325"/>
    </row>
    <row r="7" spans="2:5" ht="15.75">
      <c r="B7" s="310" t="s">
        <v>152</v>
      </c>
      <c r="C7" s="311"/>
      <c r="D7" s="49" t="s">
        <v>156</v>
      </c>
      <c r="E7" s="107">
        <f>'Presupuesto Maestro'!I7+'Presupuesto Maestro'!I8+'Presupuesto Maestro'!I10+'Presupuesto Maestro'!I11+SUM('Presupuesto Maestro'!I16:I21)+SUM('Presupuesto Maestro'!I23:I31)+SUM('Presupuesto Maestro'!I38:I41)+SUM('Presupuesto Maestro'!I43:I45)+'Presupuesto Maestro'!H46+'Presupuesto Maestro'!G48+'Presupuesto Maestro'!G49</f>
        <v>2377369855</v>
      </c>
    </row>
    <row r="8" spans="2:5">
      <c r="B8" s="49" t="s">
        <v>150</v>
      </c>
      <c r="C8" s="111">
        <f>'Presupuesto Maestro'!G16</f>
        <v>750000000</v>
      </c>
      <c r="D8" s="316" t="s">
        <v>157</v>
      </c>
      <c r="E8" s="318">
        <f>SUM(E7)</f>
        <v>2377369855</v>
      </c>
    </row>
    <row r="9" spans="2:5" ht="15.75" thickBot="1">
      <c r="B9" s="108" t="s">
        <v>153</v>
      </c>
      <c r="C9" s="113">
        <f>SUM(C8)</f>
        <v>750000000</v>
      </c>
      <c r="D9" s="317"/>
      <c r="E9" s="319"/>
    </row>
    <row r="10" spans="2:5" ht="38.25" thickBot="1">
      <c r="B10" s="109" t="s">
        <v>159</v>
      </c>
      <c r="C10" s="114">
        <f>C9+C6</f>
        <v>2677369855</v>
      </c>
      <c r="D10" s="109" t="s">
        <v>158</v>
      </c>
      <c r="E10" s="110">
        <f>E8+E5</f>
        <v>2677369855</v>
      </c>
    </row>
    <row r="12" spans="2:5">
      <c r="E12" s="104"/>
    </row>
  </sheetData>
  <mergeCells count="10">
    <mergeCell ref="B1:C1"/>
    <mergeCell ref="D1:E1"/>
    <mergeCell ref="B2:C2"/>
    <mergeCell ref="D2:E2"/>
    <mergeCell ref="D6:E6"/>
    <mergeCell ref="B7:C7"/>
    <mergeCell ref="D3:D4"/>
    <mergeCell ref="E3:E4"/>
    <mergeCell ref="D8:D9"/>
    <mergeCell ref="E8:E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7"/>
  <sheetViews>
    <sheetView workbookViewId="0">
      <selection activeCell="D24" sqref="D24"/>
    </sheetView>
  </sheetViews>
  <sheetFormatPr baseColWidth="10" defaultRowHeight="15"/>
  <cols>
    <col min="2" max="2" width="32.140625" customWidth="1"/>
    <col min="3" max="3" width="37.42578125" customWidth="1"/>
    <col min="11" max="11" width="14.42578125" bestFit="1" customWidth="1"/>
  </cols>
  <sheetData>
    <row r="1" spans="2:4" ht="15.75" thickBot="1"/>
    <row r="2" spans="2:4">
      <c r="B2" s="326" t="s">
        <v>108</v>
      </c>
      <c r="C2" s="327"/>
    </row>
    <row r="3" spans="2:4">
      <c r="B3" s="66" t="s">
        <v>109</v>
      </c>
      <c r="C3" s="67" t="s">
        <v>110</v>
      </c>
    </row>
    <row r="4" spans="2:4">
      <c r="B4" s="68" t="s">
        <v>111</v>
      </c>
      <c r="C4" s="69" t="s">
        <v>112</v>
      </c>
    </row>
    <row r="5" spans="2:4">
      <c r="B5" s="68" t="s">
        <v>113</v>
      </c>
      <c r="C5" s="69" t="s">
        <v>114</v>
      </c>
    </row>
    <row r="6" spans="2:4">
      <c r="B6" s="68" t="s">
        <v>115</v>
      </c>
      <c r="C6" s="69" t="s">
        <v>116</v>
      </c>
    </row>
    <row r="7" spans="2:4">
      <c r="B7" s="68" t="s">
        <v>117</v>
      </c>
      <c r="C7" s="69" t="s">
        <v>118</v>
      </c>
    </row>
    <row r="8" spans="2:4">
      <c r="B8" s="68" t="s">
        <v>119</v>
      </c>
      <c r="C8" s="69" t="s">
        <v>120</v>
      </c>
      <c r="D8" t="s">
        <v>146</v>
      </c>
    </row>
    <row r="9" spans="2:4">
      <c r="B9" s="68" t="s">
        <v>121</v>
      </c>
      <c r="C9" s="69" t="s">
        <v>122</v>
      </c>
    </row>
    <row r="10" spans="2:4">
      <c r="B10" s="68" t="s">
        <v>123</v>
      </c>
      <c r="C10" s="69" t="s">
        <v>124</v>
      </c>
      <c r="D10" t="s">
        <v>146</v>
      </c>
    </row>
    <row r="11" spans="2:4">
      <c r="B11" s="68" t="s">
        <v>125</v>
      </c>
      <c r="C11" s="69" t="s">
        <v>126</v>
      </c>
    </row>
    <row r="12" spans="2:4">
      <c r="B12" s="68" t="s">
        <v>127</v>
      </c>
      <c r="C12" s="69" t="s">
        <v>128</v>
      </c>
    </row>
    <row r="13" spans="2:4">
      <c r="B13" s="68" t="s">
        <v>129</v>
      </c>
      <c r="C13" s="69" t="s">
        <v>130</v>
      </c>
    </row>
    <row r="14" spans="2:4">
      <c r="B14" s="68" t="s">
        <v>131</v>
      </c>
      <c r="C14" s="69" t="s">
        <v>132</v>
      </c>
    </row>
    <row r="15" spans="2:4">
      <c r="B15" s="68" t="s">
        <v>133</v>
      </c>
      <c r="C15" s="69" t="s">
        <v>134</v>
      </c>
    </row>
    <row r="16" spans="2:4">
      <c r="B16" s="68" t="s">
        <v>135</v>
      </c>
      <c r="C16" s="69" t="s">
        <v>136</v>
      </c>
    </row>
    <row r="17" spans="2:3">
      <c r="B17" s="68" t="s">
        <v>137</v>
      </c>
      <c r="C17" s="69" t="s">
        <v>138</v>
      </c>
    </row>
    <row r="18" spans="2:3">
      <c r="B18" s="68" t="s">
        <v>139</v>
      </c>
      <c r="C18" s="69" t="s">
        <v>140</v>
      </c>
    </row>
    <row r="19" spans="2:3">
      <c r="B19" s="68" t="s">
        <v>141</v>
      </c>
      <c r="C19" s="69" t="s">
        <v>142</v>
      </c>
    </row>
    <row r="20" spans="2:3">
      <c r="B20" s="68" t="s">
        <v>143</v>
      </c>
      <c r="C20" s="69" t="s">
        <v>144</v>
      </c>
    </row>
    <row r="21" spans="2:3" ht="15.75" thickBot="1">
      <c r="B21" s="328" t="s">
        <v>145</v>
      </c>
      <c r="C21" s="329"/>
    </row>
    <row r="27" spans="2:3">
      <c r="B27" t="s">
        <v>149</v>
      </c>
    </row>
  </sheetData>
  <mergeCells count="2">
    <mergeCell ref="B2:C2"/>
    <mergeCell ref="B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Presupuesto Maestro</vt:lpstr>
      <vt:lpstr>Costos y Gastos</vt:lpstr>
      <vt:lpstr>Amortización</vt:lpstr>
      <vt:lpstr>Tabla de Prestación de Servicio</vt:lpstr>
      <vt:lpstr>Balance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Prestamos Posgrados</dc:creator>
  <cp:lastModifiedBy>Natalia</cp:lastModifiedBy>
  <dcterms:created xsi:type="dcterms:W3CDTF">2019-09-21T12:34:06Z</dcterms:created>
  <dcterms:modified xsi:type="dcterms:W3CDTF">2020-08-31T03:52:45Z</dcterms:modified>
</cp:coreProperties>
</file>