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soportecorporativo-my.sharepoint.com/personal/auxmaquinaria_cimelec_co/Documents/MGP/ANEXOS/nuevos/"/>
    </mc:Choice>
  </mc:AlternateContent>
  <xr:revisionPtr revIDLastSave="0" documentId="8_{AC192BFE-8A51-4B3E-BCF0-F5FB3F003D00}" xr6:coauthVersionLast="47" xr6:coauthVersionMax="47" xr10:uidLastSave="{00000000-0000-0000-0000-000000000000}"/>
  <bookViews>
    <workbookView xWindow="20370" yWindow="-120" windowWidth="29040" windowHeight="15720" tabRatio="818" xr2:uid="{00000000-000D-0000-FFFF-FFFF00000000}"/>
  </bookViews>
  <sheets>
    <sheet name="1. Datos y Costos del Contrato" sheetId="1" r:id="rId1"/>
    <sheet name="3.Financiacion " sheetId="2" state="hidden" r:id="rId2"/>
    <sheet name="4. Flujo de Caja" sheetId="3" r:id="rId3"/>
    <sheet name="5. Estados Financieros" sheetId="5" r:id="rId4"/>
    <sheet name="6. Tasa Descuento" sheetId="6" r:id="rId5"/>
    <sheet name="7. FlujoNeto-Evaluación VPN-TIR" sheetId="7" r:id="rId6"/>
    <sheet name="9. Sensibilidad" sheetId="8" r:id="rId7"/>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38" i="7" l="1"/>
  <c r="B38" i="7"/>
  <c r="D38" i="7" s="1"/>
  <c r="C37" i="7"/>
  <c r="C36" i="7"/>
  <c r="B36" i="7"/>
  <c r="D36" i="7" s="1"/>
  <c r="C35" i="7"/>
  <c r="B35" i="7"/>
  <c r="D35" i="7" s="1"/>
  <c r="D34" i="7"/>
  <c r="C34" i="7"/>
  <c r="B34" i="7"/>
  <c r="C33" i="7"/>
  <c r="C32" i="7"/>
  <c r="C31" i="7"/>
  <c r="C30" i="7"/>
  <c r="C29" i="7"/>
  <c r="B29" i="7"/>
  <c r="D29" i="7" s="1"/>
  <c r="C28" i="7"/>
  <c r="D27" i="7"/>
  <c r="C27" i="7"/>
  <c r="B27" i="7"/>
  <c r="C26" i="7"/>
  <c r="B26" i="7"/>
  <c r="D26" i="7" s="1"/>
  <c r="C25" i="7"/>
  <c r="C24" i="7"/>
  <c r="B24" i="7"/>
  <c r="D24" i="7" s="1"/>
  <c r="C23" i="7"/>
  <c r="B23" i="7"/>
  <c r="D23" i="7" s="1"/>
  <c r="D22" i="7"/>
  <c r="C22" i="7"/>
  <c r="B22" i="7"/>
  <c r="C21" i="7"/>
  <c r="C20" i="7"/>
  <c r="C19" i="7"/>
  <c r="B13" i="7"/>
  <c r="B12" i="7"/>
  <c r="E26" i="7" s="1"/>
  <c r="B7" i="7"/>
  <c r="B28" i="7" s="1"/>
  <c r="D28" i="7" s="1"/>
  <c r="B50" i="6"/>
  <c r="B45" i="6"/>
  <c r="B42" i="6"/>
  <c r="B37" i="6"/>
  <c r="B23" i="6"/>
  <c r="B28" i="6" s="1"/>
  <c r="B44" i="6" s="1"/>
  <c r="B15" i="6"/>
  <c r="B43" i="6" s="1"/>
  <c r="B47" i="6" s="1"/>
  <c r="B138" i="5"/>
  <c r="B87" i="5"/>
  <c r="B82" i="5"/>
  <c r="B81" i="5"/>
  <c r="B80" i="5"/>
  <c r="B65" i="5"/>
  <c r="B64" i="5"/>
  <c r="B63" i="5"/>
  <c r="B55" i="5"/>
  <c r="B54" i="5"/>
  <c r="B53" i="5"/>
  <c r="B52" i="5"/>
  <c r="B51" i="5"/>
  <c r="B50" i="5"/>
  <c r="B49" i="5"/>
  <c r="B38" i="5"/>
  <c r="B25" i="5"/>
  <c r="B24" i="5"/>
  <c r="B23" i="5"/>
  <c r="B22" i="5"/>
  <c r="B21" i="5"/>
  <c r="B20" i="5"/>
  <c r="B19" i="5"/>
  <c r="B12" i="5"/>
  <c r="B11" i="5"/>
  <c r="B10" i="5"/>
  <c r="B9" i="5"/>
  <c r="V35" i="3"/>
  <c r="U35" i="3"/>
  <c r="T35" i="3"/>
  <c r="S35" i="3"/>
  <c r="R35" i="3"/>
  <c r="Q35" i="3"/>
  <c r="P35" i="3"/>
  <c r="O35" i="3"/>
  <c r="N35" i="3"/>
  <c r="M35" i="3"/>
  <c r="L35" i="3"/>
  <c r="K35" i="3"/>
  <c r="J35" i="3"/>
  <c r="I35" i="3"/>
  <c r="H35" i="3"/>
  <c r="G35" i="3"/>
  <c r="F35" i="3"/>
  <c r="E35" i="3"/>
  <c r="D35" i="3"/>
  <c r="C35" i="3"/>
  <c r="B35" i="3"/>
  <c r="J34" i="3"/>
  <c r="I34" i="3"/>
  <c r="H34" i="3"/>
  <c r="G34" i="3"/>
  <c r="F34" i="3"/>
  <c r="E34" i="3"/>
  <c r="D34" i="3"/>
  <c r="C34" i="3"/>
  <c r="B34" i="3"/>
  <c r="V24" i="3"/>
  <c r="U24" i="3"/>
  <c r="T24" i="3"/>
  <c r="S24" i="3"/>
  <c r="R24" i="3"/>
  <c r="Q24" i="3"/>
  <c r="P24" i="3"/>
  <c r="O24" i="3"/>
  <c r="N24" i="3"/>
  <c r="M24" i="3"/>
  <c r="L24" i="3"/>
  <c r="K24" i="3"/>
  <c r="J24" i="3"/>
  <c r="I24" i="3"/>
  <c r="H24" i="3"/>
  <c r="G24" i="3"/>
  <c r="F24" i="3"/>
  <c r="E24" i="3"/>
  <c r="D24" i="3"/>
  <c r="C24" i="3"/>
  <c r="B24" i="3"/>
  <c r="J15" i="3"/>
  <c r="I15" i="3"/>
  <c r="H15" i="3"/>
  <c r="G15" i="3"/>
  <c r="F15" i="3"/>
  <c r="E15" i="3"/>
  <c r="D15" i="3"/>
  <c r="C15" i="3"/>
  <c r="B15" i="3"/>
  <c r="V12" i="3"/>
  <c r="V21" i="3" s="1"/>
  <c r="U12" i="3"/>
  <c r="U19" i="3" s="1"/>
  <c r="T12" i="3"/>
  <c r="T19" i="3" s="1"/>
  <c r="S12" i="3"/>
  <c r="S22" i="3" s="1"/>
  <c r="R12" i="3"/>
  <c r="R19" i="3" s="1"/>
  <c r="Q12" i="3"/>
  <c r="Q30" i="3" s="1"/>
  <c r="P12" i="3"/>
  <c r="P33" i="3" s="1"/>
  <c r="O12" i="3"/>
  <c r="O30" i="3" s="1"/>
  <c r="N12" i="3"/>
  <c r="N30" i="3" s="1"/>
  <c r="M12" i="3"/>
  <c r="M20" i="3" s="1"/>
  <c r="L12" i="3"/>
  <c r="L31" i="3" s="1"/>
  <c r="K12" i="3"/>
  <c r="K22" i="3" s="1"/>
  <c r="W11" i="3"/>
  <c r="B36" i="1"/>
  <c r="B53" i="1" s="1"/>
  <c r="B28" i="1"/>
  <c r="B22" i="1"/>
  <c r="B16" i="1"/>
  <c r="B48" i="5" s="1"/>
  <c r="K21" i="3" l="1"/>
  <c r="E25" i="3"/>
  <c r="B52" i="1"/>
  <c r="B8" i="5"/>
  <c r="B54" i="1"/>
  <c r="B59" i="5" s="1"/>
  <c r="S21" i="3"/>
  <c r="S31" i="3"/>
  <c r="S23" i="3"/>
  <c r="R21" i="3"/>
  <c r="P23" i="3"/>
  <c r="R31" i="3"/>
  <c r="C25" i="3"/>
  <c r="P28" i="3"/>
  <c r="J36" i="3"/>
  <c r="Q23" i="3"/>
  <c r="D25" i="3"/>
  <c r="R23" i="3"/>
  <c r="Q28" i="3"/>
  <c r="F25" i="3"/>
  <c r="G25" i="3"/>
  <c r="R28" i="3"/>
  <c r="H25" i="3"/>
  <c r="R29" i="3"/>
  <c r="H36" i="3"/>
  <c r="S29" i="3"/>
  <c r="I36" i="3"/>
  <c r="E36" i="3"/>
  <c r="E38" i="3" s="1"/>
  <c r="P31" i="3"/>
  <c r="S20" i="3"/>
  <c r="V20" i="3"/>
  <c r="Q31" i="3"/>
  <c r="P32" i="3"/>
  <c r="R32" i="3"/>
  <c r="L21" i="3"/>
  <c r="N29" i="3"/>
  <c r="Q32" i="3"/>
  <c r="S19" i="3"/>
  <c r="P22" i="3"/>
  <c r="W24" i="3"/>
  <c r="S30" i="3"/>
  <c r="L33" i="3"/>
  <c r="W35" i="3"/>
  <c r="J25" i="3"/>
  <c r="L22" i="3"/>
  <c r="R30" i="3"/>
  <c r="S32" i="3"/>
  <c r="Q22" i="3"/>
  <c r="R33" i="3"/>
  <c r="F36" i="3"/>
  <c r="V19" i="3"/>
  <c r="R22" i="3"/>
  <c r="M31" i="3"/>
  <c r="S33" i="3"/>
  <c r="D36" i="3"/>
  <c r="G36" i="3"/>
  <c r="B25" i="3"/>
  <c r="R20" i="3"/>
  <c r="N31" i="3"/>
  <c r="B56" i="5"/>
  <c r="C65" i="5" s="1"/>
  <c r="C80" i="5"/>
  <c r="B61" i="5"/>
  <c r="C61" i="5" s="1"/>
  <c r="T33" i="3"/>
  <c r="T32" i="3"/>
  <c r="T29" i="3"/>
  <c r="V33" i="3"/>
  <c r="K31" i="3"/>
  <c r="K30" i="3"/>
  <c r="K29" i="3"/>
  <c r="W12" i="3"/>
  <c r="K20" i="3"/>
  <c r="T23" i="3"/>
  <c r="M30" i="3"/>
  <c r="C36" i="3"/>
  <c r="F26" i="7"/>
  <c r="U33" i="3"/>
  <c r="U32" i="3"/>
  <c r="U31" i="3"/>
  <c r="I25" i="3"/>
  <c r="M21" i="3"/>
  <c r="U28" i="3"/>
  <c r="L30" i="3"/>
  <c r="L29" i="3"/>
  <c r="L23" i="3"/>
  <c r="L20" i="3"/>
  <c r="Q21" i="3"/>
  <c r="U23" i="3"/>
  <c r="V28" i="3"/>
  <c r="K33" i="3"/>
  <c r="W15" i="3"/>
  <c r="K19" i="3"/>
  <c r="T22" i="3"/>
  <c r="V23" i="3"/>
  <c r="N32" i="3"/>
  <c r="N23" i="3"/>
  <c r="N22" i="3"/>
  <c r="N21" i="3"/>
  <c r="L19" i="3"/>
  <c r="N20" i="3"/>
  <c r="U22" i="3"/>
  <c r="T31" i="3"/>
  <c r="N33" i="3"/>
  <c r="B83" i="5"/>
  <c r="U29" i="3"/>
  <c r="M33" i="3"/>
  <c r="M29" i="3"/>
  <c r="M23" i="3"/>
  <c r="M22" i="3"/>
  <c r="T21" i="3"/>
  <c r="O31" i="3"/>
  <c r="O22" i="3"/>
  <c r="O21" i="3"/>
  <c r="O20" i="3"/>
  <c r="E31" i="7"/>
  <c r="E19" i="7"/>
  <c r="E36" i="7"/>
  <c r="F36" i="7" s="1"/>
  <c r="E24" i="7"/>
  <c r="F24" i="7" s="1"/>
  <c r="B52" i="7"/>
  <c r="E29" i="7"/>
  <c r="F29" i="7" s="1"/>
  <c r="E34" i="7"/>
  <c r="F34" i="7" s="1"/>
  <c r="E22" i="7"/>
  <c r="F22" i="7" s="1"/>
  <c r="E32" i="7"/>
  <c r="E20" i="7"/>
  <c r="E37" i="7"/>
  <c r="E25" i="7"/>
  <c r="E30" i="7"/>
  <c r="E35" i="7"/>
  <c r="E23" i="7"/>
  <c r="F23" i="7" s="1"/>
  <c r="E28" i="7"/>
  <c r="F28" i="7" s="1"/>
  <c r="E33" i="7"/>
  <c r="E21" i="7"/>
  <c r="F27" i="7"/>
  <c r="W34" i="3"/>
  <c r="B36" i="3"/>
  <c r="N19" i="3"/>
  <c r="U21" i="3"/>
  <c r="O29" i="3"/>
  <c r="Q29" i="3"/>
  <c r="Q20" i="3"/>
  <c r="Q19" i="3"/>
  <c r="T30" i="3"/>
  <c r="E27" i="7"/>
  <c r="F35" i="7"/>
  <c r="V32" i="3"/>
  <c r="V31" i="3"/>
  <c r="V30" i="3"/>
  <c r="T28" i="3"/>
  <c r="V29" i="3"/>
  <c r="M19" i="3"/>
  <c r="V22" i="3"/>
  <c r="K32" i="3"/>
  <c r="O33" i="3"/>
  <c r="P30" i="3"/>
  <c r="P21" i="3"/>
  <c r="P20" i="3"/>
  <c r="P19" i="3"/>
  <c r="L32" i="3"/>
  <c r="O19" i="3"/>
  <c r="T20" i="3"/>
  <c r="K23" i="3"/>
  <c r="K28" i="3"/>
  <c r="P29" i="3"/>
  <c r="M32" i="3"/>
  <c r="Q33" i="3"/>
  <c r="S28" i="3"/>
  <c r="B7" i="5"/>
  <c r="O28" i="3"/>
  <c r="B30" i="1"/>
  <c r="N28" i="3"/>
  <c r="B5" i="3"/>
  <c r="M28" i="3"/>
  <c r="U20" i="3"/>
  <c r="O23" i="3"/>
  <c r="L28" i="3"/>
  <c r="U30" i="3"/>
  <c r="O32" i="3"/>
  <c r="E38" i="7"/>
  <c r="F38" i="7" s="1"/>
  <c r="B30" i="7"/>
  <c r="D30" i="7" s="1"/>
  <c r="F30" i="7" s="1"/>
  <c r="B14" i="7"/>
  <c r="B25" i="7"/>
  <c r="D25" i="7" s="1"/>
  <c r="B37" i="7"/>
  <c r="D37" i="7" s="1"/>
  <c r="B20" i="7"/>
  <c r="D20" i="7" s="1"/>
  <c r="B32" i="7"/>
  <c r="D32" i="7" s="1"/>
  <c r="C11" i="8"/>
  <c r="C12" i="8"/>
  <c r="B19" i="7"/>
  <c r="B51" i="7" s="1"/>
  <c r="B31" i="7"/>
  <c r="D31" i="7" s="1"/>
  <c r="F31" i="7" s="1"/>
  <c r="B21" i="7"/>
  <c r="D21" i="7" s="1"/>
  <c r="B33" i="7"/>
  <c r="D33" i="7" s="1"/>
  <c r="C13" i="8"/>
  <c r="B16" i="5" l="1"/>
  <c r="F25" i="7"/>
  <c r="C54" i="5"/>
  <c r="B60" i="5"/>
  <c r="B66" i="5" s="1"/>
  <c r="B68" i="5" s="1"/>
  <c r="B62" i="5"/>
  <c r="C62" i="5" s="1"/>
  <c r="B13" i="5"/>
  <c r="B55" i="1"/>
  <c r="B17" i="5" s="1"/>
  <c r="B57" i="1"/>
  <c r="B103" i="5" s="1"/>
  <c r="B56" i="1"/>
  <c r="B58" i="1" s="1"/>
  <c r="B59" i="1" s="1"/>
  <c r="F37" i="7"/>
  <c r="C64" i="5"/>
  <c r="C51" i="5"/>
  <c r="C83" i="5"/>
  <c r="D38" i="3"/>
  <c r="C38" i="3"/>
  <c r="B38" i="3"/>
  <c r="B39" i="3" s="1"/>
  <c r="C13" i="3" s="1"/>
  <c r="J38" i="3"/>
  <c r="F38" i="3"/>
  <c r="H38" i="3"/>
  <c r="G38" i="3"/>
  <c r="S36" i="3"/>
  <c r="I38" i="3"/>
  <c r="R36" i="3"/>
  <c r="W22" i="3"/>
  <c r="P36" i="3"/>
  <c r="W21" i="3"/>
  <c r="Q36" i="3"/>
  <c r="W19" i="3"/>
  <c r="C59" i="5"/>
  <c r="W29" i="3"/>
  <c r="L36" i="3"/>
  <c r="U36" i="3"/>
  <c r="F32" i="7"/>
  <c r="F20" i="7"/>
  <c r="D19" i="7"/>
  <c r="F19" i="7" s="1"/>
  <c r="B39" i="7"/>
  <c r="W32" i="3"/>
  <c r="W23" i="3"/>
  <c r="U17" i="3"/>
  <c r="B6" i="3"/>
  <c r="T17" i="3"/>
  <c r="N17" i="3"/>
  <c r="M17" i="3"/>
  <c r="L17" i="3"/>
  <c r="K17" i="3"/>
  <c r="R17" i="3"/>
  <c r="Q17" i="3"/>
  <c r="V17" i="3"/>
  <c r="S17" i="3"/>
  <c r="O17" i="3"/>
  <c r="P17" i="3"/>
  <c r="W20" i="3"/>
  <c r="W31" i="3"/>
  <c r="V36" i="3"/>
  <c r="C81" i="5"/>
  <c r="C63" i="5"/>
  <c r="C55" i="5"/>
  <c r="C49" i="5"/>
  <c r="C87" i="5"/>
  <c r="C53" i="5"/>
  <c r="C56" i="5"/>
  <c r="C94" i="5"/>
  <c r="C82" i="5"/>
  <c r="C50" i="5"/>
  <c r="W30" i="3"/>
  <c r="K36" i="3"/>
  <c r="W28" i="3"/>
  <c r="M36" i="3"/>
  <c r="F33" i="7"/>
  <c r="N36" i="3"/>
  <c r="T36" i="3"/>
  <c r="C52" i="5"/>
  <c r="F21" i="7"/>
  <c r="C103" i="5"/>
  <c r="C48" i="5"/>
  <c r="W33" i="3"/>
  <c r="B6" i="7"/>
  <c r="B122" i="5"/>
  <c r="B118" i="5"/>
  <c r="B32" i="5"/>
  <c r="B4" i="3"/>
  <c r="B117" i="5"/>
  <c r="B31" i="5"/>
  <c r="O36" i="3"/>
  <c r="B18" i="5" l="1"/>
  <c r="B26" i="5"/>
  <c r="B28" i="5" s="1"/>
  <c r="B76" i="5"/>
  <c r="C76" i="5" s="1"/>
  <c r="B75" i="5"/>
  <c r="C75" i="5" s="1"/>
  <c r="B72" i="5"/>
  <c r="B77" i="5" s="1"/>
  <c r="B74" i="5"/>
  <c r="C74" i="5" s="1"/>
  <c r="B73" i="5"/>
  <c r="C73" i="5" s="1"/>
  <c r="B86" i="5"/>
  <c r="B88" i="5" s="1"/>
  <c r="C88" i="5" s="1"/>
  <c r="C60" i="5"/>
  <c r="C39" i="3"/>
  <c r="D13" i="3" s="1"/>
  <c r="D39" i="3" s="1"/>
  <c r="E13" i="3" s="1"/>
  <c r="E39" i="3" s="1"/>
  <c r="F13" i="3" s="1"/>
  <c r="F39" i="3" s="1"/>
  <c r="G13" i="3" s="1"/>
  <c r="G39" i="3" s="1"/>
  <c r="H13" i="3" s="1"/>
  <c r="H39" i="3" s="1"/>
  <c r="I13" i="3" s="1"/>
  <c r="I39" i="3" s="1"/>
  <c r="J13" i="3" s="1"/>
  <c r="J39" i="3" s="1"/>
  <c r="K13" i="3" s="1"/>
  <c r="B33" i="5"/>
  <c r="B40" i="5" s="1"/>
  <c r="B42" i="5" s="1"/>
  <c r="W36" i="3"/>
  <c r="W17" i="3"/>
  <c r="S18" i="3"/>
  <c r="S25" i="3" s="1"/>
  <c r="S38" i="3" s="1"/>
  <c r="K16" i="3"/>
  <c r="R18" i="3"/>
  <c r="R25" i="3" s="1"/>
  <c r="R38" i="3" s="1"/>
  <c r="Q18" i="3"/>
  <c r="Q25" i="3" s="1"/>
  <c r="Q38" i="3" s="1"/>
  <c r="N18" i="3"/>
  <c r="N25" i="3" s="1"/>
  <c r="N38" i="3" s="1"/>
  <c r="K18" i="3"/>
  <c r="T18" i="3"/>
  <c r="T25" i="3" s="1"/>
  <c r="T38" i="3" s="1"/>
  <c r="M18" i="3"/>
  <c r="M25" i="3" s="1"/>
  <c r="M38" i="3" s="1"/>
  <c r="L18" i="3"/>
  <c r="L25" i="3" s="1"/>
  <c r="L38" i="3" s="1"/>
  <c r="V18" i="3"/>
  <c r="V25" i="3" s="1"/>
  <c r="V38" i="3" s="1"/>
  <c r="O18" i="3"/>
  <c r="O25" i="3" s="1"/>
  <c r="O38" i="3" s="1"/>
  <c r="U18" i="3"/>
  <c r="U25" i="3" s="1"/>
  <c r="U38" i="3" s="1"/>
  <c r="P18" i="3"/>
  <c r="P25" i="3" s="1"/>
  <c r="P38" i="3" s="1"/>
  <c r="B158" i="5"/>
  <c r="C66" i="5"/>
  <c r="B53" i="7"/>
  <c r="B54" i="7" s="1"/>
  <c r="B13" i="8"/>
  <c r="D13" i="8" s="1"/>
  <c r="B12" i="8"/>
  <c r="D12" i="8" s="1"/>
  <c r="B47" i="7"/>
  <c r="E47" i="7" s="1"/>
  <c r="B11" i="8"/>
  <c r="D11" i="8" s="1"/>
  <c r="C18" i="7"/>
  <c r="B46" i="7"/>
  <c r="E46" i="7" s="1"/>
  <c r="B120" i="5"/>
  <c r="B7" i="3"/>
  <c r="C68" i="5"/>
  <c r="B152" i="5"/>
  <c r="C86" i="5" l="1"/>
  <c r="C72" i="5"/>
  <c r="B90" i="5"/>
  <c r="C77" i="5"/>
  <c r="K25" i="3"/>
  <c r="W16" i="3"/>
  <c r="W18" i="3"/>
  <c r="C39" i="7"/>
  <c r="D18" i="7"/>
  <c r="D39" i="7" l="1"/>
  <c r="F18" i="7"/>
  <c r="B45" i="7"/>
  <c r="E45" i="7" s="1"/>
  <c r="B44" i="7"/>
  <c r="K38" i="3"/>
  <c r="W25" i="3"/>
  <c r="B159" i="5"/>
  <c r="C90" i="5"/>
  <c r="B92" i="5"/>
  <c r="W38" i="3" l="1"/>
  <c r="K39" i="3"/>
  <c r="L13" i="3" s="1"/>
  <c r="L39" i="3" s="1"/>
  <c r="M13" i="3" s="1"/>
  <c r="M39" i="3" s="1"/>
  <c r="N13" i="3" s="1"/>
  <c r="N39" i="3" s="1"/>
  <c r="O13" i="3" s="1"/>
  <c r="O39" i="3" s="1"/>
  <c r="P13" i="3" s="1"/>
  <c r="P39" i="3" s="1"/>
  <c r="Q13" i="3" s="1"/>
  <c r="Q39" i="3" s="1"/>
  <c r="R13" i="3" s="1"/>
  <c r="R39" i="3" s="1"/>
  <c r="S13" i="3" s="1"/>
  <c r="S39" i="3" s="1"/>
  <c r="T13" i="3" s="1"/>
  <c r="T39" i="3" s="1"/>
  <c r="U13" i="3" s="1"/>
  <c r="U39" i="3" s="1"/>
  <c r="V13" i="3" s="1"/>
  <c r="V39" i="3" s="1"/>
  <c r="F39" i="7"/>
  <c r="G18" i="7"/>
  <c r="B153" i="5"/>
  <c r="B98" i="5"/>
  <c r="C92" i="5"/>
  <c r="B110" i="5" l="1"/>
  <c r="B114" i="5" s="1"/>
  <c r="B99" i="5"/>
  <c r="C98" i="5"/>
  <c r="G19" i="7"/>
  <c r="H18" i="7"/>
  <c r="C99" i="5" l="1"/>
  <c r="B130" i="5"/>
  <c r="B133" i="5" s="1"/>
  <c r="G20" i="7"/>
  <c r="H19" i="7"/>
  <c r="B101" i="5"/>
  <c r="B124" i="5"/>
  <c r="B157" i="5" l="1"/>
  <c r="C120" i="5"/>
  <c r="H20" i="7"/>
  <c r="G21" i="7"/>
  <c r="B48" i="7"/>
  <c r="E48" i="7" s="1"/>
  <c r="B139" i="5"/>
  <c r="B156" i="5" s="1"/>
  <c r="C133" i="5"/>
  <c r="B155" i="5"/>
  <c r="C114" i="5"/>
  <c r="B154" i="5"/>
  <c r="B143" i="5"/>
  <c r="B145" i="5" s="1"/>
  <c r="C101" i="5"/>
  <c r="B147" i="5" l="1"/>
  <c r="D147" i="5" s="1"/>
  <c r="G22" i="7"/>
  <c r="H21" i="7"/>
  <c r="H22" i="7" l="1"/>
  <c r="G23" i="7"/>
  <c r="H23" i="7" l="1"/>
  <c r="G24" i="7"/>
  <c r="H24" i="7" l="1"/>
  <c r="G25" i="7"/>
  <c r="H25" i="7" l="1"/>
  <c r="G26" i="7"/>
  <c r="G27" i="7" l="1"/>
  <c r="H26" i="7"/>
  <c r="H27" i="7" l="1"/>
  <c r="G28" i="7"/>
  <c r="G29" i="7" l="1"/>
  <c r="H28" i="7"/>
  <c r="G30" i="7" l="1"/>
  <c r="H29" i="7"/>
  <c r="G31" i="7" l="1"/>
  <c r="H30" i="7"/>
  <c r="G32" i="7" l="1"/>
  <c r="H31" i="7"/>
  <c r="H32" i="7" l="1"/>
  <c r="G33" i="7"/>
  <c r="G34" i="7" l="1"/>
  <c r="H33" i="7"/>
  <c r="H34" i="7" l="1"/>
  <c r="G35" i="7"/>
  <c r="H35" i="7" l="1"/>
  <c r="G36" i="7"/>
  <c r="H36" i="7" l="1"/>
  <c r="G37" i="7"/>
  <c r="H37" i="7" l="1"/>
  <c r="G38" i="7"/>
  <c r="B43" i="7" l="1"/>
  <c r="H38" i="7"/>
  <c r="E44" i="7" l="1"/>
  <c r="E43" i="7"/>
  <c r="B55" i="7"/>
  <c r="E55" i="7" l="1"/>
  <c r="D55" i="7"/>
</calcChain>
</file>

<file path=xl/sharedStrings.xml><?xml version="1.0" encoding="utf-8"?>
<sst xmlns="http://schemas.openxmlformats.org/spreadsheetml/2006/main" count="504" uniqueCount="439">
  <si>
    <t>DATOS BASE DEL CONTRATO</t>
  </si>
  <si>
    <t>PRESUPUESTO OFICIAL</t>
  </si>
  <si>
    <t>Capítulo de Obra</t>
  </si>
  <si>
    <t>Valor con AIU (COP)</t>
  </si>
  <si>
    <t>1. Preliminares</t>
  </si>
  <si>
    <t>2. Pavimentos</t>
  </si>
  <si>
    <t>3. Ciclo Ruta</t>
  </si>
  <si>
    <t>4. Separador Central</t>
  </si>
  <si>
    <t>5. Espacio Público - Urbanismo</t>
  </si>
  <si>
    <t>6. Vegetación y Paisajismo</t>
  </si>
  <si>
    <t>7. Mobiliario Urbano</t>
  </si>
  <si>
    <t>8. Redes Hidrosanitarias</t>
  </si>
  <si>
    <t>9. Redes Secas</t>
  </si>
  <si>
    <t>11. Señalización, Demarcación y Semaforización</t>
  </si>
  <si>
    <t>10. Arqueología</t>
  </si>
  <si>
    <t>Valor Actividades de Acero con AIU</t>
  </si>
  <si>
    <t>COMPONENTE A - Precios Unitarios (con AIU)</t>
  </si>
  <si>
    <t>COMPONENTES ADICIONALES</t>
  </si>
  <si>
    <t>Componente B: Labores Ambientales y SST</t>
  </si>
  <si>
    <t>Componente C: Diálogo Ciudadano y Comunicación Estratégica</t>
  </si>
  <si>
    <t>Componente D: Manejo de Tráfico, Señalización y Desvíos</t>
  </si>
  <si>
    <t>TOTAL COMPONENTES</t>
  </si>
  <si>
    <t>Componente E:  Ensayos de Laboratorio</t>
  </si>
  <si>
    <t>Componente F: Compensaciones Autoridad Ambiental</t>
  </si>
  <si>
    <t>Componente G: Fase de Preliminares</t>
  </si>
  <si>
    <t>Componente K: Pagos Asociados a Ajustes</t>
  </si>
  <si>
    <t>TOTAL PRE-OPERATIVOS SIN AJUSTES</t>
  </si>
  <si>
    <t>TOTAL DEL PROYECTO</t>
  </si>
  <si>
    <t>ESTRUCTURA AIU</t>
  </si>
  <si>
    <t>Administración (A)</t>
  </si>
  <si>
    <t>Imprevistos (I)</t>
  </si>
  <si>
    <t>Utilidad (U)</t>
  </si>
  <si>
    <t>TOTAL AIU</t>
  </si>
  <si>
    <t>PARÁMETROS DE EVALUACIÓN</t>
  </si>
  <si>
    <t>Plazo total del contrato (meses)</t>
  </si>
  <si>
    <t>Fase de Preliminares (meses)</t>
  </si>
  <si>
    <t>Ejecución de obra (meses)</t>
  </si>
  <si>
    <t>Recibo de obra (meses)</t>
  </si>
  <si>
    <t>Anticipo sobre Componente A (%)</t>
  </si>
  <si>
    <t>Tasa de descuento (TSD DNP)</t>
  </si>
  <si>
    <t>Vida útil del activo (años)</t>
  </si>
  <si>
    <t>Mano de obra en presupuesto (%)</t>
  </si>
  <si>
    <t>Incremento jornada laboral Jul 2025 (%)</t>
  </si>
  <si>
    <t>Incremento jornada laboral Jul 2026 (%)</t>
  </si>
  <si>
    <t>COSTOS Y GASTOS DE OPERACIÓN — DESCOMPOSICIÓN DEL AIU (2.4.2)</t>
  </si>
  <si>
    <t>Componente A (Precios Unitarios con AIU)</t>
  </si>
  <si>
    <t>Total AIU (%)</t>
  </si>
  <si>
    <t>Costo directo sin AIU  [A / (1 + AIU)]</t>
  </si>
  <si>
    <t>Total AIU (valor)</t>
  </si>
  <si>
    <t>Verificación: Costo directo + AIU − Comp A (≈0)</t>
  </si>
  <si>
    <t>Tasa de Descuento
El porcentaje del 12% fue calculado y establecido por el Departamento Nacional de Planeación (DNP) de Colombia. El DNP es la entidad técnica del gobierno encargada de dirigir y diseñar las políticas públicas y los presupuestos de inversión del país.
Para llegar a ese número exacto, los economistas del DNP realizaron estudios macroeconómicos complejos. Se analizó cuánto dinero podría ganar la sociedad colombiana en promedio si, en lugar de usar los recursos en obras públicas, ese dinero se invirtiera en los mejores negocios del sector privado dentro del país. El resultado histórico de ese cálculo fijó la barrera en un 12% anual.
¿Qué significa?
ese 12% se denomina Costo de Oportunidad Social. Es el rendimiento mínimo e indispensable que se le exige a cualquier proyecto financiado con impuestos. Si la evaluación financiera y socioeconómica de una obra civil demuestra que los beneficios retornarán menos de ese 12%, el proyecto se considera inviable, ya que destruiría valor económico para el Estado en lugar de crearlo.</t>
  </si>
  <si>
    <t>2.4.3 / 2.4.4  FLUJO DE CAJA DEL PROYECTO CON AMORTIZACIÓN DE ANTICIPO</t>
  </si>
  <si>
    <t>Concepto</t>
  </si>
  <si>
    <t>Valor (COP)</t>
  </si>
  <si>
    <t>Referencia</t>
  </si>
  <si>
    <t>Presupuesto Total del Proyecto (100% recursos públicos)</t>
  </si>
  <si>
    <t>Hoja 1, B30</t>
  </si>
  <si>
    <t>Anticipo = 40% del Componente A</t>
  </si>
  <si>
    <t>Comp A x 40%</t>
  </si>
  <si>
    <t>Saldo Comp A a pagar por actas (60%)</t>
  </si>
  <si>
    <t>Comp A - Anticipo</t>
  </si>
  <si>
    <t>Mes 1</t>
  </si>
  <si>
    <t>Mes 2</t>
  </si>
  <si>
    <t>Mes 3</t>
  </si>
  <si>
    <t>Mes 4</t>
  </si>
  <si>
    <t>Mes 5</t>
  </si>
  <si>
    <t>Mes 6</t>
  </si>
  <si>
    <t>Mes 7</t>
  </si>
  <si>
    <t>Mes 8</t>
  </si>
  <si>
    <t>Mes 9</t>
  </si>
  <si>
    <t>Mes 10</t>
  </si>
  <si>
    <t>Mes 11</t>
  </si>
  <si>
    <t>Mes 12</t>
  </si>
  <si>
    <t>Mes 13</t>
  </si>
  <si>
    <t>Mes 14</t>
  </si>
  <si>
    <t>Mes 15</t>
  </si>
  <si>
    <t>Mes 16</t>
  </si>
  <si>
    <t>Mes 17</t>
  </si>
  <si>
    <t>Mes 18</t>
  </si>
  <si>
    <t>Mes 19</t>
  </si>
  <si>
    <t>Mes 20</t>
  </si>
  <si>
    <t>Mes 21</t>
  </si>
  <si>
    <t>TOTAL</t>
  </si>
  <si>
    <t>Fase</t>
  </si>
  <si>
    <t>Preoper.</t>
  </si>
  <si>
    <t>Construc.</t>
  </si>
  <si>
    <t>Liquidac.</t>
  </si>
  <si>
    <t>% Avance programado (Curva S PERT)</t>
  </si>
  <si>
    <t>% Avance ejecución (Construcción+Liquidación, M10-21)</t>
  </si>
  <si>
    <t>SALDO ANTERIOR</t>
  </si>
  <si>
    <t>INGRESOS</t>
  </si>
  <si>
    <t>Componente G: Fase Preliminares</t>
  </si>
  <si>
    <t>Anticipo 40% Componente A</t>
  </si>
  <si>
    <t>Actas Comp A - 100% obra ejecutada</t>
  </si>
  <si>
    <t>(-) Amortización anticipo (40% × Comp A × %ejec.)</t>
  </si>
  <si>
    <t>Componente B: Ambiental y SST</t>
  </si>
  <si>
    <t>Componente C: Diálogo Ciudadano</t>
  </si>
  <si>
    <t>Componente D: Manejo de Tráfico</t>
  </si>
  <si>
    <t>Componente E: Reembolso Ensayos Lab.</t>
  </si>
  <si>
    <t>Componente F: Compensaciones Ambientales</t>
  </si>
  <si>
    <t>Componente K: Ajustes (proporcional 21 meses)</t>
  </si>
  <si>
    <t>TOTAL INGRESOS</t>
  </si>
  <si>
    <t>EGRESOS (Costos de ejecución del proyecto)</t>
  </si>
  <si>
    <t>Componente A: Obra física (según % ejecución)</t>
  </si>
  <si>
    <t>Componente D: Manejo Tráfico</t>
  </si>
  <si>
    <t>Componente E: Ensayos Laboratorio</t>
  </si>
  <si>
    <t>Componente G: Preliminares</t>
  </si>
  <si>
    <t>Componente K: Ajustes</t>
  </si>
  <si>
    <t>TOTAL EGRESOS</t>
  </si>
  <si>
    <t>FLUJO NETO MENSUAL (Ingresos - Egresos)</t>
  </si>
  <si>
    <t>SALDO ACUMULADO</t>
  </si>
  <si>
    <t>Componente</t>
  </si>
  <si>
    <t>2.4.5. PROYECCIÓN DE ESTADOS FINANCIEROS DEL PROYECTO</t>
  </si>
  <si>
    <t>I. ESTADO DE TESORERÍA (FLUJO DE EFECTIVO)</t>
  </si>
  <si>
    <t>A. ACTIVIDADES DE OPERACIÓN</t>
  </si>
  <si>
    <t>Cobros (Ingresos de efectivo)</t>
  </si>
  <si>
    <t xml:space="preserve">  Anticipo recibido (40% Componente A)</t>
  </si>
  <si>
    <t xml:space="preserve">  Cobro actas obra ejecutada Comp A (neto amortización)</t>
  </si>
  <si>
    <t>Comp A × 60% = cobro neto por actas</t>
  </si>
  <si>
    <t xml:space="preserve">  Cobro Fase Preliminares (Componente G)</t>
  </si>
  <si>
    <t xml:space="preserve">  Cobro Componentes B+C+D (Gestión transversal)</t>
  </si>
  <si>
    <t xml:space="preserve">  Cobro Reembolsos E+F (Ensayos + Compensaciones)</t>
  </si>
  <si>
    <t xml:space="preserve">  Cobro Componente K (Ajustes)</t>
  </si>
  <si>
    <t>TOTAL COBROS (=Total Proyecto)</t>
  </si>
  <si>
    <t>Pagos (Egresos de efectivo)</t>
  </si>
  <si>
    <t xml:space="preserve">  Costo directo de obra (materiales, M.O., equipos)</t>
  </si>
  <si>
    <t>Costo directo sin AIU</t>
  </si>
  <si>
    <t xml:space="preserve">  Gastos de administración (28,528% del C.D.)</t>
  </si>
  <si>
    <t xml:space="preserve">  Imprevistos (1% del C.D.)</t>
  </si>
  <si>
    <t xml:space="preserve">  Gestión Ambiental y SST (Componente B)</t>
  </si>
  <si>
    <t xml:space="preserve">  Diálogo Ciudadano (Componente C)</t>
  </si>
  <si>
    <t xml:space="preserve">  Manejo de Tráfico (Componente D)</t>
  </si>
  <si>
    <t xml:space="preserve">  Fase Preliminares (Componente G)</t>
  </si>
  <si>
    <t xml:space="preserve">  Ensayos de Laboratorio (Componente E)</t>
  </si>
  <si>
    <t xml:space="preserve">  Compensaciones Ambientales (Componente F)</t>
  </si>
  <si>
    <t xml:space="preserve">  Pagos por Ajustes (Componente K)</t>
  </si>
  <si>
    <t>TOTAL PAGOS</t>
  </si>
  <si>
    <t>FLUJO NETO DE OPERACIÓN (Cobros - Pagos)</t>
  </si>
  <si>
    <t>Utilidad del contratista (7% del C.D.)</t>
  </si>
  <si>
    <t>B. ACTIVIDADES DE INVERSIÓN</t>
  </si>
  <si>
    <t xml:space="preserve">  Inversión en activo vial construido (entregado a la Entidad)</t>
  </si>
  <si>
    <t>El activo se entrega a la Entidad, no queda en el contratista</t>
  </si>
  <si>
    <t xml:space="preserve">  Recuperación de inversión (obra entregada = activo público)</t>
  </si>
  <si>
    <t>FLUJO NETO DE INVERSIÓN</t>
  </si>
  <si>
    <t>C. ACTIVIDADES DE FINANCIACIÓN</t>
  </si>
  <si>
    <t xml:space="preserve">  Recursos de la Entidad canalizados como pagos de obra</t>
  </si>
  <si>
    <t>Ya incluidos en cobros operacionales arriba</t>
  </si>
  <si>
    <t xml:space="preserve">  Financiación externa (crédito/banca multilateral)</t>
  </si>
  <si>
    <t>100% recursos públicos - sin deuda</t>
  </si>
  <si>
    <t>FLUJO NETO DE FINANCIACIÓN</t>
  </si>
  <si>
    <t>VARIACIÓN NETA DEL EFECTIVO</t>
  </si>
  <si>
    <t>Saldo inicial de caja</t>
  </si>
  <si>
    <t>SALDO FINAL DE CAJA</t>
  </si>
  <si>
    <t>II. ESTADO DE RESULTADOS (PERÍODO: 21 MESES)</t>
  </si>
  <si>
    <t>% sobre Ingreso</t>
  </si>
  <si>
    <t>Nota</t>
  </si>
  <si>
    <t>INGRESOS OPERACIONALES</t>
  </si>
  <si>
    <t xml:space="preserve">  Facturación obra ejecutada (Componente A con AIU)</t>
  </si>
  <si>
    <t>Precios unitarios con AIU 36,528%</t>
  </si>
  <si>
    <t xml:space="preserve">  Ingresos gestión ambiental y SST (Comp B)</t>
  </si>
  <si>
    <t xml:space="preserve">  Ingresos diálogo ciudadano (Comp C)</t>
  </si>
  <si>
    <t xml:space="preserve">  Ingresos manejo de tráfico (Comp D)</t>
  </si>
  <si>
    <t xml:space="preserve">  Ingresos fase preliminares (Comp G)</t>
  </si>
  <si>
    <t xml:space="preserve">  Reembolso ensayos laboratorio (Comp E)</t>
  </si>
  <si>
    <t xml:space="preserve">  Reembolso compensaciones ambientales (Comp F)</t>
  </si>
  <si>
    <t xml:space="preserve">  Ingresos por ajustes (Comp K)</t>
  </si>
  <si>
    <t>TOTAL INGRESOS OPERACIONALES</t>
  </si>
  <si>
    <t>Verificación: ='1. Datos y Costos del Contrato'!B30</t>
  </si>
  <si>
    <t>COSTO DE PRODUCCIÓN (Costos Directos)</t>
  </si>
  <si>
    <t xml:space="preserve">  Materiales de construcción</t>
  </si>
  <si>
    <t>Supuesto: 55% del costo directo</t>
  </si>
  <si>
    <t xml:space="preserve">  Mano de obra directa (oficiales y ayudantes)</t>
  </si>
  <si>
    <t>M.O. = '1. Datos y Costos del Contrato'!B46 del presupuesto</t>
  </si>
  <si>
    <t xml:space="preserve">  Equipos y maquinaria</t>
  </si>
  <si>
    <t>Supuesto: 20% del costo directo</t>
  </si>
  <si>
    <t xml:space="preserve">  Transporte y disposición de materiales</t>
  </si>
  <si>
    <t>Resto del costo directo</t>
  </si>
  <si>
    <t xml:space="preserve">  Gastos preliminares (Comp G)</t>
  </si>
  <si>
    <t xml:space="preserve">  Ensayos de laboratorio (Comp E)</t>
  </si>
  <si>
    <t xml:space="preserve">  Compensaciones ambientales (Comp F)</t>
  </si>
  <si>
    <t>TOTAL COSTO DE PRODUCCIÓN</t>
  </si>
  <si>
    <t>UTILIDAD BRUTA</t>
  </si>
  <si>
    <t>Margen bruto</t>
  </si>
  <si>
    <t>GASTOS OPERACIONALES</t>
  </si>
  <si>
    <t>Gastos de Administración</t>
  </si>
  <si>
    <t xml:space="preserve">  Dirección técnica y profesionales de apoyo</t>
  </si>
  <si>
    <t>Supuesto: 45% del AIU Admin</t>
  </si>
  <si>
    <t xml:space="preserve">  Personal técnico y administrativo de obra</t>
  </si>
  <si>
    <t>Supuesto: 25% del AIU Admin</t>
  </si>
  <si>
    <t xml:space="preserve">  Pólizas, garantías y seguros</t>
  </si>
  <si>
    <t>Supuesto: 10% del AIU Admin</t>
  </si>
  <si>
    <t xml:space="preserve">  Impuestos y contribuciones</t>
  </si>
  <si>
    <t>Supuesto: 12% del AIU Admin</t>
  </si>
  <si>
    <t xml:space="preserve">  Oficina, equipos de topografía y gastos generales</t>
  </si>
  <si>
    <t>Supuesto: 8% del AIU Admin</t>
  </si>
  <si>
    <t>Total Administración (A = 28,528%)</t>
  </si>
  <si>
    <t>Verificación: ='1. Datos y Costos del Contrato'!B62</t>
  </si>
  <si>
    <t>Gastos de Gestión Transversal</t>
  </si>
  <si>
    <t xml:space="preserve">  Gestión ambiental y SST (Comp B)</t>
  </si>
  <si>
    <t xml:space="preserve">  Diálogo ciudadano y comunicación estratégica (Comp C)</t>
  </si>
  <si>
    <t xml:space="preserve">  Manejo de tráfico, señalización y desvíos (Comp D)</t>
  </si>
  <si>
    <t>Total Gestión Transversal (B+C+D)</t>
  </si>
  <si>
    <t>Otros Gastos Operacionales</t>
  </si>
  <si>
    <t xml:space="preserve">  Imprevistos (I = 1% del C.D.)</t>
  </si>
  <si>
    <t xml:space="preserve">  Pagos por ajustes (Comp K)</t>
  </si>
  <si>
    <t>Total Otros Gastos Operacionales</t>
  </si>
  <si>
    <t>TOTAL GASTOS OPERACIONALES</t>
  </si>
  <si>
    <t>UTILIDAD OPERACIONAL (EBIT)</t>
  </si>
  <si>
    <t>Margen operacional</t>
  </si>
  <si>
    <t>(-) Gastos financieros (intereses deuda)</t>
  </si>
  <si>
    <t>No aplica: 100% recursos públicos</t>
  </si>
  <si>
    <t>(+) Otros ingresos no operacionales</t>
  </si>
  <si>
    <t>No se contemplan ingresos adicionales</t>
  </si>
  <si>
    <t>(-) Otros gastos no operacionales</t>
  </si>
  <si>
    <t>UTILIDAD ANTES DE IMPUESTOS (UAI)</t>
  </si>
  <si>
    <t>(-) Provisión impuesto de renta (35%)</t>
  </si>
  <si>
    <t>Tarifa general renta personas jurídicas Colombia</t>
  </si>
  <si>
    <t>UTILIDAD NETA DEL EJERCICIO</t>
  </si>
  <si>
    <t>Margen neto</t>
  </si>
  <si>
    <t>UTILIDAD CONTRACTUAL (U = 7% del C.D.) - Referencia</t>
  </si>
  <si>
    <t>Utilidad pactada en AIU antes de impuestos</t>
  </si>
  <si>
    <t>III. BALANCE GENERAL (AL CIERRE DEL PROYECTO)</t>
  </si>
  <si>
    <t>%</t>
  </si>
  <si>
    <t>ACTIVOS</t>
  </si>
  <si>
    <t>Activos Corrientes</t>
  </si>
  <si>
    <t xml:space="preserve">  Efectivo y equivalentes (caja al cierre, antes de pago impuestos)</t>
  </si>
  <si>
    <t>UAI: impuesto aún no pagado al cierre</t>
  </si>
  <si>
    <t xml:space="preserve">  Cuentas por cobrar (actas pendientes de pago)</t>
  </si>
  <si>
    <t>Al cierre: todas las actas cobradas</t>
  </si>
  <si>
    <t xml:space="preserve">  Anticipo por amortizar</t>
  </si>
  <si>
    <t>Al cierre: anticipo 100% amortizado</t>
  </si>
  <si>
    <t xml:space="preserve">  Inventario de materiales en obra</t>
  </si>
  <si>
    <t>Al cierre: todo incorporado a la obra</t>
  </si>
  <si>
    <t>Total Activos Corrientes</t>
  </si>
  <si>
    <t>Activos No Corrientes</t>
  </si>
  <si>
    <t xml:space="preserve">  Infraestructura vial construida (entregada a la Entidad)</t>
  </si>
  <si>
    <t>Activo público entregado a la Entidad - no queda en contratista</t>
  </si>
  <si>
    <t xml:space="preserve">  (-) Activo transferido a la Entidad (acta de entrega)</t>
  </si>
  <si>
    <t>Baja del activo al entregar obra a la Entidad</t>
  </si>
  <si>
    <t xml:space="preserve">  Maquinaria y equipos propios (depreciación residual)</t>
  </si>
  <si>
    <t>Supuesto: equipos en arriendo, no propios</t>
  </si>
  <si>
    <t>Total Activos No Corrientes</t>
  </si>
  <si>
    <t>Activo Público Generado (perspectiva de la Entidad/Distrito)</t>
  </si>
  <si>
    <t>Valor del activo en patrimonio público distrital</t>
  </si>
  <si>
    <t>TOTAL ACTIVOS (perspectiva contratista)</t>
  </si>
  <si>
    <t>PASIVOS</t>
  </si>
  <si>
    <t>Pasivos Corrientes</t>
  </si>
  <si>
    <t xml:space="preserve">  Cuentas por pagar a proveedores</t>
  </si>
  <si>
    <t>Al cierre: todas las obligaciones canceladas</t>
  </si>
  <si>
    <t xml:space="preserve">  Obligaciones laborales pendientes</t>
  </si>
  <si>
    <t>Al cierre: liquidaciones pagadas</t>
  </si>
  <si>
    <t xml:space="preserve">  Impuestos por pagar (renta)</t>
  </si>
  <si>
    <t>Provisión impuesto renta 35%</t>
  </si>
  <si>
    <t xml:space="preserve">  Anticipo recibido pendiente de amortizar</t>
  </si>
  <si>
    <t xml:space="preserve">  Retenciones y descuentos por pagar</t>
  </si>
  <si>
    <t>Total Pasivos Corrientes</t>
  </si>
  <si>
    <t>Pasivos No Corrientes</t>
  </si>
  <si>
    <t xml:space="preserve">  Obligaciones financieras a largo plazo</t>
  </si>
  <si>
    <t>No aplica: sin financiación crediticia</t>
  </si>
  <si>
    <t xml:space="preserve">  Garantía de estabilidad de obra (póliza)</t>
  </si>
  <si>
    <t>Amparado con póliza de seguros, no pasivo monetario</t>
  </si>
  <si>
    <t>Total Pasivos No Corrientes</t>
  </si>
  <si>
    <t>TOTAL PASIVOS</t>
  </si>
  <si>
    <t>PATRIMONIO</t>
  </si>
  <si>
    <t xml:space="preserve">  Capital social del consorcio</t>
  </si>
  <si>
    <t>El contratista no tiene capital propio permanente</t>
  </si>
  <si>
    <t xml:space="preserve">  Resultado del ejercicio (utilidad neta)</t>
  </si>
  <si>
    <t>Utilidad después de provisión de impuesto</t>
  </si>
  <si>
    <t xml:space="preserve">  Resultados acumulados</t>
  </si>
  <si>
    <t>No hay ejercicios anteriores</t>
  </si>
  <si>
    <t>TOTAL PATRIMONIO</t>
  </si>
  <si>
    <t>VERIFICACIÓN: ACTIVOS = PASIVOS + PATRIMONIO</t>
  </si>
  <si>
    <t>IV. INDICADORES FINANCIEROS DEL PROYECTO</t>
  </si>
  <si>
    <t>Indicador</t>
  </si>
  <si>
    <t>Valor</t>
  </si>
  <si>
    <t>Interpretación</t>
  </si>
  <si>
    <t>Margen Bruto</t>
  </si>
  <si>
    <t>Rentabilidad después de costos directos</t>
  </si>
  <si>
    <t>Margen Operacional (EBIT)</t>
  </si>
  <si>
    <t>Rentabilidad operativa del contratista</t>
  </si>
  <si>
    <t>Margen Neto</t>
  </si>
  <si>
    <t>Rentabilidad neta después de impuestos</t>
  </si>
  <si>
    <t>Razón Corriente (Activo Corriente / Pasivo Corriente)</t>
  </si>
  <si>
    <t>Liquidez al cierre del proyecto</t>
  </si>
  <si>
    <t>Nivel de Endeudamiento</t>
  </si>
  <si>
    <t>Participación de terceros en los activos</t>
  </si>
  <si>
    <t>Retorno sobre Activos (ROA)</t>
  </si>
  <si>
    <t>Eficiencia en uso de activos</t>
  </si>
  <si>
    <t>Costo directo / Ingreso total</t>
  </si>
  <si>
    <t>Eficiencia en costos de producción</t>
  </si>
  <si>
    <t>AIU efectivo / Ingreso total</t>
  </si>
  <si>
    <t>Peso de gastos operacionales sobre ingresos</t>
  </si>
  <si>
    <t>2.4.7. DETERMINACIÓN DE LA TASA DE DESCUENTO DEL PROYECTO</t>
  </si>
  <si>
    <t>MÉTODO 1: TASA SOCIAL DE DESCUENTO (TSD) - DNP</t>
  </si>
  <si>
    <t>El DNP establece una tasa social de descuento para evaluar proyectos de inversión pública en Colombia.</t>
  </si>
  <si>
    <t>Parámetro</t>
  </si>
  <si>
    <t>Tipo</t>
  </si>
  <si>
    <t>Fuente / Justificación</t>
  </si>
  <si>
    <t>TSD recomendada por el DNP</t>
  </si>
  <si>
    <t>Input</t>
  </si>
  <si>
    <t>Fuente: DNP, Guía Evaluación Proyectos Inversión Pública (2020)</t>
  </si>
  <si>
    <t>MÉTODO 2: TASA DE MERCADO (DTF + SPREAD DE RIESGO)</t>
  </si>
  <si>
    <t>Aproximación por costo de oportunidad del mercado financiero colombiano.</t>
  </si>
  <si>
    <t>DTF (Tasa de captación a 90 días, promedio 2024-2025)</t>
  </si>
  <si>
    <t>Fuente: Banco de la República, serie estadística DTF</t>
  </si>
  <si>
    <t>Spread por riesgo de proyecto de infraestructura pública</t>
  </si>
  <si>
    <t>Supuesto: 1,0%-2,0% spread típico para contratos de obra pública con pólizas</t>
  </si>
  <si>
    <t>Tasa de mercado calculada (DTF + Spread)</t>
  </si>
  <si>
    <t>Fórmula</t>
  </si>
  <si>
    <t>DTF + Spread riesgo proyecto</t>
  </si>
  <si>
    <t>MÉTODO 3: WACC - COSTO PROMEDIO PONDERADO DE CAPITAL</t>
  </si>
  <si>
    <t>Dado que el proyecto es 100% financiado con recursos propios (equity público), el WACC se simplifica.</t>
  </si>
  <si>
    <t>Peso</t>
  </si>
  <si>
    <t>Participación recursos propios (Equity público)</t>
  </si>
  <si>
    <t>100%</t>
  </si>
  <si>
    <t>Financiación 100% pública - presupuesto distrital</t>
  </si>
  <si>
    <t>Participación deuda (Debt)</t>
  </si>
  <si>
    <t>0%</t>
  </si>
  <si>
    <t>No hay financiamiento crediticio</t>
  </si>
  <si>
    <t>Costo del equity (Ke) = TSD DNP</t>
  </si>
  <si>
    <t>Se usa TSD como proxy del costo de oportunidad del capital público</t>
  </si>
  <si>
    <t>Costo de la deuda (Kd)</t>
  </si>
  <si>
    <t>No aplica: sin deuda</t>
  </si>
  <si>
    <t>Tasa de impuestos (T)</t>
  </si>
  <si>
    <t>WACC = Ke × (E/(E+D)) + Kd × (1-T) × (D/(E+D))</t>
  </si>
  <si>
    <t>WACC calculado</t>
  </si>
  <si>
    <t>Con 100% equity: WACC = Ke = 12%</t>
  </si>
  <si>
    <t>MÉTODO 4: CAPM - MODELO DE VALORACIÓN DE ACTIVOS (Referencia)</t>
  </si>
  <si>
    <t>Tasa libre de riesgo (Rf) - TES 10 años Colombia</t>
  </si>
  <si>
    <t>Fuente: BanRep, TES 2034 rendimiento secundario</t>
  </si>
  <si>
    <t>Prima de riesgo de mercado (Rm - Rf)</t>
  </si>
  <si>
    <t>Fuente: Damodaran, prima mercado Colombia/emergentes</t>
  </si>
  <si>
    <t>Beta del sector construcción infraestructura (β)</t>
  </si>
  <si>
    <t>Fuente: Damodaran, beta unlevered sector Engineering/Construction</t>
  </si>
  <si>
    <t>Riesgo país Colombia</t>
  </si>
  <si>
    <t>Fuente: EMBI+ Colombia, JP Morgan</t>
  </si>
  <si>
    <t>Ke (CAPM) = Rf + β × (Rm-Rf) + Riesgo País</t>
  </si>
  <si>
    <t>Costo de equity vía CAPM modificado</t>
  </si>
  <si>
    <t>CUADRO COMPARATIVO DE MÉTODOS</t>
  </si>
  <si>
    <t>Método</t>
  </si>
  <si>
    <t>Tasa Obtenida</t>
  </si>
  <si>
    <t>Aplicabilidad</t>
  </si>
  <si>
    <t>Observación</t>
  </si>
  <si>
    <t>TSD del DNP</t>
  </si>
  <si>
    <t>Alta</t>
  </si>
  <si>
    <t>Estándar para proyectos de inversión pública</t>
  </si>
  <si>
    <t>DTF + Spread</t>
  </si>
  <si>
    <t>Media</t>
  </si>
  <si>
    <t>Referencia de mercado financiero</t>
  </si>
  <si>
    <t>WACC</t>
  </si>
  <si>
    <t>Con 100% equity = Ke = TSD</t>
  </si>
  <si>
    <t>CAPM modificado</t>
  </si>
  <si>
    <t>Referencial</t>
  </si>
  <si>
    <t>Modelo teórico, validación cruzada</t>
  </si>
  <si>
    <t>Promedio de los 4 métodos</t>
  </si>
  <si>
    <t>Referencia: promedio simple</t>
  </si>
  <si>
    <t>TASA DE DESCUENTO ADOPTADA PARA EL PROYECTO</t>
  </si>
  <si>
    <t>Tasa de descuento seleccionada</t>
  </si>
  <si>
    <t>Se adopta la TSD del DNP (12%) por ser el estándar para inversión pública</t>
  </si>
  <si>
    <t>2.4.6. DETERMINACIÓN DEL FLUJO DE CAJA NETO DEL PROYECTO</t>
  </si>
  <si>
    <t>Evaluación socioeconómica - Horizonte de 20 años (vida útil del activo vial tipo V-3)</t>
  </si>
  <si>
    <t>PARÁMETROS DE ENTRADA</t>
  </si>
  <si>
    <t>Unidad</t>
  </si>
  <si>
    <t>Referencia / fuente del supuesto</t>
  </si>
  <si>
    <t>Inversión inicial (Año 0)</t>
  </si>
  <si>
    <t>COP</t>
  </si>
  <si>
    <t>Hoja 1: Total Proyecto</t>
  </si>
  <si>
    <t>Beneficio anual total</t>
  </si>
  <si>
    <t>COP/año</t>
  </si>
  <si>
    <t>Suma de los beneficios sociales anuales (líneas 8 a 10)</t>
  </si>
  <si>
    <t xml:space="preserve">  - Ahorro tiempo de viaje</t>
  </si>
  <si>
    <t>Supuesto: Metodología BID 2022 — valor del tiempo de viaje × 612.630 beneficiarios</t>
  </si>
  <si>
    <t xml:space="preserve">  - Reducción accidentalidad</t>
  </si>
  <si>
    <t>Supuesto: Visión Cero / SDM 2023 — reducción de siniestralidad y costos asociados</t>
  </si>
  <si>
    <t xml:space="preserve">  - Valorización inmobiliaria</t>
  </si>
  <si>
    <t>Supuesto: Catastro Distrital estimado — valorización inmobiliaria del sector</t>
  </si>
  <si>
    <t>Costo mantenimiento anual</t>
  </si>
  <si>
    <t>Estándar de mantenimiento vial, vía tipo V-3 (mantenimiento rutinario anual)</t>
  </si>
  <si>
    <t>Hoja 5: TSD adoptada</t>
  </si>
  <si>
    <t>Vida útil (años)</t>
  </si>
  <si>
    <t>años</t>
  </si>
  <si>
    <t>Estándar pavimento flexible</t>
  </si>
  <si>
    <t>Flujo neto anual (Beneficio - Mantenimiento)</t>
  </si>
  <si>
    <t>Beneficio total - Costo mantenimiento</t>
  </si>
  <si>
    <t>FLUJO DE CAJA NETO DETALLADO</t>
  </si>
  <si>
    <t>Año</t>
  </si>
  <si>
    <t>Beneficios (COP)</t>
  </si>
  <si>
    <t>Costos (COP)</t>
  </si>
  <si>
    <t>Flujo Neto (COP)</t>
  </si>
  <si>
    <t>Factor VP
1/(1+r)^t</t>
  </si>
  <si>
    <t>VP Flujo Neto (COP)</t>
  </si>
  <si>
    <t>VP Acumulado (COP)</t>
  </si>
  <si>
    <t>Payback
(Acumulado &gt; 0)</t>
  </si>
  <si>
    <t>INDICADORES DERIVADOS DEL FLUJO DE CAJA NETO</t>
  </si>
  <si>
    <t>Fórmula Excel</t>
  </si>
  <si>
    <t>Criterio</t>
  </si>
  <si>
    <t>Resultado</t>
  </si>
  <si>
    <t>VPN (Valor Presente Neto)</t>
  </si>
  <si>
    <t>VP Acumulado año 20</t>
  </si>
  <si>
    <t>VPN &gt; 0</t>
  </si>
  <si>
    <t>VPN (verificación con NPV)</t>
  </si>
  <si>
    <t>NPV(tasa, flujos 1-20) + flujo 0</t>
  </si>
  <si>
    <t>Debe = fila anterior</t>
  </si>
  <si>
    <t>TIR (Tasa Interna de Retorno)</t>
  </si>
  <si>
    <t>IRR(flujos año 0 a 20)</t>
  </si>
  <si>
    <t>TIR &gt; Tasa Descuento</t>
  </si>
  <si>
    <t>Relación Beneficio/Costo (B/C)</t>
  </si>
  <si>
    <t>VP(Beneficios) / VP(Costos)</t>
  </si>
  <si>
    <t>B/C &gt; 1</t>
  </si>
  <si>
    <t>Período de recuperación simple</t>
  </si>
  <si>
    <t>Inversión / Flujo Neto Anual</t>
  </si>
  <si>
    <t>&lt; Vida útil (20 años)</t>
  </si>
  <si>
    <t>Período de recuperación descontado (años)</t>
  </si>
  <si>
    <t>Año donde VP acumulado &gt; 0</t>
  </si>
  <si>
    <t>&lt; Vida útil</t>
  </si>
  <si>
    <t>DESGLOSE VALOR PRESENTE</t>
  </si>
  <si>
    <t>VP Total Beneficios (20 años)</t>
  </si>
  <si>
    <t>VP Total Costos de Mantenimiento (20 años)</t>
  </si>
  <si>
    <t>VP Costos Totales (Inversión + Mantenimiento)</t>
  </si>
  <si>
    <t>VP Neto (Beneficios - Costos Totales)</t>
  </si>
  <si>
    <t>VPN del proyecto (debe coincidir con B43)</t>
  </si>
  <si>
    <t>Verificación VPN</t>
  </si>
  <si>
    <t>2.4.9. ANÁLISIS DE SENSIBILIDAD Y PLANES DE CONTINGENCIA</t>
  </si>
  <si>
    <t>VARIABLES DE SENSIBILIDAD (Inputs modificables)</t>
  </si>
  <si>
    <t>Escenario</t>
  </si>
  <si>
    <t>Δ Sobrecosto (%)</t>
  </si>
  <si>
    <t>Δ Beneficios (%)</t>
  </si>
  <si>
    <t>Δ Costo Mant. (%)</t>
  </si>
  <si>
    <t>Pesimista</t>
  </si>
  <si>
    <t>Base</t>
  </si>
  <si>
    <t>Optimista</t>
  </si>
  <si>
    <t>RESULTADOS POR ESCENARIO</t>
  </si>
  <si>
    <t>Inversión Ajust.</t>
  </si>
  <si>
    <t>Beneficio Ajust.</t>
  </si>
  <si>
    <t>VPN</t>
  </si>
  <si>
    <t>TIR</t>
  </si>
  <si>
    <t>B/C</t>
  </si>
  <si>
    <t>CONCLUSIÓN</t>
  </si>
  <si>
    <t>El proyecto mantiene indicadores positivos (VPN&gt;0, TIR&gt;12%, B/C&gt;1) incluso en el escenario pesimista, lo cual demuestra la solidez y resiliencia financiera de la inversión. Los planes de contingencia mitigan los riesgos identificados, asegurando el cumplimiento del alcance, tiempo y costo del proyecto.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</si>
</sst>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43" formatCode="_-* #,##0.00_-;\-* #,##0.00_-;_-* &quot;-&quot;??_-;_-@_-"/>
    <numFmt numFmtId="166" formatCode="0.0%"/>
    <numFmt numFmtId="167" formatCode="#,##0;\(#,##0\);\-"/>
    <numFmt numFmtId="168" formatCode="0.0000"/>
    <numFmt numFmtId="169" formatCode="0.0"/>
    <numFmt numFmtId="170" formatCode="_-* #,##0_-;\-* #,##0_-;_-* &quot;-&quot;??_-;_-@_-"/>
  </numFmts>
  <fonts count="43" x14ac:knownFonts="1">
    <font>
      <sz val="11"/>
      <color theme="1"/>
      <name val="Calibri"/>
      <family val="2"/>
      <charset val="1"/>
    </font>
    <font>
      <sz val="10"/>
      <name val="Arial"/>
    </font>
    <font>
      <b/>
      <sz val="14"/>
      <color rgb="FF1F3864"/>
      <name val="Arial"/>
      <family val="2"/>
      <charset val="1"/>
    </font>
    <font>
      <b/>
      <sz val="11"/>
      <color rgb="FF2E75B6"/>
      <name val="Arial"/>
      <family val="2"/>
      <charset val="1"/>
    </font>
    <font>
      <b/>
      <sz val="11"/>
      <color rgb="FFFFFFFF"/>
      <name val="Arial"/>
      <family val="2"/>
      <charset val="1"/>
    </font>
    <font>
      <sz val="10"/>
      <color rgb="FF000000"/>
      <name val="Arial"/>
      <family val="2"/>
      <charset val="1"/>
    </font>
    <font>
      <sz val="10"/>
      <color rgb="FF0000FF"/>
      <name val="Arial"/>
      <family val="2"/>
      <charset val="1"/>
    </font>
    <font>
      <b/>
      <sz val="10"/>
      <color rgb="FF000000"/>
      <name val="Arial"/>
      <family val="2"/>
      <charset val="1"/>
    </font>
    <font>
      <sz val="10"/>
      <name val="Arial"/>
      <family val="2"/>
      <charset val="1"/>
    </font>
    <font>
      <i/>
      <sz val="9"/>
      <color rgb="FF666666"/>
      <name val="Cambria"/>
      <charset val="1"/>
    </font>
    <font>
      <b/>
      <sz val="10"/>
      <name val="Cambria"/>
      <charset val="1"/>
    </font>
    <font>
      <b/>
      <sz val="11"/>
      <color theme="5" tint="-0.499984740745262"/>
      <name val="Arial"/>
      <family val="2"/>
      <charset val="1"/>
    </font>
    <font>
      <sz val="10"/>
      <color rgb="FF0070C0"/>
      <name val="Cambria"/>
      <charset val="1"/>
    </font>
    <font>
      <b/>
      <sz val="14"/>
      <color rgb="FF1F3864"/>
      <name val="Arial"/>
      <charset val="1"/>
    </font>
    <font>
      <b/>
      <sz val="11"/>
      <color rgb="FF1F3864"/>
      <name val="Arial"/>
      <charset val="1"/>
    </font>
    <font>
      <b/>
      <sz val="10"/>
      <color rgb="FFFFFFFF"/>
      <name val="Arial"/>
      <charset val="1"/>
    </font>
    <font>
      <sz val="10"/>
      <color rgb="FF008000"/>
      <name val="Arial"/>
      <charset val="1"/>
    </font>
    <font>
      <b/>
      <sz val="12"/>
      <color theme="5" tint="-0.499984740745262"/>
      <name val="Arial"/>
      <family val="2"/>
      <charset val="1"/>
    </font>
    <font>
      <b/>
      <sz val="10"/>
      <color rgb="FF000000"/>
      <name val="Arial"/>
      <charset val="1"/>
    </font>
    <font>
      <sz val="10"/>
      <color rgb="FF000000"/>
      <name val="Arial"/>
      <charset val="1"/>
    </font>
    <font>
      <sz val="10"/>
      <color rgb="FF00B050"/>
      <name val="Arial"/>
      <family val="2"/>
      <charset val="1"/>
    </font>
    <font>
      <i/>
      <sz val="9"/>
      <color rgb="FF666666"/>
      <name val="Arial"/>
      <charset val="1"/>
    </font>
    <font>
      <sz val="10"/>
      <color theme="5" tint="-0.499984740745262"/>
      <name val="Arial"/>
      <family val="2"/>
      <charset val="1"/>
    </font>
    <font>
      <sz val="10"/>
      <color rgb="FF0000FF"/>
      <name val="Arial"/>
      <charset val="1"/>
    </font>
    <font>
      <b/>
      <sz val="12"/>
      <color rgb="FF2E75B6"/>
      <name val="Arial"/>
      <charset val="1"/>
    </font>
    <font>
      <b/>
      <sz val="10"/>
      <color theme="1"/>
      <name val="Times New Roman"/>
      <family val="1"/>
    </font>
    <font>
      <sz val="10"/>
      <name val="Times New Roman"/>
      <family val="1"/>
    </font>
    <font>
      <b/>
      <sz val="10"/>
      <name val="Times New Roman"/>
      <family val="1"/>
    </font>
    <font>
      <b/>
      <sz val="5"/>
      <color rgb="FFFFFFFF"/>
      <name val="Arial"/>
      <family val="2"/>
      <charset val="1"/>
    </font>
    <font>
      <sz val="5"/>
      <color rgb="FF000000"/>
      <name val="Arial"/>
      <family val="2"/>
      <charset val="1"/>
    </font>
    <font>
      <sz val="5"/>
      <color rgb="FF008000"/>
      <name val="Arial"/>
      <family val="2"/>
      <charset val="1"/>
    </font>
    <font>
      <i/>
      <sz val="5"/>
      <color rgb="FF666666"/>
      <name val="Arial"/>
      <family val="2"/>
      <charset val="1"/>
    </font>
    <font>
      <b/>
      <sz val="10"/>
      <name val="Arial"/>
      <family val="2"/>
    </font>
    <font>
      <sz val="9"/>
      <name val="Arial"/>
      <family val="2"/>
    </font>
    <font>
      <sz val="11"/>
      <color theme="1"/>
      <name val="Arial"/>
      <family val="2"/>
    </font>
    <font>
      <b/>
      <sz val="11"/>
      <color rgb="FF2E75B6"/>
      <name val="Arial"/>
      <family val="2"/>
    </font>
    <font>
      <b/>
      <sz val="11"/>
      <color rgb="FFFFFFFF"/>
      <name val="Arial"/>
      <family val="2"/>
    </font>
    <font>
      <b/>
      <sz val="11"/>
      <color rgb="FF1F3864"/>
      <name val="Arial"/>
      <family val="2"/>
    </font>
    <font>
      <sz val="11"/>
      <color rgb="FF000000"/>
      <name val="Arial"/>
      <family val="2"/>
    </font>
    <font>
      <sz val="11"/>
      <color rgb="FF0000FF"/>
      <name val="Arial"/>
      <family val="2"/>
    </font>
    <font>
      <b/>
      <sz val="11"/>
      <color rgb="FF000000"/>
      <name val="Arial"/>
      <family val="2"/>
    </font>
    <font>
      <sz val="11"/>
      <name val="Arial"/>
      <family val="2"/>
    </font>
    <font>
      <b/>
      <sz val="11"/>
      <name val="Arial"/>
      <family val="2"/>
    </font>
  </fonts>
  <fills count="21">
    <fill>
      <patternFill patternType="none"/>
    </fill>
    <fill>
      <patternFill patternType="gray125"/>
    </fill>
    <fill>
      <patternFill patternType="solid">
        <fgColor theme="3" tint="-0.249977111117893"/>
        <bgColor rgb="FF1F3864"/>
      </patternFill>
    </fill>
    <fill>
      <patternFill patternType="solid">
        <fgColor theme="3" tint="0.79979857783745845"/>
        <bgColor rgb="FFD9E1F2"/>
      </patternFill>
    </fill>
    <fill>
      <patternFill patternType="solid">
        <fgColor theme="0"/>
        <bgColor rgb="FFF2F2F2"/>
      </patternFill>
    </fill>
    <fill>
      <patternFill patternType="solid">
        <fgColor rgb="FFD6E4F0"/>
        <bgColor rgb="FFD9E1F2"/>
      </patternFill>
    </fill>
    <fill>
      <patternFill patternType="solid">
        <fgColor rgb="FF305496"/>
        <bgColor rgb="FF376092"/>
      </patternFill>
    </fill>
    <fill>
      <patternFill patternType="solid">
        <fgColor theme="5" tint="0.79979857783745845"/>
        <bgColor rgb="FFFCE4EC"/>
      </patternFill>
    </fill>
    <fill>
      <patternFill patternType="solid">
        <fgColor rgb="FFF2F2F2"/>
        <bgColor rgb="FFEDEDED"/>
      </patternFill>
    </fill>
    <fill>
      <patternFill patternType="solid">
        <fgColor rgb="FFFFF2CC"/>
        <bgColor rgb="FFFDEADA"/>
      </patternFill>
    </fill>
    <fill>
      <patternFill patternType="solid">
        <fgColor rgb="FFE2EFDA"/>
        <bgColor rgb="FFEDEDED"/>
      </patternFill>
    </fill>
    <fill>
      <patternFill patternType="solid">
        <fgColor rgb="FFFCE4EC"/>
        <bgColor rgb="FFFDEADA"/>
      </patternFill>
    </fill>
    <fill>
      <patternFill patternType="solid">
        <fgColor rgb="FF1F3864"/>
        <bgColor rgb="FF17375E"/>
      </patternFill>
    </fill>
    <fill>
      <patternFill patternType="solid">
        <fgColor theme="9" tint="0.79989013336588644"/>
        <bgColor rgb="FFFCE4EC"/>
      </patternFill>
    </fill>
    <fill>
      <patternFill patternType="solid">
        <fgColor theme="5" tint="0.59987182226020086"/>
        <bgColor rgb="FFBFBFBF"/>
      </patternFill>
    </fill>
    <fill>
      <patternFill patternType="solid">
        <fgColor theme="9" tint="0.59987182226020086"/>
        <bgColor rgb="FFF2DCDB"/>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rgb="FFFCD5B5"/>
      </patternFill>
    </fill>
    <fill>
      <patternFill patternType="solid">
        <fgColor theme="3" tint="-0.249977111117893"/>
        <bgColor rgb="FF963634"/>
      </patternFill>
    </fill>
    <fill>
      <patternFill patternType="solid">
        <fgColor theme="3" tint="-0.249977111117893"/>
        <bgColor rgb="FF953735"/>
      </patternFill>
    </fill>
  </fills>
  <borders count="7">
    <border>
      <left/>
      <right/>
      <top/>
      <bottom/>
      <diagonal/>
    </border>
    <border>
      <left style="thin">
        <color rgb="FF999999"/>
      </left>
      <right style="thin">
        <color rgb="FF999999"/>
      </right>
      <top style="thin">
        <color rgb="FF999999"/>
      </top>
      <bottom style="thin">
        <color rgb="FF999999"/>
      </bottom>
      <diagonal/>
    </border>
    <border>
      <left style="thin">
        <color rgb="FF999999"/>
      </left>
      <right/>
      <top style="thin">
        <color rgb="FF999999"/>
      </top>
      <bottom style="thin">
        <color rgb="FF999999"/>
      </bottom>
      <diagonal/>
    </border>
    <border>
      <left/>
      <right/>
      <top/>
      <bottom style="double">
        <color rgb="FF1F38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3" fontId="1" fillId="0" borderId="0" applyBorder="0" applyAlignment="0" applyProtection="0"/>
    <xf numFmtId="44" fontId="1" fillId="0" borderId="0" applyBorder="0" applyAlignment="0" applyProtection="0"/>
    <xf numFmtId="9" fontId="1" fillId="0" borderId="0" applyBorder="0" applyAlignment="0" applyProtection="0"/>
  </cellStyleXfs>
  <cellXfs count="146">
    <xf numFmtId="0" fontId="0" fillId="0" borderId="0" xfId="0"/>
    <xf numFmtId="0" fontId="21" fillId="0" borderId="1" xfId="0" applyFont="1" applyBorder="1"/>
    <xf numFmtId="0" fontId="3" fillId="0" borderId="0" xfId="0" applyFont="1"/>
    <xf numFmtId="0" fontId="7" fillId="0" borderId="1" xfId="0" applyFont="1" applyBorder="1"/>
    <xf numFmtId="3" fontId="7" fillId="5" borderId="1" xfId="0" applyNumberFormat="1" applyFont="1" applyFill="1" applyBorder="1"/>
    <xf numFmtId="166" fontId="7" fillId="5" borderId="1" xfId="0" applyNumberFormat="1" applyFont="1" applyFill="1" applyBorder="1"/>
    <xf numFmtId="0" fontId="11" fillId="0" borderId="1" xfId="0" applyFont="1" applyBorder="1"/>
    <xf numFmtId="3" fontId="5" fillId="0" borderId="1" xfId="0" applyNumberFormat="1" applyFont="1" applyBorder="1"/>
    <xf numFmtId="0" fontId="17" fillId="0" borderId="1" xfId="0" applyFont="1" applyBorder="1"/>
    <xf numFmtId="0" fontId="18" fillId="8" borderId="1" xfId="0" applyFont="1" applyFill="1" applyBorder="1"/>
    <xf numFmtId="0" fontId="19" fillId="0" borderId="1" xfId="0" applyFont="1" applyBorder="1"/>
    <xf numFmtId="3" fontId="20" fillId="0" borderId="1" xfId="0" applyNumberFormat="1" applyFont="1" applyBorder="1"/>
    <xf numFmtId="0" fontId="18" fillId="0" borderId="1" xfId="0" applyFont="1" applyBorder="1"/>
    <xf numFmtId="3" fontId="18" fillId="10" borderId="1" xfId="0" applyNumberFormat="1" applyFont="1" applyFill="1" applyBorder="1"/>
    <xf numFmtId="3" fontId="22" fillId="0" borderId="1" xfId="0" applyNumberFormat="1" applyFont="1" applyBorder="1"/>
    <xf numFmtId="3" fontId="18" fillId="11" borderId="1" xfId="0" applyNumberFormat="1" applyFont="1" applyFill="1" applyBorder="1"/>
    <xf numFmtId="0" fontId="18" fillId="0" borderId="1" xfId="0" applyFont="1" applyBorder="1" applyAlignment="1">
      <alignment vertical="center"/>
    </xf>
    <xf numFmtId="3" fontId="18" fillId="5" borderId="1" xfId="0" applyNumberFormat="1" applyFont="1" applyFill="1" applyBorder="1" applyAlignment="1">
      <alignment vertical="center"/>
    </xf>
    <xf numFmtId="0" fontId="0" fillId="0" borderId="0" xfId="0" applyAlignment="1">
      <alignment vertical="center"/>
    </xf>
    <xf numFmtId="0" fontId="21" fillId="0" borderId="1" xfId="0" applyFont="1" applyBorder="1" applyAlignment="1">
      <alignment vertical="center"/>
    </xf>
    <xf numFmtId="3" fontId="19" fillId="0" borderId="1" xfId="0" applyNumberFormat="1" applyFont="1" applyBorder="1"/>
    <xf numFmtId="3" fontId="18" fillId="5" borderId="1" xfId="0" applyNumberFormat="1" applyFont="1" applyFill="1" applyBorder="1"/>
    <xf numFmtId="3" fontId="23" fillId="9" borderId="1" xfId="0" applyNumberFormat="1" applyFont="1" applyFill="1" applyBorder="1"/>
    <xf numFmtId="0" fontId="18" fillId="0" borderId="3" xfId="0" applyFont="1" applyBorder="1"/>
    <xf numFmtId="3" fontId="18" fillId="5" borderId="3" xfId="0" applyNumberFormat="1" applyFont="1" applyFill="1" applyBorder="1"/>
    <xf numFmtId="0" fontId="15" fillId="12" borderId="1" xfId="0" applyFont="1" applyFill="1" applyBorder="1"/>
    <xf numFmtId="0" fontId="15" fillId="12" borderId="1" xfId="0" applyFont="1" applyFill="1" applyBorder="1" applyAlignment="1">
      <alignment horizontal="center" vertical="center" wrapText="1"/>
    </xf>
    <xf numFmtId="0" fontId="14" fillId="0" borderId="1" xfId="0" applyFont="1" applyBorder="1"/>
    <xf numFmtId="3" fontId="16" fillId="0" borderId="1" xfId="0" applyNumberFormat="1" applyFont="1" applyBorder="1"/>
    <xf numFmtId="166" fontId="19" fillId="0" borderId="1" xfId="0" applyNumberFormat="1" applyFont="1" applyBorder="1"/>
    <xf numFmtId="166" fontId="18" fillId="10" borderId="1" xfId="0" applyNumberFormat="1" applyFont="1" applyFill="1" applyBorder="1"/>
    <xf numFmtId="166" fontId="18" fillId="11" borderId="1" xfId="0" applyNumberFormat="1" applyFont="1" applyFill="1" applyBorder="1"/>
    <xf numFmtId="166" fontId="18" fillId="5" borderId="1" xfId="0" applyNumberFormat="1" applyFont="1" applyFill="1" applyBorder="1"/>
    <xf numFmtId="3" fontId="18" fillId="10" borderId="3" xfId="0" applyNumberFormat="1" applyFont="1" applyFill="1" applyBorder="1"/>
    <xf numFmtId="3" fontId="16" fillId="9" borderId="1" xfId="0" applyNumberFormat="1" applyFont="1" applyFill="1" applyBorder="1"/>
    <xf numFmtId="0" fontId="18" fillId="9" borderId="1" xfId="0" applyFont="1" applyFill="1" applyBorder="1"/>
    <xf numFmtId="3" fontId="23" fillId="13" borderId="1" xfId="0" applyNumberFormat="1" applyFont="1" applyFill="1" applyBorder="1"/>
    <xf numFmtId="0" fontId="18" fillId="10" borderId="1" xfId="0" applyFont="1" applyFill="1" applyBorder="1"/>
    <xf numFmtId="0" fontId="21" fillId="10" borderId="1" xfId="0" applyFont="1" applyFill="1" applyBorder="1"/>
    <xf numFmtId="2" fontId="19" fillId="0" borderId="1" xfId="0" applyNumberFormat="1" applyFont="1" applyBorder="1"/>
    <xf numFmtId="166" fontId="23" fillId="9" borderId="1" xfId="0" applyNumberFormat="1" applyFont="1" applyFill="1" applyBorder="1"/>
    <xf numFmtId="0" fontId="19" fillId="0" borderId="1" xfId="0" applyFont="1" applyBorder="1" applyAlignment="1">
      <alignment horizontal="center" vertical="center" wrapText="1"/>
    </xf>
    <xf numFmtId="166" fontId="16" fillId="0" borderId="1" xfId="0" applyNumberFormat="1" applyFont="1" applyBorder="1"/>
    <xf numFmtId="0" fontId="18" fillId="0" borderId="1" xfId="0" applyFont="1" applyBorder="1" applyAlignment="1">
      <alignment horizontal="center" vertical="center" wrapText="1"/>
    </xf>
    <xf numFmtId="2" fontId="23" fillId="9" borderId="1" xfId="0" applyNumberFormat="1" applyFont="1" applyFill="1" applyBorder="1"/>
    <xf numFmtId="166" fontId="18" fillId="5" borderId="1" xfId="0" applyNumberFormat="1" applyFont="1" applyFill="1" applyBorder="1" applyAlignment="1">
      <alignment horizontal="center" vertical="center" wrapText="1"/>
    </xf>
    <xf numFmtId="166" fontId="18" fillId="9" borderId="1" xfId="0" applyNumberFormat="1" applyFont="1" applyFill="1" applyBorder="1" applyAlignment="1">
      <alignment horizontal="center" vertical="center" wrapText="1"/>
    </xf>
    <xf numFmtId="166" fontId="18" fillId="10" borderId="1" xfId="0" applyNumberFormat="1" applyFont="1" applyFill="1" applyBorder="1" applyAlignment="1">
      <alignment horizontal="center" vertical="center" wrapText="1"/>
    </xf>
    <xf numFmtId="3" fontId="16" fillId="7" borderId="1" xfId="0" applyNumberFormat="1" applyFont="1" applyFill="1" applyBorder="1"/>
    <xf numFmtId="3" fontId="10" fillId="7" borderId="1" xfId="0" applyNumberFormat="1" applyFont="1" applyFill="1" applyBorder="1"/>
    <xf numFmtId="0" fontId="9" fillId="0" borderId="1" xfId="0" applyFont="1" applyBorder="1"/>
    <xf numFmtId="3" fontId="12" fillId="0" borderId="1" xfId="0" applyNumberFormat="1" applyFont="1" applyBorder="1"/>
    <xf numFmtId="3" fontId="12" fillId="7" borderId="1" xfId="0" applyNumberFormat="1" applyFont="1" applyFill="1" applyBorder="1"/>
    <xf numFmtId="166" fontId="16" fillId="7" borderId="1" xfId="0" applyNumberFormat="1" applyFont="1" applyFill="1" applyBorder="1"/>
    <xf numFmtId="1" fontId="16" fillId="7" borderId="1" xfId="0" applyNumberFormat="1" applyFont="1" applyFill="1" applyBorder="1"/>
    <xf numFmtId="0" fontId="18" fillId="14" borderId="1" xfId="0" applyFont="1" applyFill="1" applyBorder="1"/>
    <xf numFmtId="3" fontId="18" fillId="14" borderId="1" xfId="0" applyNumberFormat="1" applyFont="1" applyFill="1" applyBorder="1"/>
    <xf numFmtId="1" fontId="18" fillId="0" borderId="1" xfId="0" applyNumberFormat="1" applyFont="1" applyBorder="1" applyAlignment="1">
      <alignment horizontal="center" vertical="center" wrapText="1"/>
    </xf>
    <xf numFmtId="168" fontId="19"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1" fontId="19" fillId="0" borderId="1" xfId="0" applyNumberFormat="1" applyFont="1" applyBorder="1" applyAlignment="1">
      <alignment horizontal="center" vertical="center" wrapText="1"/>
    </xf>
    <xf numFmtId="1" fontId="19" fillId="8" borderId="1" xfId="0" applyNumberFormat="1" applyFont="1" applyFill="1" applyBorder="1" applyAlignment="1">
      <alignment horizontal="center" vertical="center" wrapText="1"/>
    </xf>
    <xf numFmtId="3" fontId="19" fillId="8" borderId="1" xfId="0" applyNumberFormat="1" applyFont="1" applyFill="1" applyBorder="1"/>
    <xf numFmtId="168" fontId="19" fillId="8" borderId="1" xfId="0" applyNumberFormat="1" applyFont="1" applyFill="1" applyBorder="1" applyAlignment="1">
      <alignment horizontal="center" vertical="center" wrapText="1"/>
    </xf>
    <xf numFmtId="3" fontId="19" fillId="10" borderId="1" xfId="0" applyNumberFormat="1" applyFont="1" applyFill="1" applyBorder="1"/>
    <xf numFmtId="0" fontId="18" fillId="14" borderId="1" xfId="0" applyFont="1" applyFill="1" applyBorder="1" applyAlignment="1">
      <alignment horizontal="center" vertical="center" wrapText="1"/>
    </xf>
    <xf numFmtId="0" fontId="18" fillId="10" borderId="1" xfId="0" applyFont="1" applyFill="1" applyBorder="1" applyAlignment="1">
      <alignment horizontal="center" vertical="center" wrapText="1"/>
    </xf>
    <xf numFmtId="0" fontId="21" fillId="10" borderId="1" xfId="0" applyFont="1" applyFill="1" applyBorder="1" applyAlignment="1">
      <alignment horizontal="center" vertical="center" wrapText="1"/>
    </xf>
    <xf numFmtId="10" fontId="18" fillId="5" borderId="1" xfId="0" applyNumberFormat="1" applyFont="1" applyFill="1" applyBorder="1"/>
    <xf numFmtId="2" fontId="18" fillId="5" borderId="1" xfId="0" applyNumberFormat="1" applyFont="1" applyFill="1" applyBorder="1"/>
    <xf numFmtId="169" fontId="18" fillId="5" borderId="1" xfId="0" applyNumberFormat="1" applyFont="1" applyFill="1" applyBorder="1"/>
    <xf numFmtId="0" fontId="4" fillId="12" borderId="1" xfId="0" applyFont="1" applyFill="1" applyBorder="1" applyAlignment="1">
      <alignment horizontal="center" vertical="center" wrapText="1"/>
    </xf>
    <xf numFmtId="166" fontId="6" fillId="15" borderId="1" xfId="0" applyNumberFormat="1" applyFont="1" applyFill="1" applyBorder="1"/>
    <xf numFmtId="2" fontId="7" fillId="5" borderId="1" xfId="0" applyNumberFormat="1" applyFont="1" applyFill="1" applyBorder="1"/>
    <xf numFmtId="9" fontId="1" fillId="0" borderId="1" xfId="3" applyBorder="1" applyAlignment="1">
      <alignment horizontal="center" vertical="center"/>
    </xf>
    <xf numFmtId="170" fontId="1" fillId="0" borderId="1" xfId="1" applyNumberFormat="1" applyBorder="1" applyAlignment="1">
      <alignment horizontal="right" vertical="center"/>
    </xf>
    <xf numFmtId="43" fontId="32" fillId="16" borderId="1" xfId="1" applyFont="1" applyFill="1" applyBorder="1" applyAlignment="1">
      <alignment horizontal="center" vertical="center" wrapText="1"/>
    </xf>
    <xf numFmtId="43" fontId="32" fillId="16" borderId="1" xfId="1" applyFont="1" applyFill="1" applyBorder="1" applyAlignment="1">
      <alignment horizontal="center" vertical="center"/>
    </xf>
    <xf numFmtId="43" fontId="32" fillId="17" borderId="1" xfId="1" applyFont="1" applyFill="1" applyBorder="1" applyAlignment="1">
      <alignment horizontal="center" vertical="center" wrapText="1"/>
    </xf>
    <xf numFmtId="43" fontId="32" fillId="17" borderId="1" xfId="1" applyFont="1" applyFill="1" applyBorder="1" applyAlignment="1">
      <alignment horizontal="center" vertical="center"/>
    </xf>
    <xf numFmtId="43" fontId="33" fillId="16" borderId="1" xfId="1" applyFont="1" applyFill="1" applyBorder="1" applyAlignment="1">
      <alignment horizontal="left" vertical="center" wrapText="1"/>
    </xf>
    <xf numFmtId="0" fontId="29" fillId="0" borderId="1" xfId="0" applyFont="1" applyBorder="1" applyAlignment="1">
      <alignment vertical="center" wrapText="1"/>
    </xf>
    <xf numFmtId="3" fontId="30" fillId="7" borderId="1" xfId="0" applyNumberFormat="1" applyFont="1" applyFill="1" applyBorder="1" applyAlignment="1">
      <alignment vertical="center"/>
    </xf>
    <xf numFmtId="0" fontId="31" fillId="0" borderId="1" xfId="0" applyFont="1" applyBorder="1" applyAlignment="1">
      <alignment vertical="center"/>
    </xf>
    <xf numFmtId="3" fontId="30" fillId="0" borderId="1" xfId="0" applyNumberFormat="1" applyFont="1" applyBorder="1" applyAlignment="1">
      <alignment vertical="center"/>
    </xf>
    <xf numFmtId="3" fontId="29" fillId="7" borderId="1" xfId="0" applyNumberFormat="1" applyFont="1" applyFill="1" applyBorder="1" applyAlignment="1">
      <alignment vertical="center"/>
    </xf>
    <xf numFmtId="3" fontId="29" fillId="0" borderId="1" xfId="0" applyNumberFormat="1" applyFont="1" applyBorder="1" applyAlignment="1">
      <alignment vertical="center"/>
    </xf>
    <xf numFmtId="0" fontId="25" fillId="16" borderId="0" xfId="0" applyFont="1" applyFill="1" applyAlignment="1">
      <alignment vertical="center"/>
    </xf>
    <xf numFmtId="0" fontId="25" fillId="17" borderId="0" xfId="0" applyFont="1" applyFill="1" applyAlignment="1">
      <alignment vertical="center"/>
    </xf>
    <xf numFmtId="9" fontId="33" fillId="0" borderId="1" xfId="3" applyFont="1" applyBorder="1" applyAlignment="1">
      <alignment vertical="center" wrapText="1"/>
    </xf>
    <xf numFmtId="9" fontId="1" fillId="0" borderId="0" xfId="3" applyAlignment="1">
      <alignment vertical="center"/>
    </xf>
    <xf numFmtId="170" fontId="33" fillId="17" borderId="1" xfId="1" applyNumberFormat="1" applyFont="1" applyFill="1" applyBorder="1" applyAlignment="1">
      <alignment vertical="center" wrapText="1"/>
    </xf>
    <xf numFmtId="170" fontId="1" fillId="17" borderId="1" xfId="1" applyNumberFormat="1" applyFill="1" applyBorder="1" applyAlignment="1">
      <alignment vertical="center"/>
    </xf>
    <xf numFmtId="170" fontId="27" fillId="17" borderId="0" xfId="2" applyNumberFormat="1" applyFont="1" applyFill="1" applyAlignment="1">
      <alignment vertical="center"/>
    </xf>
    <xf numFmtId="43" fontId="1" fillId="16" borderId="1" xfId="1" applyFill="1" applyBorder="1" applyAlignment="1">
      <alignment vertical="center"/>
    </xf>
    <xf numFmtId="44" fontId="26" fillId="16" borderId="0" xfId="2" applyFont="1" applyFill="1" applyAlignment="1">
      <alignment vertical="center"/>
    </xf>
    <xf numFmtId="43" fontId="33" fillId="0" borderId="1" xfId="1" applyFont="1" applyBorder="1" applyAlignment="1">
      <alignment vertical="center" wrapText="1"/>
    </xf>
    <xf numFmtId="170" fontId="1" fillId="0" borderId="1" xfId="1" applyNumberFormat="1" applyBorder="1" applyAlignment="1">
      <alignment vertical="center"/>
    </xf>
    <xf numFmtId="44" fontId="26" fillId="0" borderId="0" xfId="2" applyFont="1" applyAlignment="1">
      <alignment vertical="center"/>
    </xf>
    <xf numFmtId="43" fontId="33" fillId="17" borderId="1" xfId="1" applyFont="1" applyFill="1" applyBorder="1" applyAlignment="1">
      <alignment vertical="center" wrapText="1"/>
    </xf>
    <xf numFmtId="44" fontId="27" fillId="17" borderId="0" xfId="2" applyFont="1" applyFill="1" applyAlignment="1">
      <alignment vertical="center"/>
    </xf>
    <xf numFmtId="43" fontId="33" fillId="0" borderId="0" xfId="1" applyFont="1" applyAlignment="1">
      <alignment vertical="center" wrapText="1"/>
    </xf>
    <xf numFmtId="170" fontId="1" fillId="0" borderId="0" xfId="1" applyNumberFormat="1" applyAlignment="1">
      <alignment vertical="center"/>
    </xf>
    <xf numFmtId="170" fontId="1" fillId="16" borderId="1" xfId="1" applyNumberFormat="1" applyFill="1" applyBorder="1" applyAlignment="1">
      <alignment vertical="center"/>
    </xf>
    <xf numFmtId="43" fontId="33" fillId="16" borderId="1" xfId="1" applyFont="1" applyFill="1" applyBorder="1" applyAlignment="1">
      <alignment vertical="center" wrapText="1"/>
    </xf>
    <xf numFmtId="0" fontId="0" fillId="0" borderId="0" xfId="0" applyAlignment="1">
      <alignment vertical="center" wrapText="1"/>
    </xf>
    <xf numFmtId="49" fontId="8" fillId="0" borderId="0" xfId="0" applyNumberFormat="1" applyFont="1" applyAlignment="1">
      <alignment horizontal="center" vertical="top" wrapText="1"/>
    </xf>
    <xf numFmtId="0" fontId="13" fillId="0" borderId="2" xfId="0" applyFont="1" applyBorder="1"/>
    <xf numFmtId="0" fontId="24" fillId="0" borderId="1" xfId="0" applyFont="1" applyBorder="1"/>
    <xf numFmtId="0" fontId="21" fillId="0" borderId="1" xfId="0" applyFont="1" applyBorder="1"/>
    <xf numFmtId="0" fontId="14" fillId="8" borderId="1" xfId="0" applyFont="1" applyFill="1" applyBorder="1"/>
    <xf numFmtId="0" fontId="2" fillId="0" borderId="0" xfId="0" applyFont="1"/>
    <xf numFmtId="0" fontId="5" fillId="0" borderId="0" xfId="0" applyFont="1" applyAlignment="1">
      <alignment vertical="center" wrapText="1"/>
    </xf>
    <xf numFmtId="0" fontId="34" fillId="0" borderId="0" xfId="0" applyFont="1"/>
    <xf numFmtId="0" fontId="35" fillId="0" borderId="0" xfId="0" applyFont="1"/>
    <xf numFmtId="0" fontId="36" fillId="2" borderId="1" xfId="0" applyFont="1" applyFill="1" applyBorder="1" applyAlignment="1">
      <alignment horizontal="center" vertical="center" wrapText="1"/>
    </xf>
    <xf numFmtId="9" fontId="34" fillId="0" borderId="0" xfId="0" applyNumberFormat="1" applyFont="1"/>
    <xf numFmtId="0" fontId="36" fillId="6" borderId="0" xfId="0" applyFont="1" applyFill="1" applyAlignment="1">
      <alignment horizontal="center"/>
    </xf>
    <xf numFmtId="0" fontId="37" fillId="0" borderId="0" xfId="0" applyFont="1" applyAlignment="1">
      <alignment horizontal="center" vertical="center" wrapText="1"/>
    </xf>
    <xf numFmtId="0" fontId="38" fillId="3" borderId="1" xfId="0" applyFont="1" applyFill="1" applyBorder="1"/>
    <xf numFmtId="3" fontId="39" fillId="3" borderId="1" xfId="0" applyNumberFormat="1" applyFont="1" applyFill="1" applyBorder="1"/>
    <xf numFmtId="0" fontId="38" fillId="4" borderId="1" xfId="0" applyFont="1" applyFill="1" applyBorder="1"/>
    <xf numFmtId="3" fontId="39" fillId="4" borderId="1" xfId="0" applyNumberFormat="1" applyFont="1" applyFill="1" applyBorder="1"/>
    <xf numFmtId="0" fontId="40" fillId="4" borderId="1" xfId="0" applyFont="1" applyFill="1" applyBorder="1"/>
    <xf numFmtId="3" fontId="40" fillId="4" borderId="1" xfId="0" applyNumberFormat="1" applyFont="1" applyFill="1" applyBorder="1"/>
    <xf numFmtId="0" fontId="38" fillId="0" borderId="1" xfId="0" applyFont="1" applyBorder="1"/>
    <xf numFmtId="0" fontId="40" fillId="0" borderId="1" xfId="0" applyFont="1" applyBorder="1"/>
    <xf numFmtId="3" fontId="40" fillId="5" borderId="1" xfId="0" applyNumberFormat="1" applyFont="1" applyFill="1" applyBorder="1"/>
    <xf numFmtId="0" fontId="37" fillId="0" borderId="1" xfId="0" applyFont="1" applyBorder="1"/>
    <xf numFmtId="3" fontId="37" fillId="5" borderId="1" xfId="0" applyNumberFormat="1" applyFont="1" applyFill="1" applyBorder="1"/>
    <xf numFmtId="166" fontId="39" fillId="4" borderId="1" xfId="0" applyNumberFormat="1" applyFont="1" applyFill="1" applyBorder="1"/>
    <xf numFmtId="166" fontId="40" fillId="5" borderId="1" xfId="0" applyNumberFormat="1" applyFont="1" applyFill="1" applyBorder="1"/>
    <xf numFmtId="0" fontId="41" fillId="0" borderId="0" xfId="0" applyFont="1"/>
    <xf numFmtId="167" fontId="41" fillId="0" borderId="0" xfId="0" applyNumberFormat="1" applyFont="1"/>
    <xf numFmtId="166" fontId="41" fillId="0" borderId="0" xfId="0" applyNumberFormat="1" applyFont="1"/>
    <xf numFmtId="0" fontId="42" fillId="0" borderId="0" xfId="0" applyFont="1"/>
    <xf numFmtId="167" fontId="42" fillId="0" borderId="0" xfId="0" applyNumberFormat="1" applyFont="1"/>
    <xf numFmtId="1" fontId="39" fillId="18" borderId="1" xfId="0" applyNumberFormat="1" applyFont="1" applyFill="1" applyBorder="1"/>
    <xf numFmtId="166" fontId="39" fillId="18" borderId="1" xfId="0" applyNumberFormat="1" applyFont="1" applyFill="1" applyBorder="1"/>
    <xf numFmtId="0" fontId="28" fillId="19" borderId="1" xfId="0" applyFont="1" applyFill="1" applyBorder="1" applyAlignment="1">
      <alignment horizontal="center" vertical="center" wrapText="1"/>
    </xf>
    <xf numFmtId="0" fontId="28" fillId="20" borderId="1"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15" fillId="19" borderId="1" xfId="0" applyFont="1" applyFill="1" applyBorder="1" applyAlignment="1">
      <alignment horizontal="center" vertical="center" wrapText="1"/>
    </xf>
    <xf numFmtId="0" fontId="13" fillId="0" borderId="2" xfId="0" applyFont="1" applyBorder="1" applyAlignment="1">
      <alignment horizontal="center"/>
    </xf>
  </cellXfs>
  <cellStyles count="4">
    <cellStyle name="Millares" xfId="1" builtinId="3"/>
    <cellStyle name="Moneda" xfId="2" builtinId="4"/>
    <cellStyle name="Normal" xfId="0" builtinId="0"/>
    <cellStyle name="Porcentaje" xfId="3"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376092"/>
      <rgbColor rgb="FFBFBFBF"/>
      <rgbColor rgb="FF595959"/>
      <rgbColor rgb="FFF2DCDB"/>
      <rgbColor rgb="FF953735"/>
      <rgbColor rgb="FFFFF2CC"/>
      <rgbColor rgb="FFD6E4F0"/>
      <rgbColor rgb="FF660066"/>
      <rgbColor rgb="FFFF8080"/>
      <rgbColor rgb="FF0070C0"/>
      <rgbColor rgb="FFC6D9F1"/>
      <rgbColor rgb="FF000080"/>
      <rgbColor rgb="FFFF00FF"/>
      <rgbColor rgb="FFEDEDED"/>
      <rgbColor rgb="FF00FFFF"/>
      <rgbColor rgb="FF800080"/>
      <rgbColor rgb="FF800000"/>
      <rgbColor rgb="FF008080"/>
      <rgbColor rgb="FF0000FF"/>
      <rgbColor rgb="FF00CCFF"/>
      <rgbColor rgb="FFF2F2F2"/>
      <rgbColor rgb="FFE2EFDA"/>
      <rgbColor rgb="FFFDEADA"/>
      <rgbColor rgb="FF8EB4E3"/>
      <rgbColor rgb="FFE6B9B8"/>
      <rgbColor rgb="FFD9E1F2"/>
      <rgbColor rgb="FFFCD5B5"/>
      <rgbColor rgb="FF2E75B6"/>
      <rgbColor rgb="FF33CCCC"/>
      <rgbColor rgb="FF99CC00"/>
      <rgbColor rgb="FFFCE4EC"/>
      <rgbColor rgb="FFFF9900"/>
      <rgbColor rgb="FFFF6600"/>
      <rgbColor rgb="FF666666"/>
      <rgbColor rgb="FF999999"/>
      <rgbColor rgb="FF17375E"/>
      <rgbColor rgb="FF00B050"/>
      <rgbColor rgb="FF003300"/>
      <rgbColor rgb="FF632523"/>
      <rgbColor rgb="FF993300"/>
      <rgbColor rgb="FF963634"/>
      <rgbColor rgb="FF305496"/>
      <rgbColor rgb="FF1F386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864"/>
  </sheetPr>
  <dimension ref="A1:C59"/>
  <sheetViews>
    <sheetView tabSelected="1" zoomScaleNormal="100" workbookViewId="0">
      <selection activeCell="E31" sqref="E31"/>
    </sheetView>
  </sheetViews>
  <sheetFormatPr baseColWidth="10" defaultColWidth="8.7109375" defaultRowHeight="14.25" x14ac:dyDescent="0.2"/>
  <cols>
    <col min="1" max="1" width="61.85546875" style="113" bestFit="1" customWidth="1"/>
    <col min="2" max="2" width="21.42578125" style="113" bestFit="1" customWidth="1"/>
    <col min="3" max="16384" width="8.7109375" style="113"/>
  </cols>
  <sheetData>
    <row r="1" spans="1:3" ht="15" x14ac:dyDescent="0.2">
      <c r="A1" s="118" t="s">
        <v>0</v>
      </c>
      <c r="B1" s="118"/>
    </row>
    <row r="2" spans="1:3" ht="15" x14ac:dyDescent="0.25">
      <c r="A2" s="114" t="s">
        <v>1</v>
      </c>
    </row>
    <row r="3" spans="1:3" ht="15" x14ac:dyDescent="0.2">
      <c r="A3" s="115" t="s">
        <v>2</v>
      </c>
      <c r="B3" s="115" t="s">
        <v>3</v>
      </c>
    </row>
    <row r="4" spans="1:3" x14ac:dyDescent="0.2">
      <c r="A4" s="119" t="s">
        <v>4</v>
      </c>
      <c r="B4" s="120">
        <v>637623487</v>
      </c>
    </row>
    <row r="5" spans="1:3" x14ac:dyDescent="0.2">
      <c r="A5" s="119" t="s">
        <v>5</v>
      </c>
      <c r="B5" s="120">
        <v>4300085158</v>
      </c>
    </row>
    <row r="6" spans="1:3" x14ac:dyDescent="0.2">
      <c r="A6" s="119" t="s">
        <v>6</v>
      </c>
      <c r="B6" s="120">
        <v>164032076</v>
      </c>
    </row>
    <row r="7" spans="1:3" x14ac:dyDescent="0.2">
      <c r="A7" s="119" t="s">
        <v>7</v>
      </c>
      <c r="B7" s="120">
        <v>132387870</v>
      </c>
    </row>
    <row r="8" spans="1:3" x14ac:dyDescent="0.2">
      <c r="A8" s="119" t="s">
        <v>8</v>
      </c>
      <c r="B8" s="120">
        <v>1156485475</v>
      </c>
    </row>
    <row r="9" spans="1:3" x14ac:dyDescent="0.2">
      <c r="A9" s="119" t="s">
        <v>9</v>
      </c>
      <c r="B9" s="120">
        <v>196595189</v>
      </c>
    </row>
    <row r="10" spans="1:3" x14ac:dyDescent="0.2">
      <c r="A10" s="119" t="s">
        <v>10</v>
      </c>
      <c r="B10" s="120">
        <v>5078343</v>
      </c>
    </row>
    <row r="11" spans="1:3" x14ac:dyDescent="0.2">
      <c r="A11" s="119" t="s">
        <v>11</v>
      </c>
      <c r="B11" s="120">
        <v>2007868013</v>
      </c>
    </row>
    <row r="12" spans="1:3" x14ac:dyDescent="0.2">
      <c r="A12" s="119" t="s">
        <v>12</v>
      </c>
      <c r="B12" s="120">
        <v>816088532</v>
      </c>
    </row>
    <row r="13" spans="1:3" x14ac:dyDescent="0.2">
      <c r="A13" s="119" t="s">
        <v>13</v>
      </c>
      <c r="B13" s="120">
        <v>371066631</v>
      </c>
    </row>
    <row r="14" spans="1:3" x14ac:dyDescent="0.2">
      <c r="A14" s="121" t="s">
        <v>14</v>
      </c>
      <c r="B14" s="122">
        <v>3502998</v>
      </c>
    </row>
    <row r="15" spans="1:3" ht="15" x14ac:dyDescent="0.25">
      <c r="A15" s="123" t="s">
        <v>15</v>
      </c>
      <c r="B15" s="122">
        <v>410160063</v>
      </c>
    </row>
    <row r="16" spans="1:3" ht="15" x14ac:dyDescent="0.25">
      <c r="A16" s="123" t="s">
        <v>16</v>
      </c>
      <c r="B16" s="124">
        <f>SUM(B4:B15)</f>
        <v>10200973835</v>
      </c>
      <c r="C16" s="116"/>
    </row>
    <row r="18" spans="1:2" ht="15" x14ac:dyDescent="0.25">
      <c r="A18" s="114" t="s">
        <v>17</v>
      </c>
    </row>
    <row r="19" spans="1:2" x14ac:dyDescent="0.2">
      <c r="A19" s="125" t="s">
        <v>18</v>
      </c>
      <c r="B19" s="122">
        <v>812302500</v>
      </c>
    </row>
    <row r="20" spans="1:2" x14ac:dyDescent="0.2">
      <c r="A20" s="125" t="s">
        <v>19</v>
      </c>
      <c r="B20" s="122">
        <v>472265517</v>
      </c>
    </row>
    <row r="21" spans="1:2" x14ac:dyDescent="0.2">
      <c r="A21" s="125" t="s">
        <v>20</v>
      </c>
      <c r="B21" s="122">
        <v>256217453</v>
      </c>
    </row>
    <row r="22" spans="1:2" ht="15" x14ac:dyDescent="0.25">
      <c r="A22" s="126" t="s">
        <v>21</v>
      </c>
      <c r="B22" s="127">
        <f>+SUM(B19:B21)</f>
        <v>1540785470</v>
      </c>
    </row>
    <row r="24" spans="1:2" x14ac:dyDescent="0.2">
      <c r="A24" s="125" t="s">
        <v>22</v>
      </c>
      <c r="B24" s="122">
        <v>325150704</v>
      </c>
    </row>
    <row r="25" spans="1:2" x14ac:dyDescent="0.2">
      <c r="A25" s="125" t="s">
        <v>23</v>
      </c>
      <c r="B25" s="122">
        <v>19504248</v>
      </c>
    </row>
    <row r="26" spans="1:2" x14ac:dyDescent="0.2">
      <c r="A26" s="125" t="s">
        <v>24</v>
      </c>
      <c r="B26" s="122">
        <v>248487308</v>
      </c>
    </row>
    <row r="27" spans="1:2" x14ac:dyDescent="0.2">
      <c r="A27" s="125" t="s">
        <v>25</v>
      </c>
      <c r="B27" s="122">
        <v>996658470</v>
      </c>
    </row>
    <row r="28" spans="1:2" ht="15" x14ac:dyDescent="0.25">
      <c r="A28" s="126" t="s">
        <v>26</v>
      </c>
      <c r="B28" s="127">
        <f>+SUM(B24:B26)</f>
        <v>593142260</v>
      </c>
    </row>
    <row r="30" spans="1:2" ht="15" x14ac:dyDescent="0.25">
      <c r="A30" s="128" t="s">
        <v>27</v>
      </c>
      <c r="B30" s="129">
        <f>+B16+B22+B28+B27</f>
        <v>13331560035</v>
      </c>
    </row>
    <row r="32" spans="1:2" ht="15" x14ac:dyDescent="0.25">
      <c r="A32" s="114" t="s">
        <v>28</v>
      </c>
    </row>
    <row r="33" spans="1:2" x14ac:dyDescent="0.2">
      <c r="A33" s="125" t="s">
        <v>29</v>
      </c>
      <c r="B33" s="130">
        <v>0.28527999999999998</v>
      </c>
    </row>
    <row r="34" spans="1:2" x14ac:dyDescent="0.2">
      <c r="A34" s="125" t="s">
        <v>30</v>
      </c>
      <c r="B34" s="130">
        <v>0.01</v>
      </c>
    </row>
    <row r="35" spans="1:2" x14ac:dyDescent="0.2">
      <c r="A35" s="125" t="s">
        <v>31</v>
      </c>
      <c r="B35" s="130">
        <v>7.0000000000000007E-2</v>
      </c>
    </row>
    <row r="36" spans="1:2" ht="15" x14ac:dyDescent="0.25">
      <c r="A36" s="126" t="s">
        <v>32</v>
      </c>
      <c r="B36" s="131">
        <f>B33+B34+B35</f>
        <v>0.36527999999999999</v>
      </c>
    </row>
    <row r="38" spans="1:2" ht="15" x14ac:dyDescent="0.25">
      <c r="A38" s="114" t="s">
        <v>33</v>
      </c>
    </row>
    <row r="39" spans="1:2" x14ac:dyDescent="0.2">
      <c r="A39" s="125" t="s">
        <v>34</v>
      </c>
      <c r="B39" s="137">
        <v>21</v>
      </c>
    </row>
    <row r="40" spans="1:2" x14ac:dyDescent="0.2">
      <c r="A40" s="125" t="s">
        <v>35</v>
      </c>
      <c r="B40" s="137">
        <v>9</v>
      </c>
    </row>
    <row r="41" spans="1:2" x14ac:dyDescent="0.2">
      <c r="A41" s="125" t="s">
        <v>36</v>
      </c>
      <c r="B41" s="137">
        <v>10</v>
      </c>
    </row>
    <row r="42" spans="1:2" x14ac:dyDescent="0.2">
      <c r="A42" s="125" t="s">
        <v>37</v>
      </c>
      <c r="B42" s="137">
        <v>2</v>
      </c>
    </row>
    <row r="43" spans="1:2" x14ac:dyDescent="0.2">
      <c r="A43" s="125" t="s">
        <v>38</v>
      </c>
      <c r="B43" s="138">
        <v>0.4</v>
      </c>
    </row>
    <row r="44" spans="1:2" x14ac:dyDescent="0.2">
      <c r="A44" s="125" t="s">
        <v>39</v>
      </c>
      <c r="B44" s="138">
        <v>0.12</v>
      </c>
    </row>
    <row r="45" spans="1:2" x14ac:dyDescent="0.2">
      <c r="A45" s="125" t="s">
        <v>40</v>
      </c>
      <c r="B45" s="137">
        <v>20</v>
      </c>
    </row>
    <row r="46" spans="1:2" x14ac:dyDescent="0.2">
      <c r="A46" s="125" t="s">
        <v>41</v>
      </c>
      <c r="B46" s="138">
        <v>6.7739999999999995E-2</v>
      </c>
    </row>
    <row r="47" spans="1:2" x14ac:dyDescent="0.2">
      <c r="A47" s="125" t="s">
        <v>42</v>
      </c>
      <c r="B47" s="138">
        <v>6.25E-2</v>
      </c>
    </row>
    <row r="48" spans="1:2" x14ac:dyDescent="0.2">
      <c r="A48" s="125" t="s">
        <v>43</v>
      </c>
      <c r="B48" s="138">
        <v>0.1042</v>
      </c>
    </row>
    <row r="51" spans="1:2" ht="15" x14ac:dyDescent="0.25">
      <c r="A51" s="117" t="s">
        <v>44</v>
      </c>
      <c r="B51" s="117"/>
    </row>
    <row r="52" spans="1:2" x14ac:dyDescent="0.2">
      <c r="A52" s="132" t="s">
        <v>45</v>
      </c>
      <c r="B52" s="133">
        <f>B16</f>
        <v>10200973835</v>
      </c>
    </row>
    <row r="53" spans="1:2" x14ac:dyDescent="0.2">
      <c r="A53" s="132" t="s">
        <v>46</v>
      </c>
      <c r="B53" s="134">
        <f>B36</f>
        <v>0.36527999999999999</v>
      </c>
    </row>
    <row r="54" spans="1:2" x14ac:dyDescent="0.2">
      <c r="A54" s="132" t="s">
        <v>47</v>
      </c>
      <c r="B54" s="133">
        <f>B52/(1+B53)</f>
        <v>7471708246.6600256</v>
      </c>
    </row>
    <row r="55" spans="1:2" x14ac:dyDescent="0.2">
      <c r="A55" s="132" t="s">
        <v>29</v>
      </c>
      <c r="B55" s="133">
        <f>B54*B33</f>
        <v>2131528928.607172</v>
      </c>
    </row>
    <row r="56" spans="1:2" x14ac:dyDescent="0.2">
      <c r="A56" s="132" t="s">
        <v>30</v>
      </c>
      <c r="B56" s="133">
        <f>B54*B34</f>
        <v>74717082.466600254</v>
      </c>
    </row>
    <row r="57" spans="1:2" x14ac:dyDescent="0.2">
      <c r="A57" s="132" t="s">
        <v>31</v>
      </c>
      <c r="B57" s="133">
        <f>B54*B35</f>
        <v>523019577.26620185</v>
      </c>
    </row>
    <row r="58" spans="1:2" ht="15" x14ac:dyDescent="0.25">
      <c r="A58" s="135" t="s">
        <v>48</v>
      </c>
      <c r="B58" s="136">
        <f>SUM(B55:B57)</f>
        <v>2729265588.3399744</v>
      </c>
    </row>
    <row r="59" spans="1:2" x14ac:dyDescent="0.2">
      <c r="A59" s="132" t="s">
        <v>49</v>
      </c>
      <c r="B59" s="133">
        <f>B54+B58-B16</f>
        <v>0</v>
      </c>
    </row>
  </sheetData>
  <mergeCells count="2">
    <mergeCell ref="A1:B1"/>
    <mergeCell ref="A51:B51"/>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76092"/>
  </sheetPr>
  <dimension ref="A1:H9"/>
  <sheetViews>
    <sheetView zoomScale="150" zoomScaleNormal="150" workbookViewId="0">
      <selection activeCell="B35" sqref="B35"/>
    </sheetView>
  </sheetViews>
  <sheetFormatPr baseColWidth="10" defaultColWidth="10.7109375" defaultRowHeight="15" x14ac:dyDescent="0.25"/>
  <sheetData>
    <row r="1" spans="1:8" ht="41.25" customHeight="1" x14ac:dyDescent="0.25">
      <c r="A1" s="106" t="s">
        <v>50</v>
      </c>
      <c r="B1" s="106"/>
      <c r="C1" s="106"/>
      <c r="D1" s="106"/>
      <c r="E1" s="106"/>
      <c r="F1" s="106"/>
      <c r="G1" s="106"/>
      <c r="H1" s="106"/>
    </row>
    <row r="2" spans="1:8" ht="41.25" customHeight="1" x14ac:dyDescent="0.25">
      <c r="A2" s="106"/>
      <c r="B2" s="106"/>
      <c r="C2" s="106"/>
      <c r="D2" s="106"/>
      <c r="E2" s="106"/>
      <c r="F2" s="106"/>
      <c r="G2" s="106"/>
      <c r="H2" s="106"/>
    </row>
    <row r="3" spans="1:8" ht="41.25" customHeight="1" x14ac:dyDescent="0.25">
      <c r="A3" s="106"/>
      <c r="B3" s="106"/>
      <c r="C3" s="106"/>
      <c r="D3" s="106"/>
      <c r="E3" s="106"/>
      <c r="F3" s="106"/>
      <c r="G3" s="106"/>
      <c r="H3" s="106"/>
    </row>
    <row r="4" spans="1:8" ht="41.25" customHeight="1" x14ac:dyDescent="0.25">
      <c r="A4" s="106"/>
      <c r="B4" s="106"/>
      <c r="C4" s="106"/>
      <c r="D4" s="106"/>
      <c r="E4" s="106"/>
      <c r="F4" s="106"/>
      <c r="G4" s="106"/>
      <c r="H4" s="106"/>
    </row>
    <row r="5" spans="1:8" ht="14.25" customHeight="1" x14ac:dyDescent="0.25">
      <c r="A5" s="106"/>
      <c r="B5" s="106"/>
      <c r="C5" s="106"/>
      <c r="D5" s="106"/>
      <c r="E5" s="106"/>
      <c r="F5" s="106"/>
      <c r="G5" s="106"/>
      <c r="H5" s="106"/>
    </row>
    <row r="6" spans="1:8" ht="14.25" customHeight="1" x14ac:dyDescent="0.25">
      <c r="A6" s="106"/>
      <c r="B6" s="106"/>
      <c r="C6" s="106"/>
      <c r="D6" s="106"/>
      <c r="E6" s="106"/>
      <c r="F6" s="106"/>
      <c r="G6" s="106"/>
      <c r="H6" s="106"/>
    </row>
    <row r="7" spans="1:8" ht="14.25" customHeight="1" x14ac:dyDescent="0.25">
      <c r="A7" s="106"/>
      <c r="B7" s="106"/>
      <c r="C7" s="106"/>
      <c r="D7" s="106"/>
      <c r="E7" s="106"/>
      <c r="F7" s="106"/>
      <c r="G7" s="106"/>
      <c r="H7" s="106"/>
    </row>
    <row r="8" spans="1:8" ht="14.25" customHeight="1" x14ac:dyDescent="0.25">
      <c r="A8" s="106"/>
      <c r="B8" s="106"/>
      <c r="C8" s="106"/>
      <c r="D8" s="106"/>
      <c r="E8" s="106"/>
      <c r="F8" s="106"/>
      <c r="G8" s="106"/>
      <c r="H8" s="106"/>
    </row>
    <row r="9" spans="1:8" ht="14.25" customHeight="1" x14ac:dyDescent="0.25">
      <c r="A9" s="106"/>
      <c r="B9" s="106"/>
      <c r="C9" s="106"/>
      <c r="D9" s="106"/>
      <c r="E9" s="106"/>
      <c r="F9" s="106"/>
      <c r="G9" s="106"/>
      <c r="H9" s="106"/>
    </row>
  </sheetData>
  <mergeCells count="1">
    <mergeCell ref="A1:H9"/>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76092"/>
  </sheetPr>
  <dimension ref="A1:W39"/>
  <sheetViews>
    <sheetView showGridLines="0" zoomScale="70" zoomScaleNormal="70" workbookViewId="0">
      <selection activeCell="S2" sqref="S2"/>
    </sheetView>
  </sheetViews>
  <sheetFormatPr baseColWidth="10" defaultColWidth="8.7109375" defaultRowHeight="15" x14ac:dyDescent="0.25"/>
  <cols>
    <col min="1" max="1" width="15.140625" style="105" customWidth="1"/>
    <col min="2" max="2" width="12.42578125" style="18" bestFit="1" customWidth="1"/>
    <col min="3" max="3" width="11.5703125" style="18" bestFit="1" customWidth="1"/>
    <col min="4" max="10" width="11.42578125" style="18" customWidth="1"/>
    <col min="11" max="11" width="14" style="18" bestFit="1" customWidth="1"/>
    <col min="12" max="17" width="13.85546875" style="18" bestFit="1" customWidth="1"/>
    <col min="18" max="18" width="14" style="18" bestFit="1" customWidth="1"/>
    <col min="19" max="19" width="13.85546875" style="18" bestFit="1" customWidth="1"/>
    <col min="20" max="20" width="13.5703125" style="18" bestFit="1" customWidth="1"/>
    <col min="21" max="22" width="12.5703125" style="18" bestFit="1" customWidth="1"/>
    <col min="23" max="23" width="14.85546875" style="18" bestFit="1" customWidth="1"/>
    <col min="24" max="16384" width="8.7109375" style="18"/>
  </cols>
  <sheetData>
    <row r="1" spans="1:23" ht="18.75" thickBot="1" x14ac:dyDescent="0.3">
      <c r="A1" s="141" t="s">
        <v>51</v>
      </c>
      <c r="B1" s="142"/>
      <c r="C1" s="142"/>
      <c r="D1" s="142"/>
      <c r="E1" s="142"/>
      <c r="F1" s="142"/>
      <c r="G1" s="142"/>
      <c r="H1" s="142"/>
      <c r="I1" s="142"/>
      <c r="J1" s="142"/>
      <c r="K1" s="142"/>
      <c r="L1" s="142"/>
      <c r="M1" s="142"/>
      <c r="N1" s="142"/>
      <c r="O1" s="142"/>
      <c r="P1" s="142"/>
      <c r="Q1" s="142"/>
      <c r="R1" s="142"/>
      <c r="S1" s="142"/>
      <c r="T1" s="142"/>
      <c r="U1" s="142"/>
      <c r="V1" s="142"/>
      <c r="W1" s="143"/>
    </row>
    <row r="3" spans="1:23" x14ac:dyDescent="0.25">
      <c r="A3" s="139" t="s">
        <v>52</v>
      </c>
      <c r="B3" s="139" t="s">
        <v>53</v>
      </c>
      <c r="C3" s="140" t="s">
        <v>54</v>
      </c>
    </row>
    <row r="4" spans="1:23" ht="24.75" x14ac:dyDescent="0.25">
      <c r="A4" s="81" t="s">
        <v>55</v>
      </c>
      <c r="B4" s="82">
        <f>'1. Datos y Costos del Contrato'!B30</f>
        <v>13331560035</v>
      </c>
      <c r="C4" s="83" t="s">
        <v>56</v>
      </c>
    </row>
    <row r="5" spans="1:23" ht="16.5" x14ac:dyDescent="0.25">
      <c r="A5" s="81" t="s">
        <v>45</v>
      </c>
      <c r="B5" s="84">
        <f>'1. Datos y Costos del Contrato'!B16</f>
        <v>10200973835</v>
      </c>
      <c r="C5" s="83"/>
    </row>
    <row r="6" spans="1:23" ht="16.5" x14ac:dyDescent="0.25">
      <c r="A6" s="81" t="s">
        <v>57</v>
      </c>
      <c r="B6" s="85">
        <f>B5*'1. Datos y Costos del Contrato'!B43</f>
        <v>4080389534</v>
      </c>
      <c r="C6" s="83" t="s">
        <v>58</v>
      </c>
    </row>
    <row r="7" spans="1:23" ht="16.5" x14ac:dyDescent="0.25">
      <c r="A7" s="81" t="s">
        <v>59</v>
      </c>
      <c r="B7" s="86">
        <f>B5-B6</f>
        <v>6120584301</v>
      </c>
      <c r="C7" s="83" t="s">
        <v>60</v>
      </c>
    </row>
    <row r="9" spans="1:23" s="87" customFormat="1" ht="12.75" x14ac:dyDescent="0.25">
      <c r="A9" s="76"/>
      <c r="B9" s="77" t="s">
        <v>61</v>
      </c>
      <c r="C9" s="77" t="s">
        <v>62</v>
      </c>
      <c r="D9" s="77" t="s">
        <v>63</v>
      </c>
      <c r="E9" s="77" t="s">
        <v>64</v>
      </c>
      <c r="F9" s="77" t="s">
        <v>65</v>
      </c>
      <c r="G9" s="77" t="s">
        <v>66</v>
      </c>
      <c r="H9" s="77" t="s">
        <v>67</v>
      </c>
      <c r="I9" s="77" t="s">
        <v>68</v>
      </c>
      <c r="J9" s="77" t="s">
        <v>69</v>
      </c>
      <c r="K9" s="77" t="s">
        <v>70</v>
      </c>
      <c r="L9" s="77" t="s">
        <v>71</v>
      </c>
      <c r="M9" s="77" t="s">
        <v>72</v>
      </c>
      <c r="N9" s="77" t="s">
        <v>73</v>
      </c>
      <c r="O9" s="77" t="s">
        <v>74</v>
      </c>
      <c r="P9" s="77" t="s">
        <v>75</v>
      </c>
      <c r="Q9" s="77" t="s">
        <v>76</v>
      </c>
      <c r="R9" s="77" t="s">
        <v>77</v>
      </c>
      <c r="S9" s="77" t="s">
        <v>78</v>
      </c>
      <c r="T9" s="77" t="s">
        <v>79</v>
      </c>
      <c r="U9" s="77" t="s">
        <v>80</v>
      </c>
      <c r="V9" s="77" t="s">
        <v>81</v>
      </c>
      <c r="W9" s="77" t="s">
        <v>82</v>
      </c>
    </row>
    <row r="10" spans="1:23" s="88" customFormat="1" ht="12.75" x14ac:dyDescent="0.25">
      <c r="A10" s="78" t="s">
        <v>83</v>
      </c>
      <c r="B10" s="79" t="s">
        <v>84</v>
      </c>
      <c r="C10" s="79" t="s">
        <v>84</v>
      </c>
      <c r="D10" s="79" t="s">
        <v>84</v>
      </c>
      <c r="E10" s="79" t="s">
        <v>84</v>
      </c>
      <c r="F10" s="79" t="s">
        <v>84</v>
      </c>
      <c r="G10" s="79" t="s">
        <v>84</v>
      </c>
      <c r="H10" s="79" t="s">
        <v>84</v>
      </c>
      <c r="I10" s="79" t="s">
        <v>84</v>
      </c>
      <c r="J10" s="79" t="s">
        <v>84</v>
      </c>
      <c r="K10" s="79" t="s">
        <v>85</v>
      </c>
      <c r="L10" s="79" t="s">
        <v>85</v>
      </c>
      <c r="M10" s="79" t="s">
        <v>85</v>
      </c>
      <c r="N10" s="79" t="s">
        <v>85</v>
      </c>
      <c r="O10" s="79" t="s">
        <v>85</v>
      </c>
      <c r="P10" s="79" t="s">
        <v>85</v>
      </c>
      <c r="Q10" s="79" t="s">
        <v>85</v>
      </c>
      <c r="R10" s="79" t="s">
        <v>85</v>
      </c>
      <c r="S10" s="79" t="s">
        <v>85</v>
      </c>
      <c r="T10" s="79" t="s">
        <v>85</v>
      </c>
      <c r="U10" s="79" t="s">
        <v>86</v>
      </c>
      <c r="V10" s="79" t="s">
        <v>86</v>
      </c>
      <c r="W10" s="79"/>
    </row>
    <row r="11" spans="1:23" s="90" customFormat="1" ht="36" x14ac:dyDescent="0.25">
      <c r="A11" s="89" t="s">
        <v>87</v>
      </c>
      <c r="B11" s="74">
        <v>2.4055559078455999E-2</v>
      </c>
      <c r="C11" s="74">
        <v>2.82838735203291E-2</v>
      </c>
      <c r="D11" s="74">
        <v>1.30862207594791E-2</v>
      </c>
      <c r="E11" s="74">
        <v>7.3268338090555201E-3</v>
      </c>
      <c r="F11" s="74">
        <v>9.0674103723756005E-3</v>
      </c>
      <c r="G11" s="74">
        <v>1.10150893238583E-2</v>
      </c>
      <c r="H11" s="74">
        <v>2.1741138552275802E-2</v>
      </c>
      <c r="I11" s="74">
        <v>1.29654851442384E-2</v>
      </c>
      <c r="J11" s="74">
        <v>8.7211515822096502E-3</v>
      </c>
      <c r="K11" s="74">
        <v>5.24081426205181E-2</v>
      </c>
      <c r="L11" s="74">
        <v>6.8353944508803804E-2</v>
      </c>
      <c r="M11" s="74">
        <v>8.3115777667732094E-2</v>
      </c>
      <c r="N11" s="74">
        <v>7.9548110379233206E-2</v>
      </c>
      <c r="O11" s="74">
        <v>3.2718502895462499E-2</v>
      </c>
      <c r="P11" s="74">
        <v>9.7574253267527403E-2</v>
      </c>
      <c r="Q11" s="74">
        <v>0.15452834597738699</v>
      </c>
      <c r="R11" s="74">
        <v>0.140072189020883</v>
      </c>
      <c r="S11" s="74">
        <v>8.4185020150179105E-2</v>
      </c>
      <c r="T11" s="74">
        <v>3.42125529830552E-2</v>
      </c>
      <c r="U11" s="74">
        <v>2.1571501385548399E-2</v>
      </c>
      <c r="V11" s="74">
        <v>1.54488970013925E-2</v>
      </c>
      <c r="W11" s="74">
        <f>SUM(B11:V11)</f>
        <v>0.99999999999999989</v>
      </c>
    </row>
    <row r="12" spans="1:23" s="90" customFormat="1" ht="60" x14ac:dyDescent="0.25">
      <c r="A12" s="89" t="s">
        <v>88</v>
      </c>
      <c r="B12" s="74">
        <v>0</v>
      </c>
      <c r="C12" s="74">
        <v>0</v>
      </c>
      <c r="D12" s="74">
        <v>0</v>
      </c>
      <c r="E12" s="74">
        <v>0</v>
      </c>
      <c r="F12" s="74">
        <v>0</v>
      </c>
      <c r="G12" s="74">
        <v>0</v>
      </c>
      <c r="H12" s="74">
        <v>0</v>
      </c>
      <c r="I12" s="74">
        <v>0</v>
      </c>
      <c r="J12" s="74">
        <v>0</v>
      </c>
      <c r="K12" s="74">
        <f t="shared" ref="K12:V12" si="0">K11/SUM($K$11:$V$11)</f>
        <v>6.0676025443227366E-2</v>
      </c>
      <c r="L12" s="74">
        <f t="shared" si="0"/>
        <v>7.9137429200503318E-2</v>
      </c>
      <c r="M12" s="74">
        <f t="shared" si="0"/>
        <v>9.6228081903565202E-2</v>
      </c>
      <c r="N12" s="74">
        <f t="shared" si="0"/>
        <v>9.2097581177039187E-2</v>
      </c>
      <c r="O12" s="74">
        <f t="shared" si="0"/>
        <v>3.7880157832041961E-2</v>
      </c>
      <c r="P12" s="74">
        <f t="shared" si="0"/>
        <v>0.11296751950805685</v>
      </c>
      <c r="Q12" s="74">
        <f t="shared" si="0"/>
        <v>0.17890666189251572</v>
      </c>
      <c r="R12" s="74">
        <f t="shared" si="0"/>
        <v>0.16216990871934148</v>
      </c>
      <c r="S12" s="74">
        <f t="shared" si="0"/>
        <v>9.7466007554540934E-2</v>
      </c>
      <c r="T12" s="74">
        <f t="shared" si="0"/>
        <v>3.960990852717039E-2</v>
      </c>
      <c r="U12" s="74">
        <f t="shared" si="0"/>
        <v>2.4974610842356346E-2</v>
      </c>
      <c r="V12" s="74">
        <f t="shared" si="0"/>
        <v>1.7886107399641013E-2</v>
      </c>
      <c r="W12" s="74">
        <f>SUM(B12:V12)</f>
        <v>0.99999999999999967</v>
      </c>
    </row>
    <row r="13" spans="1:23" s="93" customFormat="1" ht="24" x14ac:dyDescent="0.25">
      <c r="A13" s="91" t="s">
        <v>89</v>
      </c>
      <c r="B13" s="92">
        <v>0</v>
      </c>
      <c r="C13" s="92">
        <f t="shared" ref="C13:V13" si="1">+B39</f>
        <v>0</v>
      </c>
      <c r="D13" s="92">
        <f t="shared" si="1"/>
        <v>0</v>
      </c>
      <c r="E13" s="92">
        <f t="shared" si="1"/>
        <v>0</v>
      </c>
      <c r="F13" s="92">
        <f t="shared" si="1"/>
        <v>0</v>
      </c>
      <c r="G13" s="92">
        <f t="shared" si="1"/>
        <v>0</v>
      </c>
      <c r="H13" s="92">
        <f t="shared" si="1"/>
        <v>0</v>
      </c>
      <c r="I13" s="92">
        <f t="shared" si="1"/>
        <v>0</v>
      </c>
      <c r="J13" s="92">
        <f t="shared" si="1"/>
        <v>0</v>
      </c>
      <c r="K13" s="92">
        <f t="shared" si="1"/>
        <v>0</v>
      </c>
      <c r="L13" s="92">
        <f t="shared" si="1"/>
        <v>3832807714.8167367</v>
      </c>
      <c r="M13" s="92">
        <f t="shared" si="1"/>
        <v>3509896176.9593372</v>
      </c>
      <c r="N13" s="92">
        <f t="shared" si="1"/>
        <v>3117248118.683135</v>
      </c>
      <c r="O13" s="92">
        <f t="shared" si="1"/>
        <v>2741454112.341629</v>
      </c>
      <c r="P13" s="92">
        <f t="shared" si="1"/>
        <v>2586888312.7774968</v>
      </c>
      <c r="Q13" s="92">
        <f t="shared" si="1"/>
        <v>2125936828.4948812</v>
      </c>
      <c r="R13" s="92">
        <f t="shared" si="1"/>
        <v>1395927957.7457833</v>
      </c>
      <c r="S13" s="92">
        <f t="shared" si="1"/>
        <v>734211559.4776473</v>
      </c>
      <c r="T13" s="92">
        <f t="shared" si="1"/>
        <v>336512282.33133364</v>
      </c>
      <c r="U13" s="92">
        <f t="shared" si="1"/>
        <v>174888426.13437021</v>
      </c>
      <c r="V13" s="92">
        <f t="shared" si="1"/>
        <v>72982285.437496543</v>
      </c>
      <c r="W13" s="92"/>
    </row>
    <row r="14" spans="1:23" s="95" customFormat="1" ht="12.75" x14ac:dyDescent="0.25">
      <c r="A14" s="80" t="s">
        <v>90</v>
      </c>
      <c r="B14" s="94"/>
      <c r="C14" s="94"/>
      <c r="D14" s="94"/>
      <c r="E14" s="94"/>
      <c r="F14" s="94"/>
      <c r="G14" s="94"/>
      <c r="H14" s="94"/>
      <c r="I14" s="94"/>
      <c r="J14" s="94"/>
      <c r="K14" s="94"/>
      <c r="L14" s="94"/>
      <c r="M14" s="94"/>
      <c r="N14" s="94"/>
      <c r="O14" s="94"/>
      <c r="P14" s="94"/>
      <c r="Q14" s="94"/>
      <c r="R14" s="94"/>
      <c r="S14" s="94"/>
      <c r="T14" s="94"/>
      <c r="U14" s="94"/>
      <c r="V14" s="94"/>
      <c r="W14" s="94"/>
    </row>
    <row r="15" spans="1:23" s="98" customFormat="1" ht="36" x14ac:dyDescent="0.25">
      <c r="A15" s="96" t="s">
        <v>91</v>
      </c>
      <c r="B15" s="97">
        <f>IF(B$10="Preoper.",'1. Datos y Costos del Contrato'!$B$26*B$11/SUM($B$11:$J$11),0)</f>
        <v>43867458.899733305</v>
      </c>
      <c r="C15" s="97">
        <f>IF(C$10="Preoper.",'1. Datos y Costos del Contrato'!$B$26*C$11/SUM($B$11:$J$11),0)</f>
        <v>51578167.654789276</v>
      </c>
      <c r="D15" s="97">
        <f>IF(D$10="Preoper.",'1. Datos y Costos del Contrato'!$B$26*D$11/SUM($B$11:$J$11),0)</f>
        <v>23863891.47918037</v>
      </c>
      <c r="E15" s="97">
        <f>IF(E$10="Preoper.",'1. Datos y Costos del Contrato'!$B$26*E$11/SUM($B$11:$J$11),0)</f>
        <v>13361135.359010288</v>
      </c>
      <c r="F15" s="97">
        <f>IF(F$10="Preoper.",'1. Datos y Costos del Contrato'!$B$26*F$11/SUM($B$11:$J$11),0)</f>
        <v>16535232.065898526</v>
      </c>
      <c r="G15" s="97">
        <f>IF(G$10="Preoper.",'1. Datos y Costos del Contrato'!$B$26*G$11/SUM($B$11:$J$11),0)</f>
        <v>20086998.461158168</v>
      </c>
      <c r="H15" s="97">
        <f>IF(H$10="Preoper.",'1. Datos y Costos del Contrato'!$B$26*H$11/SUM($B$11:$J$11),0)</f>
        <v>39646906.511913866</v>
      </c>
      <c r="I15" s="97">
        <f>IF(I$10="Preoper.",'1. Datos y Costos del Contrato'!$B$26*I$11/SUM($B$11:$J$11),0)</f>
        <v>23643719.309328422</v>
      </c>
      <c r="J15" s="97">
        <f>IF(J$10="Preoper.",'1. Datos y Costos del Contrato'!$B$26*J$11/SUM($B$11:$J$11),0)</f>
        <v>15903798.258987768</v>
      </c>
      <c r="K15" s="97">
        <v>0</v>
      </c>
      <c r="L15" s="97">
        <v>0</v>
      </c>
      <c r="M15" s="97">
        <v>0</v>
      </c>
      <c r="N15" s="97">
        <v>0</v>
      </c>
      <c r="O15" s="97">
        <v>0</v>
      </c>
      <c r="P15" s="97">
        <v>0</v>
      </c>
      <c r="Q15" s="97">
        <v>0</v>
      </c>
      <c r="R15" s="97">
        <v>0</v>
      </c>
      <c r="S15" s="97">
        <v>0</v>
      </c>
      <c r="T15" s="97">
        <v>0</v>
      </c>
      <c r="U15" s="97">
        <v>0</v>
      </c>
      <c r="V15" s="97">
        <v>0</v>
      </c>
      <c r="W15" s="97">
        <f t="shared" ref="W15:W25" si="2">SUM(B15:V15)</f>
        <v>248487307.99999997</v>
      </c>
    </row>
    <row r="16" spans="1:23" s="98" customFormat="1" ht="24" x14ac:dyDescent="0.25">
      <c r="A16" s="96" t="s">
        <v>92</v>
      </c>
      <c r="B16" s="75">
        <v>0</v>
      </c>
      <c r="C16" s="75">
        <v>0</v>
      </c>
      <c r="D16" s="75">
        <v>0</v>
      </c>
      <c r="E16" s="75">
        <v>0</v>
      </c>
      <c r="F16" s="75">
        <v>0</v>
      </c>
      <c r="G16" s="75">
        <v>0</v>
      </c>
      <c r="H16" s="75">
        <v>0</v>
      </c>
      <c r="I16" s="75">
        <v>0</v>
      </c>
      <c r="J16" s="75">
        <v>0</v>
      </c>
      <c r="K16" s="75">
        <f>$B$6</f>
        <v>4080389534</v>
      </c>
      <c r="L16" s="75">
        <v>0</v>
      </c>
      <c r="M16" s="75">
        <v>0</v>
      </c>
      <c r="N16" s="75">
        <v>0</v>
      </c>
      <c r="O16" s="75">
        <v>0</v>
      </c>
      <c r="P16" s="75">
        <v>0</v>
      </c>
      <c r="Q16" s="75">
        <v>0</v>
      </c>
      <c r="R16" s="75">
        <v>0</v>
      </c>
      <c r="S16" s="75">
        <v>0</v>
      </c>
      <c r="T16" s="75">
        <v>0</v>
      </c>
      <c r="U16" s="75">
        <v>0</v>
      </c>
      <c r="V16" s="75">
        <v>0</v>
      </c>
      <c r="W16" s="75">
        <f t="shared" si="2"/>
        <v>4080389534</v>
      </c>
    </row>
    <row r="17" spans="1:23" s="98" customFormat="1" ht="36" x14ac:dyDescent="0.25">
      <c r="A17" s="96" t="s">
        <v>93</v>
      </c>
      <c r="B17" s="75">
        <v>0</v>
      </c>
      <c r="C17" s="75">
        <v>0</v>
      </c>
      <c r="D17" s="75">
        <v>0</v>
      </c>
      <c r="E17" s="75">
        <v>0</v>
      </c>
      <c r="F17" s="75">
        <v>0</v>
      </c>
      <c r="G17" s="75">
        <v>0</v>
      </c>
      <c r="H17" s="75">
        <v>0</v>
      </c>
      <c r="I17" s="75">
        <v>0</v>
      </c>
      <c r="J17" s="75">
        <v>0</v>
      </c>
      <c r="K17" s="75">
        <f t="shared" ref="K17:V17" si="3">$B$5*K$12</f>
        <v>618954547.95815659</v>
      </c>
      <c r="L17" s="75">
        <f t="shared" si="3"/>
        <v>807278844.64349926</v>
      </c>
      <c r="M17" s="75">
        <f t="shared" si="3"/>
        <v>981620145.69050562</v>
      </c>
      <c r="N17" s="75">
        <f t="shared" si="3"/>
        <v>939485015.85376525</v>
      </c>
      <c r="O17" s="75">
        <f t="shared" si="3"/>
        <v>386414498.91033036</v>
      </c>
      <c r="P17" s="75">
        <f t="shared" si="3"/>
        <v>1152378710.7065399</v>
      </c>
      <c r="Q17" s="75">
        <f t="shared" si="3"/>
        <v>1825022176.8727446</v>
      </c>
      <c r="R17" s="75">
        <f t="shared" si="3"/>
        <v>1654290995.6703408</v>
      </c>
      <c r="S17" s="75">
        <f t="shared" si="3"/>
        <v>994248192.86578441</v>
      </c>
      <c r="T17" s="75">
        <f t="shared" si="3"/>
        <v>404059640.49240851</v>
      </c>
      <c r="U17" s="75">
        <f t="shared" si="3"/>
        <v>254765351.7421844</v>
      </c>
      <c r="V17" s="75">
        <f t="shared" si="3"/>
        <v>182455713.59373787</v>
      </c>
      <c r="W17" s="75">
        <f t="shared" si="2"/>
        <v>10200973834.999996</v>
      </c>
    </row>
    <row r="18" spans="1:23" s="98" customFormat="1" ht="36" x14ac:dyDescent="0.25">
      <c r="A18" s="96" t="s">
        <v>94</v>
      </c>
      <c r="B18" s="75">
        <v>0</v>
      </c>
      <c r="C18" s="75">
        <v>0</v>
      </c>
      <c r="D18" s="75">
        <v>0</v>
      </c>
      <c r="E18" s="75">
        <v>0</v>
      </c>
      <c r="F18" s="75">
        <v>0</v>
      </c>
      <c r="G18" s="75">
        <v>0</v>
      </c>
      <c r="H18" s="75">
        <v>0</v>
      </c>
      <c r="I18" s="75">
        <v>0</v>
      </c>
      <c r="J18" s="75">
        <v>0</v>
      </c>
      <c r="K18" s="75">
        <f t="shared" ref="K18:V18" si="4">-$B$6*K$12</f>
        <v>-247581819.18326265</v>
      </c>
      <c r="L18" s="75">
        <f t="shared" si="4"/>
        <v>-322911537.8573997</v>
      </c>
      <c r="M18" s="75">
        <f t="shared" si="4"/>
        <v>-392648058.27620226</v>
      </c>
      <c r="N18" s="75">
        <f t="shared" si="4"/>
        <v>-375794006.34150612</v>
      </c>
      <c r="O18" s="75">
        <f t="shared" si="4"/>
        <v>-154565799.56413215</v>
      </c>
      <c r="P18" s="75">
        <f t="shared" si="4"/>
        <v>-460951484.28261602</v>
      </c>
      <c r="Q18" s="75">
        <f t="shared" si="4"/>
        <v>-730008870.74909782</v>
      </c>
      <c r="R18" s="75">
        <f t="shared" si="4"/>
        <v>-661716398.26813626</v>
      </c>
      <c r="S18" s="75">
        <f t="shared" si="4"/>
        <v>-397699277.14631379</v>
      </c>
      <c r="T18" s="75">
        <f t="shared" si="4"/>
        <v>-161623856.1969634</v>
      </c>
      <c r="U18" s="75">
        <f t="shared" si="4"/>
        <v>-101906140.69687375</v>
      </c>
      <c r="V18" s="75">
        <f t="shared" si="4"/>
        <v>-72982285.437495142</v>
      </c>
      <c r="W18" s="75">
        <f t="shared" si="2"/>
        <v>-4080389533.999999</v>
      </c>
    </row>
    <row r="19" spans="1:23" s="98" customFormat="1" ht="24" x14ac:dyDescent="0.25">
      <c r="A19" s="96" t="s">
        <v>95</v>
      </c>
      <c r="B19" s="75">
        <v>0</v>
      </c>
      <c r="C19" s="75">
        <v>0</v>
      </c>
      <c r="D19" s="75">
        <v>0</v>
      </c>
      <c r="E19" s="75">
        <v>0</v>
      </c>
      <c r="F19" s="75">
        <v>0</v>
      </c>
      <c r="G19" s="75">
        <v>0</v>
      </c>
      <c r="H19" s="75">
        <v>0</v>
      </c>
      <c r="I19" s="75">
        <v>0</v>
      </c>
      <c r="J19" s="75">
        <v>0</v>
      </c>
      <c r="K19" s="75">
        <f>'1. Datos y Costos del Contrato'!$B$19*K$12</f>
        <v>49287287.157597199</v>
      </c>
      <c r="L19" s="75">
        <f>'1. Datos y Costos del Contrato'!$B$19*L$12</f>
        <v>64283531.583141848</v>
      </c>
      <c r="M19" s="75">
        <f>'1. Datos y Costos del Contrato'!$B$19*M$12</f>
        <v>78166311.500470772</v>
      </c>
      <c r="N19" s="75">
        <f>'1. Datos y Costos del Contrato'!$B$19*N$12</f>
        <v>74811095.43406187</v>
      </c>
      <c r="O19" s="75">
        <f>'1. Datos y Costos del Contrato'!$B$19*O$12</f>
        <v>30770146.907362264</v>
      </c>
      <c r="P19" s="75">
        <f>'1. Datos y Costos del Contrato'!$B$19*P$12</f>
        <v>91763798.515193343</v>
      </c>
      <c r="Q19" s="75">
        <f>'1. Datos y Costos del Contrato'!$B$19*Q$12</f>
        <v>145326328.72194526</v>
      </c>
      <c r="R19" s="75">
        <f>'1. Datos y Costos del Contrato'!$B$19*R$12</f>
        <v>131731022.27749288</v>
      </c>
      <c r="S19" s="75">
        <f>'1. Datos y Costos del Contrato'!$B$19*S$12</f>
        <v>79171881.601572484</v>
      </c>
      <c r="T19" s="75">
        <f>'1. Datos y Costos del Contrato'!$B$19*T$12</f>
        <v>32175227.721391827</v>
      </c>
      <c r="U19" s="75">
        <f>'1. Datos y Costos del Contrato'!$B$19*U$12</f>
        <v>20286938.823773164</v>
      </c>
      <c r="V19" s="75">
        <f>'1. Datos y Costos del Contrato'!$B$19*V$12</f>
        <v>14528929.755996894</v>
      </c>
      <c r="W19" s="75">
        <f t="shared" si="2"/>
        <v>812302499.99999988</v>
      </c>
    </row>
    <row r="20" spans="1:23" s="98" customFormat="1" ht="36" x14ac:dyDescent="0.25">
      <c r="A20" s="96" t="s">
        <v>96</v>
      </c>
      <c r="B20" s="75">
        <v>0</v>
      </c>
      <c r="C20" s="75">
        <v>0</v>
      </c>
      <c r="D20" s="75">
        <v>0</v>
      </c>
      <c r="E20" s="75">
        <v>0</v>
      </c>
      <c r="F20" s="75">
        <v>0</v>
      </c>
      <c r="G20" s="75">
        <v>0</v>
      </c>
      <c r="H20" s="75">
        <v>0</v>
      </c>
      <c r="I20" s="75">
        <v>0</v>
      </c>
      <c r="J20" s="75">
        <v>0</v>
      </c>
      <c r="K20" s="75">
        <f>'1. Datos y Costos del Contrato'!$B$20*K$12</f>
        <v>28655194.525450926</v>
      </c>
      <c r="L20" s="75">
        <f>'1. Datos y Costos del Contrato'!$B$20*L$12</f>
        <v>37373878.915426597</v>
      </c>
      <c r="M20" s="75">
        <f>'1. Datos y Costos del Contrato'!$B$20*M$12</f>
        <v>45445204.850105561</v>
      </c>
      <c r="N20" s="75">
        <f>'1. Datos y Costos del Contrato'!$B$20*N$12</f>
        <v>43494511.789023884</v>
      </c>
      <c r="O20" s="75">
        <f>'1. Datos y Costos del Contrato'!$B$20*O$12</f>
        <v>17889492.322590895</v>
      </c>
      <c r="P20" s="75">
        <f>'1. Datos y Costos del Contrato'!$B$20*P$12</f>
        <v>53350664.004680052</v>
      </c>
      <c r="Q20" s="75">
        <f>'1. Datos y Costos del Contrato'!$B$20*Q$12</f>
        <v>84491447.173413143</v>
      </c>
      <c r="R20" s="75">
        <f>'1. Datos y Costos del Contrato'!$B$20*R$12</f>
        <v>76587255.783182606</v>
      </c>
      <c r="S20" s="75">
        <f>'1. Datos y Costos del Contrato'!$B$20*S$12</f>
        <v>46029834.447671182</v>
      </c>
      <c r="T20" s="75">
        <f>'1. Datos y Costos del Contrato'!$B$20*T$12</f>
        <v>18706393.928906832</v>
      </c>
      <c r="U20" s="75">
        <f>'1. Datos y Costos del Contrato'!$B$20*U$12</f>
        <v>11794647.501339225</v>
      </c>
      <c r="V20" s="75">
        <f>'1. Datos y Costos del Contrato'!$B$20*V$12</f>
        <v>8446991.7582089882</v>
      </c>
      <c r="W20" s="75">
        <f t="shared" si="2"/>
        <v>472265516.99999988</v>
      </c>
    </row>
    <row r="21" spans="1:23" s="98" customFormat="1" ht="24" x14ac:dyDescent="0.25">
      <c r="A21" s="96" t="s">
        <v>97</v>
      </c>
      <c r="B21" s="75">
        <v>0</v>
      </c>
      <c r="C21" s="75">
        <v>0</v>
      </c>
      <c r="D21" s="75">
        <v>0</v>
      </c>
      <c r="E21" s="75">
        <v>0</v>
      </c>
      <c r="F21" s="75">
        <v>0</v>
      </c>
      <c r="G21" s="75">
        <v>0</v>
      </c>
      <c r="H21" s="75">
        <v>0</v>
      </c>
      <c r="I21" s="75">
        <v>0</v>
      </c>
      <c r="J21" s="75">
        <v>0</v>
      </c>
      <c r="K21" s="75">
        <f>'1. Datos y Costos del Contrato'!$B$21*K$12</f>
        <v>15546256.697226912</v>
      </c>
      <c r="L21" s="75">
        <f>'1. Datos y Costos del Contrato'!$B$21*L$12</f>
        <v>20276390.546720788</v>
      </c>
      <c r="M21" s="75">
        <f>'1. Datos y Costos del Contrato'!$B$21*M$12</f>
        <v>24655314.052406866</v>
      </c>
      <c r="N21" s="75">
        <f>'1. Datos y Costos del Contrato'!$B$21*N$12</f>
        <v>23597007.676641721</v>
      </c>
      <c r="O21" s="75">
        <f>'1. Datos y Costos del Contrato'!$B$21*O$12</f>
        <v>9705557.5589637924</v>
      </c>
      <c r="P21" s="75">
        <f>'1. Datos y Costos del Contrato'!$B$21*P$12</f>
        <v>28944250.12008214</v>
      </c>
      <c r="Q21" s="75">
        <f>'1. Datos y Costos del Contrato'!$B$21*Q$12</f>
        <v>45839009.23483254</v>
      </c>
      <c r="R21" s="75">
        <f>'1. Datos y Costos del Contrato'!$B$21*R$12</f>
        <v>41550760.965312168</v>
      </c>
      <c r="S21" s="75">
        <f>'1. Datos y Costos del Contrato'!$B$21*S$12</f>
        <v>24972492.209703237</v>
      </c>
      <c r="T21" s="75">
        <f>'1. Datos y Costos del Contrato'!$B$21*T$12</f>
        <v>10148749.876394579</v>
      </c>
      <c r="U21" s="75">
        <f>'1. Datos y Costos del Contrato'!$B$21*U$12</f>
        <v>6398931.1796947271</v>
      </c>
      <c r="V21" s="75">
        <f>'1. Datos y Costos del Contrato'!$B$21*V$12</f>
        <v>4582732.8820204735</v>
      </c>
      <c r="W21" s="75">
        <f t="shared" si="2"/>
        <v>256217452.99999994</v>
      </c>
    </row>
    <row r="22" spans="1:23" s="98" customFormat="1" ht="36" x14ac:dyDescent="0.25">
      <c r="A22" s="96" t="s">
        <v>98</v>
      </c>
      <c r="B22" s="75">
        <v>0</v>
      </c>
      <c r="C22" s="75">
        <v>0</v>
      </c>
      <c r="D22" s="75">
        <v>0</v>
      </c>
      <c r="E22" s="75">
        <v>0</v>
      </c>
      <c r="F22" s="75">
        <v>0</v>
      </c>
      <c r="G22" s="75">
        <v>0</v>
      </c>
      <c r="H22" s="75">
        <v>0</v>
      </c>
      <c r="I22" s="75">
        <v>0</v>
      </c>
      <c r="J22" s="75">
        <v>0</v>
      </c>
      <c r="K22" s="75">
        <f>'1. Datos y Costos del Contrato'!$B$24*K$12</f>
        <v>19728852.388787292</v>
      </c>
      <c r="L22" s="75">
        <f>'1. Datos y Costos del Contrato'!$B$24*L$12</f>
        <v>25731590.817293812</v>
      </c>
      <c r="M22" s="75">
        <f>'1. Datos y Costos del Contrato'!$B$24*M$12</f>
        <v>31288628.575513884</v>
      </c>
      <c r="N22" s="75">
        <f>'1. Datos y Costos del Contrato'!$B$24*N$12</f>
        <v>29945593.356411438</v>
      </c>
      <c r="O22" s="75">
        <f>'1. Datos y Costos del Contrato'!$B$24*O$12</f>
        <v>12316759.986719558</v>
      </c>
      <c r="P22" s="75">
        <f>'1. Datos y Costos del Contrato'!$B$24*P$12</f>
        <v>36731468.49717842</v>
      </c>
      <c r="Q22" s="75">
        <f>'1. Datos y Costos del Contrato'!$B$24*Q$12</f>
        <v>58171627.064641461</v>
      </c>
      <c r="R22" s="75">
        <f>'1. Datos y Costos del Contrato'!$B$24*R$12</f>
        <v>52729659.987709619</v>
      </c>
      <c r="S22" s="75">
        <f>'1. Datos y Costos del Contrato'!$B$24*S$12</f>
        <v>31691140.972428303</v>
      </c>
      <c r="T22" s="75">
        <f>'1. Datos y Costos del Contrato'!$B$24*T$12</f>
        <v>12879189.642985055</v>
      </c>
      <c r="U22" s="75">
        <f>'1. Datos y Costos del Contrato'!$B$24*U$12</f>
        <v>8120512.2975181984</v>
      </c>
      <c r="V22" s="75">
        <f>'1. Datos y Costos del Contrato'!$B$24*V$12</f>
        <v>5815680.4128128849</v>
      </c>
      <c r="W22" s="75">
        <f t="shared" si="2"/>
        <v>325150703.99999994</v>
      </c>
    </row>
    <row r="23" spans="1:23" s="98" customFormat="1" ht="36" x14ac:dyDescent="0.25">
      <c r="A23" s="96" t="s">
        <v>99</v>
      </c>
      <c r="B23" s="75">
        <v>0</v>
      </c>
      <c r="C23" s="75">
        <v>0</v>
      </c>
      <c r="D23" s="75">
        <v>0</v>
      </c>
      <c r="E23" s="75">
        <v>0</v>
      </c>
      <c r="F23" s="75">
        <v>0</v>
      </c>
      <c r="G23" s="75">
        <v>0</v>
      </c>
      <c r="H23" s="75">
        <v>0</v>
      </c>
      <c r="I23" s="75">
        <v>0</v>
      </c>
      <c r="J23" s="75">
        <v>0</v>
      </c>
      <c r="K23" s="75">
        <f>'1. Datos y Costos del Contrato'!$B$25*K$12</f>
        <v>1183440.2478990164</v>
      </c>
      <c r="L23" s="75">
        <f>'1. Datos y Costos del Contrato'!$B$25*L$12</f>
        <v>1543516.0452090583</v>
      </c>
      <c r="M23" s="75">
        <f>'1. Datos y Costos del Contrato'!$B$25*M$12</f>
        <v>1876856.3740114479</v>
      </c>
      <c r="N23" s="75">
        <f>'1. Datos y Costos del Contrato'!$B$25*N$12</f>
        <v>1796294.0634771043</v>
      </c>
      <c r="O23" s="75">
        <f>'1. Datos y Costos del Contrato'!$B$25*O$12</f>
        <v>738823.99263528874</v>
      </c>
      <c r="P23" s="75">
        <f>'1. Datos y Costos del Contrato'!$B$25*P$12</f>
        <v>2203346.5164299789</v>
      </c>
      <c r="Q23" s="75">
        <f>'1. Datos y Costos del Contrato'!$B$25*Q$12</f>
        <v>3489439.9024037761</v>
      </c>
      <c r="R23" s="75">
        <f>'1. Datos y Costos del Contrato'!$B$25*R$12</f>
        <v>3163002.1177993985</v>
      </c>
      <c r="S23" s="75">
        <f>'1. Datos y Costos del Contrato'!$B$25*S$12</f>
        <v>1901001.1829136398</v>
      </c>
      <c r="T23" s="75">
        <f>'1. Datos y Costos del Contrato'!$B$25*T$12</f>
        <v>772561.47917124606</v>
      </c>
      <c r="U23" s="75">
        <f>'1. Datos y Costos del Contrato'!$B$25*U$12</f>
        <v>487111.00357280707</v>
      </c>
      <c r="V23" s="75">
        <f>'1. Datos y Costos del Contrato'!$B$25*V$12</f>
        <v>348855.07447723346</v>
      </c>
      <c r="W23" s="75">
        <f t="shared" si="2"/>
        <v>19504247.999999993</v>
      </c>
    </row>
    <row r="24" spans="1:23" s="98" customFormat="1" ht="48" x14ac:dyDescent="0.25">
      <c r="A24" s="96" t="s">
        <v>100</v>
      </c>
      <c r="B24" s="97">
        <f>'1. Datos y Costos del Contrato'!$B$27*B$11</f>
        <v>23975176.706128567</v>
      </c>
      <c r="C24" s="97">
        <f>'1. Datos y Costos del Contrato'!$B$27*C$11</f>
        <v>28189362.108444717</v>
      </c>
      <c r="D24" s="97">
        <f>'1. Datos y Costos del Contrato'!$B$27*D$11</f>
        <v>13042492.760224678</v>
      </c>
      <c r="E24" s="97">
        <f>'1. Datos y Costos del Contrato'!$B$27*E$11</f>
        <v>7302350.974077547</v>
      </c>
      <c r="F24" s="97">
        <f>'1. Datos y Costos del Contrato'!$B$27*F$11</f>
        <v>9037111.3485939968</v>
      </c>
      <c r="G24" s="97">
        <f>'1. Datos y Costos del Contrato'!$B$27*G$11</f>
        <v>10978282.072429948</v>
      </c>
      <c r="H24" s="97">
        <f>'1. Datos y Costos del Contrato'!$B$27*H$11</f>
        <v>21668489.885569215</v>
      </c>
      <c r="I24" s="97">
        <f>'1. Datos y Costos del Contrato'!$B$27*I$11</f>
        <v>12922160.586664373</v>
      </c>
      <c r="J24" s="97">
        <f>'1. Datos y Costos del Contrato'!$B$27*J$11</f>
        <v>8692009.5925631486</v>
      </c>
      <c r="K24" s="97">
        <f>'1. Datos y Costos del Contrato'!$B$27*K$11</f>
        <v>52233019.239707358</v>
      </c>
      <c r="L24" s="97">
        <f>'1. Datos y Costos del Contrato'!$B$27*L$11</f>
        <v>68125537.752609298</v>
      </c>
      <c r="M24" s="97">
        <f>'1. Datos y Costos del Contrato'!$B$27*M$11</f>
        <v>82838043.803182036</v>
      </c>
      <c r="N24" s="97">
        <f>'1. Datos y Costos del Contrato'!$B$27*N$11</f>
        <v>79282297.981957689</v>
      </c>
      <c r="O24" s="97">
        <f>'1. Datos y Costos del Contrato'!$B$27*O$11</f>
        <v>32609173.036482226</v>
      </c>
      <c r="P24" s="97">
        <f>'1. Datos y Costos del Contrato'!$B$27*P$11</f>
        <v>97248205.973006368</v>
      </c>
      <c r="Q24" s="97">
        <f>'1. Datos y Costos del Contrato'!$B$27*Q$11</f>
        <v>154011984.87345317</v>
      </c>
      <c r="R24" s="97">
        <f>'1. Datos y Costos del Contrato'!$B$27*R$11</f>
        <v>139604133.59910405</v>
      </c>
      <c r="S24" s="97">
        <f>'1. Datos y Costos del Contrato'!$B$27*S$11</f>
        <v>83903713.379796684</v>
      </c>
      <c r="T24" s="97">
        <f>'1. Datos y Costos del Contrato'!$B$27*T$11</f>
        <v>34098230.710885733</v>
      </c>
      <c r="U24" s="97">
        <f>'1. Datos y Costos del Contrato'!$B$27*U$11</f>
        <v>21499419.566523548</v>
      </c>
      <c r="V24" s="97">
        <f>'1. Datos y Costos del Contrato'!$B$27*V$11</f>
        <v>15397274.048595438</v>
      </c>
      <c r="W24" s="97">
        <f t="shared" si="2"/>
        <v>996658469.99999976</v>
      </c>
    </row>
    <row r="25" spans="1:23" s="100" customFormat="1" ht="24" x14ac:dyDescent="0.25">
      <c r="A25" s="99" t="s">
        <v>101</v>
      </c>
      <c r="B25" s="92">
        <f t="shared" ref="B25:V25" si="5">SUM(B15:B24)</f>
        <v>67842635.605861872</v>
      </c>
      <c r="C25" s="92">
        <f t="shared" si="5"/>
        <v>79767529.763233989</v>
      </c>
      <c r="D25" s="92">
        <f t="shared" si="5"/>
        <v>36906384.239405051</v>
      </c>
      <c r="E25" s="92">
        <f t="shared" si="5"/>
        <v>20663486.333087835</v>
      </c>
      <c r="F25" s="92">
        <f t="shared" si="5"/>
        <v>25572343.414492525</v>
      </c>
      <c r="G25" s="92">
        <f t="shared" si="5"/>
        <v>31065280.533588115</v>
      </c>
      <c r="H25" s="92">
        <f t="shared" si="5"/>
        <v>61315396.397483081</v>
      </c>
      <c r="I25" s="92">
        <f t="shared" si="5"/>
        <v>36565879.895992793</v>
      </c>
      <c r="J25" s="92">
        <f t="shared" si="5"/>
        <v>24595807.851550914</v>
      </c>
      <c r="K25" s="92">
        <f t="shared" si="5"/>
        <v>4618396313.0315619</v>
      </c>
      <c r="L25" s="92">
        <f t="shared" si="5"/>
        <v>701701752.44650078</v>
      </c>
      <c r="M25" s="92">
        <f t="shared" si="5"/>
        <v>853242446.56999373</v>
      </c>
      <c r="N25" s="92">
        <f t="shared" si="5"/>
        <v>816617809.81383288</v>
      </c>
      <c r="O25" s="92">
        <f t="shared" si="5"/>
        <v>335878653.15095222</v>
      </c>
      <c r="P25" s="92">
        <f t="shared" si="5"/>
        <v>1001668960.0504942</v>
      </c>
      <c r="Q25" s="92">
        <f t="shared" si="5"/>
        <v>1586343143.094336</v>
      </c>
      <c r="R25" s="92">
        <f t="shared" si="5"/>
        <v>1437940432.1328053</v>
      </c>
      <c r="S25" s="92">
        <f t="shared" si="5"/>
        <v>864218979.51355624</v>
      </c>
      <c r="T25" s="92">
        <f t="shared" si="5"/>
        <v>351216137.65518034</v>
      </c>
      <c r="U25" s="92">
        <f t="shared" si="5"/>
        <v>221446771.41773236</v>
      </c>
      <c r="V25" s="92">
        <f t="shared" si="5"/>
        <v>158593892.08835462</v>
      </c>
      <c r="W25" s="92">
        <f t="shared" si="2"/>
        <v>13331560034.999996</v>
      </c>
    </row>
    <row r="26" spans="1:23" s="98" customFormat="1" ht="12.75" x14ac:dyDescent="0.25">
      <c r="A26" s="101"/>
      <c r="B26" s="102"/>
      <c r="C26" s="102"/>
      <c r="D26" s="102"/>
      <c r="E26" s="102"/>
      <c r="F26" s="102"/>
      <c r="G26" s="102"/>
      <c r="H26" s="102"/>
      <c r="I26" s="102"/>
      <c r="J26" s="102"/>
      <c r="K26" s="102"/>
      <c r="L26" s="102"/>
      <c r="M26" s="102"/>
      <c r="N26" s="102"/>
      <c r="O26" s="102"/>
      <c r="P26" s="102"/>
      <c r="Q26" s="102"/>
      <c r="R26" s="102"/>
      <c r="S26" s="102"/>
      <c r="T26" s="102"/>
      <c r="U26" s="102"/>
      <c r="V26" s="102"/>
      <c r="W26" s="102"/>
    </row>
    <row r="27" spans="1:23" s="95" customFormat="1" ht="48" x14ac:dyDescent="0.25">
      <c r="A27" s="80" t="s">
        <v>102</v>
      </c>
      <c r="B27" s="103"/>
      <c r="C27" s="103"/>
      <c r="D27" s="103"/>
      <c r="E27" s="103"/>
      <c r="F27" s="103"/>
      <c r="G27" s="103"/>
      <c r="H27" s="103"/>
      <c r="I27" s="103"/>
      <c r="J27" s="103"/>
      <c r="K27" s="103"/>
      <c r="L27" s="103"/>
      <c r="M27" s="103"/>
      <c r="N27" s="103"/>
      <c r="O27" s="103"/>
      <c r="P27" s="103"/>
      <c r="Q27" s="103"/>
      <c r="R27" s="103"/>
      <c r="S27" s="103"/>
      <c r="T27" s="103"/>
      <c r="U27" s="103"/>
      <c r="V27" s="103"/>
      <c r="W27" s="103"/>
    </row>
    <row r="28" spans="1:23" s="98" customFormat="1" ht="48" x14ac:dyDescent="0.25">
      <c r="A28" s="96" t="s">
        <v>103</v>
      </c>
      <c r="B28" s="97">
        <v>0</v>
      </c>
      <c r="C28" s="97">
        <v>0</v>
      </c>
      <c r="D28" s="97">
        <v>0</v>
      </c>
      <c r="E28" s="97">
        <v>0</v>
      </c>
      <c r="F28" s="97">
        <v>0</v>
      </c>
      <c r="G28" s="97">
        <v>0</v>
      </c>
      <c r="H28" s="97">
        <v>0</v>
      </c>
      <c r="I28" s="97">
        <v>0</v>
      </c>
      <c r="J28" s="97">
        <v>0</v>
      </c>
      <c r="K28" s="97">
        <f>'1. Datos y Costos del Contrato'!$B$16*K$12</f>
        <v>618954547.95815659</v>
      </c>
      <c r="L28" s="97">
        <f>'1. Datos y Costos del Contrato'!$B$16*L$12</f>
        <v>807278844.64349926</v>
      </c>
      <c r="M28" s="97">
        <f>'1. Datos y Costos del Contrato'!$B$16*M$12</f>
        <v>981620145.69050562</v>
      </c>
      <c r="N28" s="97">
        <f>'1. Datos y Costos del Contrato'!$B$16*N$12</f>
        <v>939485015.85376525</v>
      </c>
      <c r="O28" s="97">
        <f>'1. Datos y Costos del Contrato'!$B$16*O$12</f>
        <v>386414498.91033036</v>
      </c>
      <c r="P28" s="97">
        <f>'1. Datos y Costos del Contrato'!$B$16*P$12</f>
        <v>1152378710.7065399</v>
      </c>
      <c r="Q28" s="97">
        <f>'1. Datos y Costos del Contrato'!$B$16*Q$12</f>
        <v>1825022176.8727446</v>
      </c>
      <c r="R28" s="97">
        <f>'1. Datos y Costos del Contrato'!$B$16*R$12</f>
        <v>1654290995.6703408</v>
      </c>
      <c r="S28" s="97">
        <f>'1. Datos y Costos del Contrato'!$B$16*S$12</f>
        <v>994248192.86578441</v>
      </c>
      <c r="T28" s="97">
        <f>'1. Datos y Costos del Contrato'!$B$16*T$12</f>
        <v>404059640.49240851</v>
      </c>
      <c r="U28" s="97">
        <f>'1. Datos y Costos del Contrato'!$B$16*U$12</f>
        <v>254765351.7421844</v>
      </c>
      <c r="V28" s="97">
        <f>'1. Datos y Costos del Contrato'!$B$16*V$12</f>
        <v>182455713.59373787</v>
      </c>
      <c r="W28" s="97">
        <f t="shared" ref="W28:W36" si="6">SUM(B28:V28)</f>
        <v>10200973834.999996</v>
      </c>
    </row>
    <row r="29" spans="1:23" s="98" customFormat="1" ht="24" x14ac:dyDescent="0.25">
      <c r="A29" s="96" t="s">
        <v>95</v>
      </c>
      <c r="B29" s="75">
        <v>0</v>
      </c>
      <c r="C29" s="75">
        <v>0</v>
      </c>
      <c r="D29" s="75">
        <v>0</v>
      </c>
      <c r="E29" s="75">
        <v>0</v>
      </c>
      <c r="F29" s="75">
        <v>0</v>
      </c>
      <c r="G29" s="75">
        <v>0</v>
      </c>
      <c r="H29" s="75">
        <v>0</v>
      </c>
      <c r="I29" s="75">
        <v>0</v>
      </c>
      <c r="J29" s="75">
        <v>0</v>
      </c>
      <c r="K29" s="75">
        <f>'1. Datos y Costos del Contrato'!$B$19*K$12</f>
        <v>49287287.157597199</v>
      </c>
      <c r="L29" s="75">
        <f>'1. Datos y Costos del Contrato'!$B$19*L$12</f>
        <v>64283531.583141848</v>
      </c>
      <c r="M29" s="75">
        <f>'1. Datos y Costos del Contrato'!$B$19*M$12</f>
        <v>78166311.500470772</v>
      </c>
      <c r="N29" s="75">
        <f>'1. Datos y Costos del Contrato'!$B$19*N$12</f>
        <v>74811095.43406187</v>
      </c>
      <c r="O29" s="75">
        <f>'1. Datos y Costos del Contrato'!$B$19*O$12</f>
        <v>30770146.907362264</v>
      </c>
      <c r="P29" s="75">
        <f>'1. Datos y Costos del Contrato'!$B$19*P$12</f>
        <v>91763798.515193343</v>
      </c>
      <c r="Q29" s="75">
        <f>'1. Datos y Costos del Contrato'!$B$19*Q$12</f>
        <v>145326328.72194526</v>
      </c>
      <c r="R29" s="75">
        <f>'1. Datos y Costos del Contrato'!$B$19*R$12</f>
        <v>131731022.27749288</v>
      </c>
      <c r="S29" s="75">
        <f>'1. Datos y Costos del Contrato'!$B$19*S$12</f>
        <v>79171881.601572484</v>
      </c>
      <c r="T29" s="75">
        <f>'1. Datos y Costos del Contrato'!$B$19*T$12</f>
        <v>32175227.721391827</v>
      </c>
      <c r="U29" s="75">
        <f>'1. Datos y Costos del Contrato'!$B$19*U$12</f>
        <v>20286938.823773164</v>
      </c>
      <c r="V29" s="75">
        <f>'1. Datos y Costos del Contrato'!$B$19*V$12</f>
        <v>14528929.755996894</v>
      </c>
      <c r="W29" s="75">
        <f t="shared" si="6"/>
        <v>812302499.99999988</v>
      </c>
    </row>
    <row r="30" spans="1:23" s="98" customFormat="1" ht="36" x14ac:dyDescent="0.25">
      <c r="A30" s="96" t="s">
        <v>96</v>
      </c>
      <c r="B30" s="75">
        <v>0</v>
      </c>
      <c r="C30" s="75">
        <v>0</v>
      </c>
      <c r="D30" s="75">
        <v>0</v>
      </c>
      <c r="E30" s="75">
        <v>0</v>
      </c>
      <c r="F30" s="75">
        <v>0</v>
      </c>
      <c r="G30" s="75">
        <v>0</v>
      </c>
      <c r="H30" s="75">
        <v>0</v>
      </c>
      <c r="I30" s="75">
        <v>0</v>
      </c>
      <c r="J30" s="75">
        <v>0</v>
      </c>
      <c r="K30" s="75">
        <f>'1. Datos y Costos del Contrato'!$B$20*K$12</f>
        <v>28655194.525450926</v>
      </c>
      <c r="L30" s="75">
        <f>'1. Datos y Costos del Contrato'!$B$20*L$12</f>
        <v>37373878.915426597</v>
      </c>
      <c r="M30" s="75">
        <f>'1. Datos y Costos del Contrato'!$B$20*M$12</f>
        <v>45445204.850105561</v>
      </c>
      <c r="N30" s="75">
        <f>'1. Datos y Costos del Contrato'!$B$20*N$12</f>
        <v>43494511.789023884</v>
      </c>
      <c r="O30" s="75">
        <f>'1. Datos y Costos del Contrato'!$B$20*O$12</f>
        <v>17889492.322590895</v>
      </c>
      <c r="P30" s="75">
        <f>'1. Datos y Costos del Contrato'!$B$20*P$12</f>
        <v>53350664.004680052</v>
      </c>
      <c r="Q30" s="75">
        <f>'1. Datos y Costos del Contrato'!$B$20*Q$12</f>
        <v>84491447.173413143</v>
      </c>
      <c r="R30" s="75">
        <f>'1. Datos y Costos del Contrato'!$B$20*R$12</f>
        <v>76587255.783182606</v>
      </c>
      <c r="S30" s="75">
        <f>'1. Datos y Costos del Contrato'!$B$20*S$12</f>
        <v>46029834.447671182</v>
      </c>
      <c r="T30" s="75">
        <f>'1. Datos y Costos del Contrato'!$B$20*T$12</f>
        <v>18706393.928906832</v>
      </c>
      <c r="U30" s="75">
        <f>'1. Datos y Costos del Contrato'!$B$20*U$12</f>
        <v>11794647.501339225</v>
      </c>
      <c r="V30" s="75">
        <f>'1. Datos y Costos del Contrato'!$B$20*V$12</f>
        <v>8446991.7582089882</v>
      </c>
      <c r="W30" s="75">
        <f t="shared" si="6"/>
        <v>472265516.99999988</v>
      </c>
    </row>
    <row r="31" spans="1:23" s="98" customFormat="1" ht="24" x14ac:dyDescent="0.25">
      <c r="A31" s="96" t="s">
        <v>104</v>
      </c>
      <c r="B31" s="75">
        <v>0</v>
      </c>
      <c r="C31" s="75">
        <v>0</v>
      </c>
      <c r="D31" s="75">
        <v>0</v>
      </c>
      <c r="E31" s="75">
        <v>0</v>
      </c>
      <c r="F31" s="75">
        <v>0</v>
      </c>
      <c r="G31" s="75">
        <v>0</v>
      </c>
      <c r="H31" s="75">
        <v>0</v>
      </c>
      <c r="I31" s="75">
        <v>0</v>
      </c>
      <c r="J31" s="75">
        <v>0</v>
      </c>
      <c r="K31" s="75">
        <f>'1. Datos y Costos del Contrato'!$B$21*K$12</f>
        <v>15546256.697226912</v>
      </c>
      <c r="L31" s="75">
        <f>'1. Datos y Costos del Contrato'!$B$21*L$12</f>
        <v>20276390.546720788</v>
      </c>
      <c r="M31" s="75">
        <f>'1. Datos y Costos del Contrato'!$B$21*M$12</f>
        <v>24655314.052406866</v>
      </c>
      <c r="N31" s="75">
        <f>'1. Datos y Costos del Contrato'!$B$21*N$12</f>
        <v>23597007.676641721</v>
      </c>
      <c r="O31" s="75">
        <f>'1. Datos y Costos del Contrato'!$B$21*O$12</f>
        <v>9705557.5589637924</v>
      </c>
      <c r="P31" s="75">
        <f>'1. Datos y Costos del Contrato'!$B$21*P$12</f>
        <v>28944250.12008214</v>
      </c>
      <c r="Q31" s="75">
        <f>'1. Datos y Costos del Contrato'!$B$21*Q$12</f>
        <v>45839009.23483254</v>
      </c>
      <c r="R31" s="75">
        <f>'1. Datos y Costos del Contrato'!$B$21*R$12</f>
        <v>41550760.965312168</v>
      </c>
      <c r="S31" s="75">
        <f>'1. Datos y Costos del Contrato'!$B$21*S$12</f>
        <v>24972492.209703237</v>
      </c>
      <c r="T31" s="75">
        <f>'1. Datos y Costos del Contrato'!$B$21*T$12</f>
        <v>10148749.876394579</v>
      </c>
      <c r="U31" s="75">
        <f>'1. Datos y Costos del Contrato'!$B$21*U$12</f>
        <v>6398931.1796947271</v>
      </c>
      <c r="V31" s="75">
        <f>'1. Datos y Costos del Contrato'!$B$21*V$12</f>
        <v>4582732.8820204735</v>
      </c>
      <c r="W31" s="75">
        <f t="shared" si="6"/>
        <v>256217452.99999994</v>
      </c>
    </row>
    <row r="32" spans="1:23" s="98" customFormat="1" ht="36" x14ac:dyDescent="0.25">
      <c r="A32" s="96" t="s">
        <v>105</v>
      </c>
      <c r="B32" s="75">
        <v>0</v>
      </c>
      <c r="C32" s="75">
        <v>0</v>
      </c>
      <c r="D32" s="75">
        <v>0</v>
      </c>
      <c r="E32" s="75">
        <v>0</v>
      </c>
      <c r="F32" s="75">
        <v>0</v>
      </c>
      <c r="G32" s="75">
        <v>0</v>
      </c>
      <c r="H32" s="75">
        <v>0</v>
      </c>
      <c r="I32" s="75">
        <v>0</v>
      </c>
      <c r="J32" s="75">
        <v>0</v>
      </c>
      <c r="K32" s="75">
        <f>'1. Datos y Costos del Contrato'!$B$24*K$12</f>
        <v>19728852.388787292</v>
      </c>
      <c r="L32" s="75">
        <f>'1. Datos y Costos del Contrato'!$B$24*L$12</f>
        <v>25731590.817293812</v>
      </c>
      <c r="M32" s="75">
        <f>'1. Datos y Costos del Contrato'!$B$24*M$12</f>
        <v>31288628.575513884</v>
      </c>
      <c r="N32" s="75">
        <f>'1. Datos y Costos del Contrato'!$B$24*N$12</f>
        <v>29945593.356411438</v>
      </c>
      <c r="O32" s="75">
        <f>'1. Datos y Costos del Contrato'!$B$24*O$12</f>
        <v>12316759.986719558</v>
      </c>
      <c r="P32" s="75">
        <f>'1. Datos y Costos del Contrato'!$B$24*P$12</f>
        <v>36731468.49717842</v>
      </c>
      <c r="Q32" s="75">
        <f>'1. Datos y Costos del Contrato'!$B$24*Q$12</f>
        <v>58171627.064641461</v>
      </c>
      <c r="R32" s="75">
        <f>'1. Datos y Costos del Contrato'!$B$24*R$12</f>
        <v>52729659.987709619</v>
      </c>
      <c r="S32" s="75">
        <f>'1. Datos y Costos del Contrato'!$B$24*S$12</f>
        <v>31691140.972428303</v>
      </c>
      <c r="T32" s="75">
        <f>'1. Datos y Costos del Contrato'!$B$24*T$12</f>
        <v>12879189.642985055</v>
      </c>
      <c r="U32" s="75">
        <f>'1. Datos y Costos del Contrato'!$B$24*U$12</f>
        <v>8120512.2975181984</v>
      </c>
      <c r="V32" s="75">
        <f>'1. Datos y Costos del Contrato'!$B$24*V$12</f>
        <v>5815680.4128128849</v>
      </c>
      <c r="W32" s="75">
        <f t="shared" si="6"/>
        <v>325150703.99999994</v>
      </c>
    </row>
    <row r="33" spans="1:23" s="98" customFormat="1" ht="36" x14ac:dyDescent="0.25">
      <c r="A33" s="96" t="s">
        <v>99</v>
      </c>
      <c r="B33" s="75">
        <v>0</v>
      </c>
      <c r="C33" s="75">
        <v>0</v>
      </c>
      <c r="D33" s="75">
        <v>0</v>
      </c>
      <c r="E33" s="75">
        <v>0</v>
      </c>
      <c r="F33" s="75">
        <v>0</v>
      </c>
      <c r="G33" s="75">
        <v>0</v>
      </c>
      <c r="H33" s="75">
        <v>0</v>
      </c>
      <c r="I33" s="75">
        <v>0</v>
      </c>
      <c r="J33" s="75">
        <v>0</v>
      </c>
      <c r="K33" s="75">
        <f>'1. Datos y Costos del Contrato'!$B$25*K$12</f>
        <v>1183440.2478990164</v>
      </c>
      <c r="L33" s="75">
        <f>'1. Datos y Costos del Contrato'!$B$25*L$12</f>
        <v>1543516.0452090583</v>
      </c>
      <c r="M33" s="75">
        <f>'1. Datos y Costos del Contrato'!$B$25*M$12</f>
        <v>1876856.3740114479</v>
      </c>
      <c r="N33" s="75">
        <f>'1. Datos y Costos del Contrato'!$B$25*N$12</f>
        <v>1796294.0634771043</v>
      </c>
      <c r="O33" s="75">
        <f>'1. Datos y Costos del Contrato'!$B$25*O$12</f>
        <v>738823.99263528874</v>
      </c>
      <c r="P33" s="75">
        <f>'1. Datos y Costos del Contrato'!$B$25*P$12</f>
        <v>2203346.5164299789</v>
      </c>
      <c r="Q33" s="75">
        <f>'1. Datos y Costos del Contrato'!$B$25*Q$12</f>
        <v>3489439.9024037761</v>
      </c>
      <c r="R33" s="75">
        <f>'1. Datos y Costos del Contrato'!$B$25*R$12</f>
        <v>3163002.1177993985</v>
      </c>
      <c r="S33" s="75">
        <f>'1. Datos y Costos del Contrato'!$B$25*S$12</f>
        <v>1901001.1829136398</v>
      </c>
      <c r="T33" s="75">
        <f>'1. Datos y Costos del Contrato'!$B$25*T$12</f>
        <v>772561.47917124606</v>
      </c>
      <c r="U33" s="75">
        <f>'1. Datos y Costos del Contrato'!$B$25*U$12</f>
        <v>487111.00357280707</v>
      </c>
      <c r="V33" s="75">
        <f>'1. Datos y Costos del Contrato'!$B$25*V$12</f>
        <v>348855.07447723346</v>
      </c>
      <c r="W33" s="75">
        <f t="shared" si="6"/>
        <v>19504247.999999993</v>
      </c>
    </row>
    <row r="34" spans="1:23" s="98" customFormat="1" ht="24" x14ac:dyDescent="0.25">
      <c r="A34" s="96" t="s">
        <v>106</v>
      </c>
      <c r="B34" s="97">
        <f>IF(B$10="Preoper.",'1. Datos y Costos del Contrato'!$B$26*B$11/SUM($B$11:$J$11),0)</f>
        <v>43867458.899733305</v>
      </c>
      <c r="C34" s="97">
        <f>IF(C$10="Preoper.",'1. Datos y Costos del Contrato'!$B$26*C$11/SUM($B$11:$J$11),0)</f>
        <v>51578167.654789276</v>
      </c>
      <c r="D34" s="97">
        <f>IF(D$10="Preoper.",'1. Datos y Costos del Contrato'!$B$26*D$11/SUM($B$11:$J$11),0)</f>
        <v>23863891.47918037</v>
      </c>
      <c r="E34" s="97">
        <f>IF(E$10="Preoper.",'1. Datos y Costos del Contrato'!$B$26*E$11/SUM($B$11:$J$11),0)</f>
        <v>13361135.359010288</v>
      </c>
      <c r="F34" s="97">
        <f>IF(F$10="Preoper.",'1. Datos y Costos del Contrato'!$B$26*F$11/SUM($B$11:$J$11),0)</f>
        <v>16535232.065898526</v>
      </c>
      <c r="G34" s="97">
        <f>IF(G$10="Preoper.",'1. Datos y Costos del Contrato'!$B$26*G$11/SUM($B$11:$J$11),0)</f>
        <v>20086998.461158168</v>
      </c>
      <c r="H34" s="97">
        <f>IF(H$10="Preoper.",'1. Datos y Costos del Contrato'!$B$26*H$11/SUM($B$11:$J$11),0)</f>
        <v>39646906.511913866</v>
      </c>
      <c r="I34" s="97">
        <f>IF(I$10="Preoper.",'1. Datos y Costos del Contrato'!$B$26*I$11/SUM($B$11:$J$11),0)</f>
        <v>23643719.309328422</v>
      </c>
      <c r="J34" s="97">
        <f>IF(J$10="Preoper.",'1. Datos y Costos del Contrato'!$B$26*J$11/SUM($B$11:$J$11),0)</f>
        <v>15903798.258987768</v>
      </c>
      <c r="K34" s="97">
        <v>0</v>
      </c>
      <c r="L34" s="97">
        <v>0</v>
      </c>
      <c r="M34" s="97">
        <v>0</v>
      </c>
      <c r="N34" s="97">
        <v>0</v>
      </c>
      <c r="O34" s="97">
        <v>0</v>
      </c>
      <c r="P34" s="97">
        <v>0</v>
      </c>
      <c r="Q34" s="97">
        <v>0</v>
      </c>
      <c r="R34" s="97">
        <v>0</v>
      </c>
      <c r="S34" s="97">
        <v>0</v>
      </c>
      <c r="T34" s="97">
        <v>0</v>
      </c>
      <c r="U34" s="97">
        <v>0</v>
      </c>
      <c r="V34" s="97">
        <v>0</v>
      </c>
      <c r="W34" s="97">
        <f t="shared" si="6"/>
        <v>248487307.99999997</v>
      </c>
    </row>
    <row r="35" spans="1:23" s="98" customFormat="1" ht="24" x14ac:dyDescent="0.25">
      <c r="A35" s="96" t="s">
        <v>107</v>
      </c>
      <c r="B35" s="97">
        <f>'1. Datos y Costos del Contrato'!$B$27*B$11</f>
        <v>23975176.706128567</v>
      </c>
      <c r="C35" s="97">
        <f>'1. Datos y Costos del Contrato'!$B$27*C$11</f>
        <v>28189362.108444717</v>
      </c>
      <c r="D35" s="97">
        <f>'1. Datos y Costos del Contrato'!$B$27*D$11</f>
        <v>13042492.760224678</v>
      </c>
      <c r="E35" s="97">
        <f>'1. Datos y Costos del Contrato'!$B$27*E$11</f>
        <v>7302350.974077547</v>
      </c>
      <c r="F35" s="97">
        <f>'1. Datos y Costos del Contrato'!$B$27*F$11</f>
        <v>9037111.3485939968</v>
      </c>
      <c r="G35" s="97">
        <f>'1. Datos y Costos del Contrato'!$B$27*G$11</f>
        <v>10978282.072429948</v>
      </c>
      <c r="H35" s="97">
        <f>'1. Datos y Costos del Contrato'!$B$27*H$11</f>
        <v>21668489.885569215</v>
      </c>
      <c r="I35" s="97">
        <f>'1. Datos y Costos del Contrato'!$B$27*I$11</f>
        <v>12922160.586664373</v>
      </c>
      <c r="J35" s="97">
        <f>'1. Datos y Costos del Contrato'!$B$27*J$11</f>
        <v>8692009.5925631486</v>
      </c>
      <c r="K35" s="97">
        <f>'1. Datos y Costos del Contrato'!$B$27*K$11</f>
        <v>52233019.239707358</v>
      </c>
      <c r="L35" s="97">
        <f>'1. Datos y Costos del Contrato'!$B$27*L$11</f>
        <v>68125537.752609298</v>
      </c>
      <c r="M35" s="97">
        <f>'1. Datos y Costos del Contrato'!$B$27*M$11</f>
        <v>82838043.803182036</v>
      </c>
      <c r="N35" s="97">
        <f>'1. Datos y Costos del Contrato'!$B$27*N$11</f>
        <v>79282297.981957689</v>
      </c>
      <c r="O35" s="97">
        <f>'1. Datos y Costos del Contrato'!$B$27*O$11</f>
        <v>32609173.036482226</v>
      </c>
      <c r="P35" s="97">
        <f>'1. Datos y Costos del Contrato'!$B$27*P$11</f>
        <v>97248205.973006368</v>
      </c>
      <c r="Q35" s="97">
        <f>'1. Datos y Costos del Contrato'!$B$27*Q$11</f>
        <v>154011984.87345317</v>
      </c>
      <c r="R35" s="97">
        <f>'1. Datos y Costos del Contrato'!$B$27*R$11</f>
        <v>139604133.59910405</v>
      </c>
      <c r="S35" s="97">
        <f>'1. Datos y Costos del Contrato'!$B$27*S$11</f>
        <v>83903713.379796684</v>
      </c>
      <c r="T35" s="97">
        <f>'1. Datos y Costos del Contrato'!$B$27*T$11</f>
        <v>34098230.710885733</v>
      </c>
      <c r="U35" s="97">
        <f>'1. Datos y Costos del Contrato'!$B$27*U$11</f>
        <v>21499419.566523548</v>
      </c>
      <c r="V35" s="97">
        <f>'1. Datos y Costos del Contrato'!$B$27*V$11</f>
        <v>15397274.048595438</v>
      </c>
      <c r="W35" s="97">
        <f t="shared" si="6"/>
        <v>996658469.99999976</v>
      </c>
    </row>
    <row r="36" spans="1:23" s="100" customFormat="1" ht="24" x14ac:dyDescent="0.25">
      <c r="A36" s="99" t="s">
        <v>108</v>
      </c>
      <c r="B36" s="92">
        <f t="shared" ref="B36:V36" si="7">SUM(B28:B35)</f>
        <v>67842635.605861872</v>
      </c>
      <c r="C36" s="92">
        <f t="shared" si="7"/>
        <v>79767529.763233989</v>
      </c>
      <c r="D36" s="92">
        <f t="shared" si="7"/>
        <v>36906384.239405051</v>
      </c>
      <c r="E36" s="92">
        <f t="shared" si="7"/>
        <v>20663486.333087835</v>
      </c>
      <c r="F36" s="92">
        <f t="shared" si="7"/>
        <v>25572343.414492525</v>
      </c>
      <c r="G36" s="92">
        <f t="shared" si="7"/>
        <v>31065280.533588115</v>
      </c>
      <c r="H36" s="92">
        <f t="shared" si="7"/>
        <v>61315396.397483081</v>
      </c>
      <c r="I36" s="92">
        <f t="shared" si="7"/>
        <v>36565879.895992793</v>
      </c>
      <c r="J36" s="92">
        <f t="shared" si="7"/>
        <v>24595807.851550914</v>
      </c>
      <c r="K36" s="92">
        <f t="shared" si="7"/>
        <v>785588598.21482527</v>
      </c>
      <c r="L36" s="92">
        <f t="shared" si="7"/>
        <v>1024613290.3039005</v>
      </c>
      <c r="M36" s="92">
        <f t="shared" si="7"/>
        <v>1245890504.8461962</v>
      </c>
      <c r="N36" s="92">
        <f t="shared" si="7"/>
        <v>1192411816.155339</v>
      </c>
      <c r="O36" s="92">
        <f t="shared" si="7"/>
        <v>490444452.71508437</v>
      </c>
      <c r="P36" s="92">
        <f t="shared" si="7"/>
        <v>1462620444.3331099</v>
      </c>
      <c r="Q36" s="92">
        <f t="shared" si="7"/>
        <v>2316352013.8434339</v>
      </c>
      <c r="R36" s="92">
        <f t="shared" si="7"/>
        <v>2099656830.4009414</v>
      </c>
      <c r="S36" s="92">
        <f t="shared" si="7"/>
        <v>1261918256.6598699</v>
      </c>
      <c r="T36" s="92">
        <f t="shared" si="7"/>
        <v>512839993.85214376</v>
      </c>
      <c r="U36" s="92">
        <f t="shared" si="7"/>
        <v>323352912.11460602</v>
      </c>
      <c r="V36" s="92">
        <f t="shared" si="7"/>
        <v>231576177.52584976</v>
      </c>
      <c r="W36" s="92">
        <f t="shared" si="6"/>
        <v>13331560034.999998</v>
      </c>
    </row>
    <row r="37" spans="1:23" s="98" customFormat="1" ht="12.75" x14ac:dyDescent="0.25">
      <c r="A37" s="101"/>
      <c r="B37" s="102"/>
      <c r="C37" s="102"/>
      <c r="D37" s="102"/>
      <c r="E37" s="102"/>
      <c r="F37" s="102"/>
      <c r="G37" s="102"/>
      <c r="H37" s="102"/>
      <c r="I37" s="102"/>
      <c r="J37" s="102"/>
      <c r="K37" s="102"/>
      <c r="L37" s="102"/>
      <c r="M37" s="102"/>
      <c r="N37" s="102"/>
      <c r="O37" s="102"/>
      <c r="P37" s="102"/>
      <c r="Q37" s="102"/>
      <c r="R37" s="102"/>
      <c r="S37" s="102"/>
      <c r="T37" s="102"/>
      <c r="U37" s="102"/>
      <c r="V37" s="102"/>
      <c r="W37" s="102"/>
    </row>
    <row r="38" spans="1:23" s="95" customFormat="1" ht="48" x14ac:dyDescent="0.25">
      <c r="A38" s="104" t="s">
        <v>109</v>
      </c>
      <c r="B38" s="103">
        <f t="shared" ref="B38:V38" si="8">B25-B36</f>
        <v>0</v>
      </c>
      <c r="C38" s="103">
        <f t="shared" si="8"/>
        <v>0</v>
      </c>
      <c r="D38" s="103">
        <f t="shared" si="8"/>
        <v>0</v>
      </c>
      <c r="E38" s="103">
        <f t="shared" si="8"/>
        <v>0</v>
      </c>
      <c r="F38" s="103">
        <f t="shared" si="8"/>
        <v>0</v>
      </c>
      <c r="G38" s="103">
        <f t="shared" si="8"/>
        <v>0</v>
      </c>
      <c r="H38" s="103">
        <f t="shared" si="8"/>
        <v>0</v>
      </c>
      <c r="I38" s="103">
        <f t="shared" si="8"/>
        <v>0</v>
      </c>
      <c r="J38" s="103">
        <f t="shared" si="8"/>
        <v>0</v>
      </c>
      <c r="K38" s="103">
        <f t="shared" si="8"/>
        <v>3832807714.8167367</v>
      </c>
      <c r="L38" s="103">
        <f t="shared" si="8"/>
        <v>-322911537.8573997</v>
      </c>
      <c r="M38" s="103">
        <f t="shared" si="8"/>
        <v>-392648058.27620244</v>
      </c>
      <c r="N38" s="103">
        <f t="shared" si="8"/>
        <v>-375794006.34150612</v>
      </c>
      <c r="O38" s="103">
        <f t="shared" si="8"/>
        <v>-154565799.56413215</v>
      </c>
      <c r="P38" s="103">
        <f t="shared" si="8"/>
        <v>-460951484.28261566</v>
      </c>
      <c r="Q38" s="103">
        <f t="shared" si="8"/>
        <v>-730008870.74909782</v>
      </c>
      <c r="R38" s="103">
        <f t="shared" si="8"/>
        <v>-661716398.26813602</v>
      </c>
      <c r="S38" s="103">
        <f t="shared" si="8"/>
        <v>-397699277.14631367</v>
      </c>
      <c r="T38" s="103">
        <f t="shared" si="8"/>
        <v>-161623856.19696343</v>
      </c>
      <c r="U38" s="103">
        <f t="shared" si="8"/>
        <v>-101906140.69687366</v>
      </c>
      <c r="V38" s="103">
        <f t="shared" si="8"/>
        <v>-72982285.437495142</v>
      </c>
      <c r="W38" s="103">
        <f>ROUND(SUM(B38:V38),0)</f>
        <v>0</v>
      </c>
    </row>
    <row r="39" spans="1:23" s="100" customFormat="1" ht="24" x14ac:dyDescent="0.25">
      <c r="A39" s="99" t="s">
        <v>110</v>
      </c>
      <c r="B39" s="92">
        <f>B38</f>
        <v>0</v>
      </c>
      <c r="C39" s="92">
        <f t="shared" ref="C39:U39" si="9">C13+C38</f>
        <v>0</v>
      </c>
      <c r="D39" s="92">
        <f t="shared" si="9"/>
        <v>0</v>
      </c>
      <c r="E39" s="92">
        <f t="shared" si="9"/>
        <v>0</v>
      </c>
      <c r="F39" s="92">
        <f t="shared" si="9"/>
        <v>0</v>
      </c>
      <c r="G39" s="92">
        <f t="shared" si="9"/>
        <v>0</v>
      </c>
      <c r="H39" s="92">
        <f t="shared" si="9"/>
        <v>0</v>
      </c>
      <c r="I39" s="92">
        <f t="shared" si="9"/>
        <v>0</v>
      </c>
      <c r="J39" s="92">
        <f t="shared" si="9"/>
        <v>0</v>
      </c>
      <c r="K39" s="92">
        <f t="shared" si="9"/>
        <v>3832807714.8167367</v>
      </c>
      <c r="L39" s="92">
        <f t="shared" si="9"/>
        <v>3509896176.9593372</v>
      </c>
      <c r="M39" s="92">
        <f t="shared" si="9"/>
        <v>3117248118.683135</v>
      </c>
      <c r="N39" s="92">
        <f t="shared" si="9"/>
        <v>2741454112.341629</v>
      </c>
      <c r="O39" s="92">
        <f t="shared" si="9"/>
        <v>2586888312.7774968</v>
      </c>
      <c r="P39" s="92">
        <f t="shared" si="9"/>
        <v>2125936828.4948812</v>
      </c>
      <c r="Q39" s="92">
        <f t="shared" si="9"/>
        <v>1395927957.7457833</v>
      </c>
      <c r="R39" s="92">
        <f t="shared" si="9"/>
        <v>734211559.4776473</v>
      </c>
      <c r="S39" s="92">
        <f t="shared" si="9"/>
        <v>336512282.33133364</v>
      </c>
      <c r="T39" s="92">
        <f t="shared" si="9"/>
        <v>174888426.13437021</v>
      </c>
      <c r="U39" s="92">
        <f t="shared" si="9"/>
        <v>72982285.437496543</v>
      </c>
      <c r="V39" s="92">
        <f>ROUND(V13+V38,0)</f>
        <v>0</v>
      </c>
      <c r="W39" s="92"/>
    </row>
  </sheetData>
  <mergeCells count="1">
    <mergeCell ref="A1:W1"/>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EB4E3"/>
  </sheetPr>
  <dimension ref="A1:D159"/>
  <sheetViews>
    <sheetView showGridLines="0" zoomScaleNormal="100" workbookViewId="0">
      <selection activeCell="I18" sqref="I18"/>
    </sheetView>
  </sheetViews>
  <sheetFormatPr baseColWidth="10" defaultColWidth="8.7109375" defaultRowHeight="15" x14ac:dyDescent="0.25"/>
  <cols>
    <col min="1" max="1" width="55" customWidth="1"/>
    <col min="2" max="2" width="24" customWidth="1"/>
    <col min="3" max="3" width="15.42578125" customWidth="1"/>
    <col min="4" max="4" width="40.140625" customWidth="1"/>
  </cols>
  <sheetData>
    <row r="1" spans="1:4" ht="17.25" customHeight="1" x14ac:dyDescent="0.25">
      <c r="A1" s="107" t="s">
        <v>112</v>
      </c>
      <c r="B1" s="107"/>
      <c r="C1" s="107"/>
      <c r="D1" s="107"/>
    </row>
    <row r="3" spans="1:4" ht="15" customHeight="1" x14ac:dyDescent="0.25">
      <c r="A3" s="8" t="s">
        <v>113</v>
      </c>
    </row>
    <row r="4" spans="1:4" ht="6" customHeight="1" x14ac:dyDescent="0.25"/>
    <row r="5" spans="1:4" ht="15" customHeight="1" x14ac:dyDescent="0.25">
      <c r="A5" s="6" t="s">
        <v>114</v>
      </c>
    </row>
    <row r="6" spans="1:4" ht="15" customHeight="1" x14ac:dyDescent="0.25">
      <c r="A6" s="9" t="s">
        <v>115</v>
      </c>
      <c r="B6" s="9"/>
    </row>
    <row r="7" spans="1:4" ht="15" customHeight="1" x14ac:dyDescent="0.25">
      <c r="A7" s="10" t="s">
        <v>116</v>
      </c>
      <c r="B7" s="11">
        <f>'1. Datos y Costos del Contrato'!B16*'1. Datos y Costos del Contrato'!B43</f>
        <v>4080389534</v>
      </c>
    </row>
    <row r="8" spans="1:4" ht="15" customHeight="1" x14ac:dyDescent="0.25">
      <c r="A8" s="10" t="s">
        <v>117</v>
      </c>
      <c r="B8" s="11">
        <f>'1. Datos y Costos del Contrato'!B16*(1-'1. Datos y Costos del Contrato'!B43)</f>
        <v>6120584301</v>
      </c>
      <c r="D8" s="1" t="s">
        <v>118</v>
      </c>
    </row>
    <row r="9" spans="1:4" ht="15" customHeight="1" x14ac:dyDescent="0.25">
      <c r="A9" s="10" t="s">
        <v>119</v>
      </c>
      <c r="B9" s="11">
        <f>'1. Datos y Costos del Contrato'!B26</f>
        <v>248487308</v>
      </c>
    </row>
    <row r="10" spans="1:4" ht="15" customHeight="1" x14ac:dyDescent="0.25">
      <c r="A10" s="10" t="s">
        <v>120</v>
      </c>
      <c r="B10" s="11">
        <f>'1. Datos y Costos del Contrato'!B19+'1. Datos y Costos del Contrato'!B20+'1. Datos y Costos del Contrato'!B21</f>
        <v>1540785470</v>
      </c>
    </row>
    <row r="11" spans="1:4" ht="15" customHeight="1" x14ac:dyDescent="0.25">
      <c r="A11" s="10" t="s">
        <v>121</v>
      </c>
      <c r="B11" s="11">
        <f>'1. Datos y Costos del Contrato'!B24+'1. Datos y Costos del Contrato'!B25</f>
        <v>344654952</v>
      </c>
    </row>
    <row r="12" spans="1:4" ht="15" customHeight="1" x14ac:dyDescent="0.25">
      <c r="A12" s="10" t="s">
        <v>122</v>
      </c>
      <c r="B12" s="11">
        <f>'1. Datos y Costos del Contrato'!B27</f>
        <v>996658470</v>
      </c>
    </row>
    <row r="13" spans="1:4" ht="15" customHeight="1" x14ac:dyDescent="0.25">
      <c r="A13" s="12" t="s">
        <v>123</v>
      </c>
      <c r="B13" s="13">
        <f>SUM(B7:B12)</f>
        <v>13331560035</v>
      </c>
    </row>
    <row r="14" spans="1:4" ht="9.75" customHeight="1" x14ac:dyDescent="0.25"/>
    <row r="15" spans="1:4" ht="15" customHeight="1" x14ac:dyDescent="0.25">
      <c r="A15" s="9" t="s">
        <v>124</v>
      </c>
      <c r="B15" s="9"/>
    </row>
    <row r="16" spans="1:4" ht="15" customHeight="1" x14ac:dyDescent="0.25">
      <c r="A16" s="10" t="s">
        <v>125</v>
      </c>
      <c r="B16" s="14">
        <f>'1. Datos y Costos del Contrato'!B54</f>
        <v>7471708246.6600256</v>
      </c>
      <c r="D16" s="1" t="s">
        <v>126</v>
      </c>
    </row>
    <row r="17" spans="1:4" ht="15" customHeight="1" x14ac:dyDescent="0.25">
      <c r="A17" s="10" t="s">
        <v>127</v>
      </c>
      <c r="B17" s="14">
        <f>'1. Datos y Costos del Contrato'!B55</f>
        <v>2131528928.607172</v>
      </c>
    </row>
    <row r="18" spans="1:4" ht="15" customHeight="1" x14ac:dyDescent="0.25">
      <c r="A18" s="10" t="s">
        <v>128</v>
      </c>
      <c r="B18" s="14">
        <f>'1. Datos y Costos del Contrato'!B56</f>
        <v>74717082.466600254</v>
      </c>
    </row>
    <row r="19" spans="1:4" ht="15" customHeight="1" x14ac:dyDescent="0.25">
      <c r="A19" s="10" t="s">
        <v>129</v>
      </c>
      <c r="B19" s="14">
        <f>'1. Datos y Costos del Contrato'!B19</f>
        <v>812302500</v>
      </c>
    </row>
    <row r="20" spans="1:4" ht="15" customHeight="1" x14ac:dyDescent="0.25">
      <c r="A20" s="10" t="s">
        <v>130</v>
      </c>
      <c r="B20" s="14">
        <f>'1. Datos y Costos del Contrato'!B20</f>
        <v>472265517</v>
      </c>
    </row>
    <row r="21" spans="1:4" ht="15" customHeight="1" x14ac:dyDescent="0.25">
      <c r="A21" s="10" t="s">
        <v>131</v>
      </c>
      <c r="B21" s="14">
        <f>'1. Datos y Costos del Contrato'!B21</f>
        <v>256217453</v>
      </c>
    </row>
    <row r="22" spans="1:4" ht="15" customHeight="1" x14ac:dyDescent="0.25">
      <c r="A22" s="10" t="s">
        <v>132</v>
      </c>
      <c r="B22" s="14">
        <f>'1. Datos y Costos del Contrato'!B26</f>
        <v>248487308</v>
      </c>
    </row>
    <row r="23" spans="1:4" ht="15" customHeight="1" x14ac:dyDescent="0.25">
      <c r="A23" s="10" t="s">
        <v>133</v>
      </c>
      <c r="B23" s="14">
        <f>'1. Datos y Costos del Contrato'!B24</f>
        <v>325150704</v>
      </c>
    </row>
    <row r="24" spans="1:4" ht="15" customHeight="1" x14ac:dyDescent="0.25">
      <c r="A24" s="10" t="s">
        <v>134</v>
      </c>
      <c r="B24" s="14">
        <f>'1. Datos y Costos del Contrato'!B25</f>
        <v>19504248</v>
      </c>
    </row>
    <row r="25" spans="1:4" ht="15" customHeight="1" x14ac:dyDescent="0.25">
      <c r="A25" s="10" t="s">
        <v>135</v>
      </c>
      <c r="B25" s="14">
        <f>'1. Datos y Costos del Contrato'!B27</f>
        <v>996658470</v>
      </c>
    </row>
    <row r="26" spans="1:4" ht="15" customHeight="1" x14ac:dyDescent="0.25">
      <c r="A26" s="12" t="s">
        <v>136</v>
      </c>
      <c r="B26" s="15">
        <f>SUM(B16:B25)</f>
        <v>12808540457.733797</v>
      </c>
    </row>
    <row r="27" spans="1:4" ht="11.25" customHeight="1" x14ac:dyDescent="0.25"/>
    <row r="28" spans="1:4" s="18" customFormat="1" ht="20.25" customHeight="1" x14ac:dyDescent="0.25">
      <c r="A28" s="16" t="s">
        <v>137</v>
      </c>
      <c r="B28" s="17">
        <f>B13-B26</f>
        <v>523019577.26620293</v>
      </c>
      <c r="D28" s="19" t="s">
        <v>138</v>
      </c>
    </row>
    <row r="29" spans="1:4" ht="9" customHeight="1" x14ac:dyDescent="0.25"/>
    <row r="30" spans="1:4" ht="15" customHeight="1" x14ac:dyDescent="0.25">
      <c r="A30" s="6" t="s">
        <v>139</v>
      </c>
    </row>
    <row r="31" spans="1:4" ht="15" customHeight="1" x14ac:dyDescent="0.25">
      <c r="A31" s="10" t="s">
        <v>140</v>
      </c>
      <c r="B31" s="20">
        <f>-'1. Datos y Costos del Contrato'!B30</f>
        <v>-13331560035</v>
      </c>
      <c r="D31" s="1" t="s">
        <v>141</v>
      </c>
    </row>
    <row r="32" spans="1:4" ht="15" customHeight="1" x14ac:dyDescent="0.25">
      <c r="A32" s="10" t="s">
        <v>142</v>
      </c>
      <c r="B32" s="20">
        <f>'1. Datos y Costos del Contrato'!B30</f>
        <v>13331560035</v>
      </c>
    </row>
    <row r="33" spans="1:4" ht="15" customHeight="1" x14ac:dyDescent="0.25">
      <c r="A33" s="12" t="s">
        <v>143</v>
      </c>
      <c r="B33" s="21">
        <f>B31+B32</f>
        <v>0</v>
      </c>
    </row>
    <row r="34" spans="1:4" ht="8.25" customHeight="1" x14ac:dyDescent="0.25"/>
    <row r="35" spans="1:4" ht="15" customHeight="1" x14ac:dyDescent="0.25">
      <c r="A35" s="6" t="s">
        <v>144</v>
      </c>
    </row>
    <row r="36" spans="1:4" ht="15" customHeight="1" x14ac:dyDescent="0.25">
      <c r="A36" s="10" t="s">
        <v>145</v>
      </c>
      <c r="B36" s="20">
        <v>0</v>
      </c>
      <c r="D36" s="1" t="s">
        <v>146</v>
      </c>
    </row>
    <row r="37" spans="1:4" ht="15" customHeight="1" x14ac:dyDescent="0.25">
      <c r="A37" s="10" t="s">
        <v>147</v>
      </c>
      <c r="B37" s="22">
        <v>0</v>
      </c>
      <c r="D37" s="1" t="s">
        <v>148</v>
      </c>
    </row>
    <row r="38" spans="1:4" ht="15" customHeight="1" x14ac:dyDescent="0.25">
      <c r="A38" s="12" t="s">
        <v>149</v>
      </c>
      <c r="B38" s="21">
        <f>B36+B37</f>
        <v>0</v>
      </c>
    </row>
    <row r="39" spans="1:4" ht="9" customHeight="1" x14ac:dyDescent="0.25"/>
    <row r="40" spans="1:4" ht="15" customHeight="1" x14ac:dyDescent="0.25">
      <c r="A40" s="12" t="s">
        <v>150</v>
      </c>
      <c r="B40" s="13">
        <f>B28+B33+B38</f>
        <v>523019577.26620293</v>
      </c>
    </row>
    <row r="41" spans="1:4" ht="15" customHeight="1" x14ac:dyDescent="0.25">
      <c r="A41" s="10" t="s">
        <v>151</v>
      </c>
      <c r="B41" s="20">
        <v>0</v>
      </c>
    </row>
    <row r="42" spans="1:4" ht="27.75" customHeight="1" x14ac:dyDescent="0.25">
      <c r="A42" s="23" t="s">
        <v>152</v>
      </c>
      <c r="B42" s="24">
        <f>B40+B41</f>
        <v>523019577.26620293</v>
      </c>
    </row>
    <row r="45" spans="1:4" ht="15" customHeight="1" x14ac:dyDescent="0.25">
      <c r="A45" s="108" t="s">
        <v>153</v>
      </c>
      <c r="B45" s="108"/>
      <c r="C45" s="108"/>
      <c r="D45" s="108"/>
    </row>
    <row r="46" spans="1:4" ht="15" customHeight="1" x14ac:dyDescent="0.25">
      <c r="A46" s="25"/>
      <c r="B46" s="26" t="s">
        <v>53</v>
      </c>
      <c r="C46" s="26" t="s">
        <v>154</v>
      </c>
      <c r="D46" s="26" t="s">
        <v>155</v>
      </c>
    </row>
    <row r="47" spans="1:4" ht="15" customHeight="1" x14ac:dyDescent="0.25">
      <c r="A47" s="27" t="s">
        <v>156</v>
      </c>
    </row>
    <row r="48" spans="1:4" ht="15" hidden="1" customHeight="1" x14ac:dyDescent="0.25">
      <c r="A48" s="10" t="s">
        <v>157</v>
      </c>
      <c r="B48" s="28">
        <f>'1. Datos y Costos del Contrato'!B16</f>
        <v>10200973835</v>
      </c>
      <c r="C48" s="29">
        <f t="shared" ref="C48:C56" si="0">B48/$B$56</f>
        <v>0.76517480386533021</v>
      </c>
      <c r="D48" s="1" t="s">
        <v>158</v>
      </c>
    </row>
    <row r="49" spans="1:4" ht="15" hidden="1" customHeight="1" x14ac:dyDescent="0.25">
      <c r="A49" s="10" t="s">
        <v>159</v>
      </c>
      <c r="B49" s="28">
        <f>'1. Datos y Costos del Contrato'!B19</f>
        <v>812302500</v>
      </c>
      <c r="C49" s="29">
        <f t="shared" si="0"/>
        <v>6.0930791135277662E-2</v>
      </c>
    </row>
    <row r="50" spans="1:4" ht="15" hidden="1" customHeight="1" x14ac:dyDescent="0.25">
      <c r="A50" s="10" t="s">
        <v>160</v>
      </c>
      <c r="B50" s="28">
        <f>'1. Datos y Costos del Contrato'!B20</f>
        <v>472265517</v>
      </c>
      <c r="C50" s="29">
        <f t="shared" si="0"/>
        <v>3.5424625157156261E-2</v>
      </c>
    </row>
    <row r="51" spans="1:4" ht="15" hidden="1" customHeight="1" x14ac:dyDescent="0.25">
      <c r="A51" s="10" t="s">
        <v>161</v>
      </c>
      <c r="B51" s="28">
        <f>'1. Datos y Costos del Contrato'!B21</f>
        <v>256217453</v>
      </c>
      <c r="C51" s="29">
        <f t="shared" si="0"/>
        <v>1.9218865033599947E-2</v>
      </c>
    </row>
    <row r="52" spans="1:4" ht="15" hidden="1" customHeight="1" x14ac:dyDescent="0.25">
      <c r="A52" s="10" t="s">
        <v>162</v>
      </c>
      <c r="B52" s="28">
        <f>'1. Datos y Costos del Contrato'!B26</f>
        <v>248487308</v>
      </c>
      <c r="C52" s="29">
        <f t="shared" si="0"/>
        <v>1.8639027041669098E-2</v>
      </c>
    </row>
    <row r="53" spans="1:4" ht="15" hidden="1" customHeight="1" x14ac:dyDescent="0.25">
      <c r="A53" s="10" t="s">
        <v>163</v>
      </c>
      <c r="B53" s="28">
        <f>'1. Datos y Costos del Contrato'!B24</f>
        <v>325150704</v>
      </c>
      <c r="C53" s="29">
        <f t="shared" si="0"/>
        <v>2.4389546545668016E-2</v>
      </c>
    </row>
    <row r="54" spans="1:4" ht="15" hidden="1" customHeight="1" x14ac:dyDescent="0.25">
      <c r="A54" s="10" t="s">
        <v>164</v>
      </c>
      <c r="B54" s="28">
        <f>'1. Datos y Costos del Contrato'!B25</f>
        <v>19504248</v>
      </c>
      <c r="C54" s="29">
        <f t="shared" si="0"/>
        <v>1.4630131769121197E-3</v>
      </c>
    </row>
    <row r="55" spans="1:4" ht="15" hidden="1" customHeight="1" x14ac:dyDescent="0.25">
      <c r="A55" s="10" t="s">
        <v>165</v>
      </c>
      <c r="B55" s="28">
        <f>'1. Datos y Costos del Contrato'!B27</f>
        <v>996658470</v>
      </c>
      <c r="C55" s="29">
        <f t="shared" si="0"/>
        <v>7.4759328044386661E-2</v>
      </c>
    </row>
    <row r="56" spans="1:4" ht="15" customHeight="1" x14ac:dyDescent="0.25">
      <c r="A56" s="12" t="s">
        <v>166</v>
      </c>
      <c r="B56" s="13">
        <f>SUM(B48:B55)</f>
        <v>13331560035</v>
      </c>
      <c r="C56" s="30">
        <f t="shared" si="0"/>
        <v>1</v>
      </c>
      <c r="D56" s="1" t="s">
        <v>167</v>
      </c>
    </row>
    <row r="58" spans="1:4" ht="15" customHeight="1" x14ac:dyDescent="0.25">
      <c r="A58" s="27" t="s">
        <v>168</v>
      </c>
    </row>
    <row r="59" spans="1:4" ht="15" hidden="1" customHeight="1" x14ac:dyDescent="0.25">
      <c r="A59" s="10" t="s">
        <v>169</v>
      </c>
      <c r="B59" s="20">
        <f>'1. Datos y Costos del Contrato'!B54*0.55</f>
        <v>4109439535.6630144</v>
      </c>
      <c r="C59" s="29">
        <f t="shared" ref="C59:C66" si="1">B59/$B$56</f>
        <v>0.30824896147744907</v>
      </c>
      <c r="D59" s="1" t="s">
        <v>170</v>
      </c>
    </row>
    <row r="60" spans="1:4" ht="15" hidden="1" customHeight="1" x14ac:dyDescent="0.25">
      <c r="A60" s="10" t="s">
        <v>171</v>
      </c>
      <c r="B60" s="20">
        <f>'1. Datos y Costos del Contrato'!B54*'1. Datos y Costos del Contrato'!B46</f>
        <v>506133516.62875009</v>
      </c>
      <c r="C60" s="29">
        <f t="shared" si="1"/>
        <v>3.7965063000877083E-2</v>
      </c>
      <c r="D60" s="1" t="s">
        <v>172</v>
      </c>
    </row>
    <row r="61" spans="1:4" ht="15" hidden="1" customHeight="1" x14ac:dyDescent="0.25">
      <c r="A61" s="10" t="s">
        <v>173</v>
      </c>
      <c r="B61" s="20">
        <f>'1. Datos y Costos del Contrato'!B54*0.2</f>
        <v>1494341649.3320053</v>
      </c>
      <c r="C61" s="29">
        <f t="shared" si="1"/>
        <v>0.11209053144634511</v>
      </c>
      <c r="D61" s="1" t="s">
        <v>174</v>
      </c>
    </row>
    <row r="62" spans="1:4" ht="15" hidden="1" customHeight="1" x14ac:dyDescent="0.25">
      <c r="A62" s="10" t="s">
        <v>175</v>
      </c>
      <c r="B62" s="20">
        <f>'1. Datos y Costos del Contrato'!B54*(1-0.55-'1. Datos y Costos del Contrato'!B46-0.2)</f>
        <v>1361793545.0362556</v>
      </c>
      <c r="C62" s="29">
        <f t="shared" si="1"/>
        <v>0.10214810130705425</v>
      </c>
      <c r="D62" s="1" t="s">
        <v>176</v>
      </c>
    </row>
    <row r="63" spans="1:4" ht="15" hidden="1" customHeight="1" x14ac:dyDescent="0.25">
      <c r="A63" s="10" t="s">
        <v>177</v>
      </c>
      <c r="B63" s="28">
        <f>'1. Datos y Costos del Contrato'!B26</f>
        <v>248487308</v>
      </c>
      <c r="C63" s="29">
        <f t="shared" si="1"/>
        <v>1.8639027041669098E-2</v>
      </c>
    </row>
    <row r="64" spans="1:4" ht="15" hidden="1" customHeight="1" x14ac:dyDescent="0.25">
      <c r="A64" s="10" t="s">
        <v>178</v>
      </c>
      <c r="B64" s="28">
        <f>'1. Datos y Costos del Contrato'!B24</f>
        <v>325150704</v>
      </c>
      <c r="C64" s="29">
        <f t="shared" si="1"/>
        <v>2.4389546545668016E-2</v>
      </c>
    </row>
    <row r="65" spans="1:4" ht="15" hidden="1" customHeight="1" x14ac:dyDescent="0.25">
      <c r="A65" s="10" t="s">
        <v>179</v>
      </c>
      <c r="B65" s="28">
        <f>'1. Datos y Costos del Contrato'!B25</f>
        <v>19504248</v>
      </c>
      <c r="C65" s="29">
        <f t="shared" si="1"/>
        <v>1.4630131769121197E-3</v>
      </c>
    </row>
    <row r="66" spans="1:4" ht="15" customHeight="1" x14ac:dyDescent="0.25">
      <c r="A66" s="12" t="s">
        <v>180</v>
      </c>
      <c r="B66" s="15">
        <f>SUM(B59:B65)</f>
        <v>8064850506.6600256</v>
      </c>
      <c r="C66" s="31">
        <f t="shared" si="1"/>
        <v>0.6049442439959748</v>
      </c>
    </row>
    <row r="68" spans="1:4" ht="15" customHeight="1" x14ac:dyDescent="0.25">
      <c r="A68" s="12" t="s">
        <v>181</v>
      </c>
      <c r="B68" s="21">
        <f>B56-B66</f>
        <v>5266709528.3399744</v>
      </c>
      <c r="C68" s="32">
        <f>B68/$B$56</f>
        <v>0.39505575600402526</v>
      </c>
      <c r="D68" s="1" t="s">
        <v>182</v>
      </c>
    </row>
    <row r="70" spans="1:4" ht="15" customHeight="1" x14ac:dyDescent="0.25">
      <c r="A70" s="27" t="s">
        <v>183</v>
      </c>
    </row>
    <row r="71" spans="1:4" ht="15" customHeight="1" x14ac:dyDescent="0.25">
      <c r="A71" s="9" t="s">
        <v>184</v>
      </c>
      <c r="B71" s="9"/>
    </row>
    <row r="72" spans="1:4" ht="15" customHeight="1" x14ac:dyDescent="0.25">
      <c r="A72" s="10" t="s">
        <v>185</v>
      </c>
      <c r="B72" s="20">
        <f>'1. Datos y Costos del Contrato'!B55*0.45</f>
        <v>959188017.87322748</v>
      </c>
      <c r="C72" s="29">
        <f t="shared" ref="C72:C77" si="2">B72/$B$56</f>
        <v>7.1948670324780001E-2</v>
      </c>
      <c r="D72" s="1" t="s">
        <v>186</v>
      </c>
    </row>
    <row r="73" spans="1:4" ht="15" customHeight="1" x14ac:dyDescent="0.25">
      <c r="A73" s="10" t="s">
        <v>187</v>
      </c>
      <c r="B73" s="20">
        <f>'1. Datos y Costos del Contrato'!B55*0.25</f>
        <v>532882232.151793</v>
      </c>
      <c r="C73" s="29">
        <f t="shared" si="2"/>
        <v>3.9971483513766663E-2</v>
      </c>
      <c r="D73" s="1" t="s">
        <v>188</v>
      </c>
    </row>
    <row r="74" spans="1:4" ht="15" customHeight="1" x14ac:dyDescent="0.25">
      <c r="A74" s="10" t="s">
        <v>189</v>
      </c>
      <c r="B74" s="20">
        <f>'1. Datos y Costos del Contrato'!B55*0.1</f>
        <v>213152892.86071721</v>
      </c>
      <c r="C74" s="29">
        <f t="shared" si="2"/>
        <v>1.5988593405506665E-2</v>
      </c>
      <c r="D74" s="1" t="s">
        <v>190</v>
      </c>
    </row>
    <row r="75" spans="1:4" ht="15" customHeight="1" x14ac:dyDescent="0.25">
      <c r="A75" s="10" t="s">
        <v>191</v>
      </c>
      <c r="B75" s="20">
        <f>'1. Datos y Costos del Contrato'!B55*0.12</f>
        <v>255783471.43286064</v>
      </c>
      <c r="C75" s="29">
        <f t="shared" si="2"/>
        <v>1.9186312086607999E-2</v>
      </c>
      <c r="D75" s="1" t="s">
        <v>192</v>
      </c>
    </row>
    <row r="76" spans="1:4" ht="15" customHeight="1" x14ac:dyDescent="0.25">
      <c r="A76" s="10" t="s">
        <v>193</v>
      </c>
      <c r="B76" s="20">
        <f>'1. Datos y Costos del Contrato'!B55*0.08</f>
        <v>170522314.28857377</v>
      </c>
      <c r="C76" s="29">
        <f t="shared" si="2"/>
        <v>1.2790874724405333E-2</v>
      </c>
      <c r="D76" s="1" t="s">
        <v>194</v>
      </c>
    </row>
    <row r="77" spans="1:4" ht="15" customHeight="1" x14ac:dyDescent="0.25">
      <c r="A77" s="12" t="s">
        <v>195</v>
      </c>
      <c r="B77" s="21">
        <f>SUM(B72:B76)</f>
        <v>2131528928.6071723</v>
      </c>
      <c r="C77" s="32">
        <f t="shared" si="2"/>
        <v>0.15988593405506665</v>
      </c>
      <c r="D77" s="1" t="s">
        <v>196</v>
      </c>
    </row>
    <row r="79" spans="1:4" ht="15" customHeight="1" x14ac:dyDescent="0.25">
      <c r="A79" s="9" t="s">
        <v>197</v>
      </c>
      <c r="B79" s="9"/>
    </row>
    <row r="80" spans="1:4" ht="15" customHeight="1" x14ac:dyDescent="0.25">
      <c r="A80" s="10" t="s">
        <v>198</v>
      </c>
      <c r="B80" s="28">
        <f>'1. Datos y Costos del Contrato'!B19</f>
        <v>812302500</v>
      </c>
      <c r="C80" s="29">
        <f>B80/$B$56</f>
        <v>6.0930791135277662E-2</v>
      </c>
    </row>
    <row r="81" spans="1:4" ht="15" customHeight="1" x14ac:dyDescent="0.25">
      <c r="A81" s="10" t="s">
        <v>199</v>
      </c>
      <c r="B81" s="28">
        <f>'1. Datos y Costos del Contrato'!B20</f>
        <v>472265517</v>
      </c>
      <c r="C81" s="29">
        <f>B81/$B$56</f>
        <v>3.5424625157156261E-2</v>
      </c>
    </row>
    <row r="82" spans="1:4" ht="15" customHeight="1" x14ac:dyDescent="0.25">
      <c r="A82" s="10" t="s">
        <v>200</v>
      </c>
      <c r="B82" s="28">
        <f>'1. Datos y Costos del Contrato'!B21</f>
        <v>256217453</v>
      </c>
      <c r="C82" s="29">
        <f>B82/$B$56</f>
        <v>1.9218865033599947E-2</v>
      </c>
    </row>
    <row r="83" spans="1:4" ht="15" customHeight="1" x14ac:dyDescent="0.25">
      <c r="A83" s="12" t="s">
        <v>201</v>
      </c>
      <c r="B83" s="21">
        <f>SUM(B80:B82)</f>
        <v>1540785470</v>
      </c>
      <c r="C83" s="32">
        <f>B83/$B$56</f>
        <v>0.11557428132603387</v>
      </c>
    </row>
    <row r="85" spans="1:4" ht="15" customHeight="1" x14ac:dyDescent="0.25">
      <c r="A85" s="9" t="s">
        <v>202</v>
      </c>
      <c r="B85" s="9"/>
    </row>
    <row r="86" spans="1:4" ht="15" customHeight="1" x14ac:dyDescent="0.25">
      <c r="A86" s="10" t="s">
        <v>203</v>
      </c>
      <c r="B86" s="28">
        <f>'1. Datos y Costos del Contrato'!B56</f>
        <v>74717082.466600254</v>
      </c>
      <c r="C86" s="29">
        <f>B86/$B$56</f>
        <v>5.6045265723172547E-3</v>
      </c>
    </row>
    <row r="87" spans="1:4" ht="15" customHeight="1" x14ac:dyDescent="0.25">
      <c r="A87" s="10" t="s">
        <v>204</v>
      </c>
      <c r="B87" s="28">
        <f>'1. Datos y Costos del Contrato'!B27</f>
        <v>996658470</v>
      </c>
      <c r="C87" s="29">
        <f>B87/$B$56</f>
        <v>7.4759328044386661E-2</v>
      </c>
    </row>
    <row r="88" spans="1:4" ht="15" customHeight="1" x14ac:dyDescent="0.25">
      <c r="A88" s="12" t="s">
        <v>205</v>
      </c>
      <c r="B88" s="21">
        <f>B86+B87</f>
        <v>1071375552.4666003</v>
      </c>
      <c r="C88" s="32">
        <f>B88/$B$56</f>
        <v>8.0363854616703922E-2</v>
      </c>
    </row>
    <row r="90" spans="1:4" ht="15" customHeight="1" x14ac:dyDescent="0.25">
      <c r="A90" s="12" t="s">
        <v>206</v>
      </c>
      <c r="B90" s="15">
        <f>B77+B83+B88</f>
        <v>4743689951.0737724</v>
      </c>
      <c r="C90" s="31">
        <f>B90/$B$56</f>
        <v>0.35582406999780447</v>
      </c>
    </row>
    <row r="92" spans="1:4" ht="15" customHeight="1" x14ac:dyDescent="0.25">
      <c r="A92" s="12" t="s">
        <v>207</v>
      </c>
      <c r="B92" s="21">
        <f>B68-B90</f>
        <v>523019577.26620197</v>
      </c>
      <c r="C92" s="32">
        <f>B92/$B$56</f>
        <v>3.9231686006220796E-2</v>
      </c>
      <c r="D92" s="1" t="s">
        <v>208</v>
      </c>
    </row>
    <row r="94" spans="1:4" ht="15" customHeight="1" x14ac:dyDescent="0.25">
      <c r="A94" s="10" t="s">
        <v>209</v>
      </c>
      <c r="B94" s="22">
        <v>0</v>
      </c>
      <c r="C94" s="29">
        <f>B94/$B$56</f>
        <v>0</v>
      </c>
      <c r="D94" s="1" t="s">
        <v>210</v>
      </c>
    </row>
    <row r="95" spans="1:4" ht="15" customHeight="1" x14ac:dyDescent="0.25">
      <c r="A95" s="10" t="s">
        <v>211</v>
      </c>
      <c r="B95" s="22">
        <v>0</v>
      </c>
      <c r="D95" s="1" t="s">
        <v>212</v>
      </c>
    </row>
    <row r="96" spans="1:4" ht="15" customHeight="1" x14ac:dyDescent="0.25">
      <c r="A96" s="10" t="s">
        <v>213</v>
      </c>
      <c r="B96" s="22">
        <v>0</v>
      </c>
    </row>
    <row r="98" spans="1:4" ht="15" customHeight="1" x14ac:dyDescent="0.25">
      <c r="A98" s="12" t="s">
        <v>214</v>
      </c>
      <c r="B98" s="21">
        <f>B92-B94+B95-B96</f>
        <v>523019577.26620197</v>
      </c>
      <c r="C98" s="32">
        <f>B98/$B$56</f>
        <v>3.9231686006220796E-2</v>
      </c>
    </row>
    <row r="99" spans="1:4" ht="15" customHeight="1" x14ac:dyDescent="0.25">
      <c r="A99" s="10" t="s">
        <v>215</v>
      </c>
      <c r="B99" s="20">
        <f>B98*0.35</f>
        <v>183056852.04317069</v>
      </c>
      <c r="C99" s="29">
        <f>B99/$B$56</f>
        <v>1.373109010217728E-2</v>
      </c>
      <c r="D99" s="1" t="s">
        <v>216</v>
      </c>
    </row>
    <row r="101" spans="1:4" ht="15" customHeight="1" x14ac:dyDescent="0.25">
      <c r="A101" s="23" t="s">
        <v>217</v>
      </c>
      <c r="B101" s="33">
        <f>B98-B99</f>
        <v>339962725.22303128</v>
      </c>
      <c r="C101" s="30">
        <f>B101/$B$56</f>
        <v>2.5500595904043518E-2</v>
      </c>
      <c r="D101" s="1" t="s">
        <v>218</v>
      </c>
    </row>
    <row r="103" spans="1:4" ht="15" customHeight="1" x14ac:dyDescent="0.25">
      <c r="A103" s="12" t="s">
        <v>219</v>
      </c>
      <c r="B103" s="34">
        <f>'1. Datos y Costos del Contrato'!B57</f>
        <v>523019577.26620185</v>
      </c>
      <c r="C103" s="29">
        <f>B103/$B$56</f>
        <v>3.9231686006220789E-2</v>
      </c>
      <c r="D103" s="1" t="s">
        <v>220</v>
      </c>
    </row>
    <row r="106" spans="1:4" ht="15" customHeight="1" x14ac:dyDescent="0.25">
      <c r="A106" s="108" t="s">
        <v>221</v>
      </c>
      <c r="B106" s="108"/>
      <c r="C106" s="108"/>
      <c r="D106" s="108"/>
    </row>
    <row r="107" spans="1:4" ht="15" customHeight="1" x14ac:dyDescent="0.25">
      <c r="A107" s="25"/>
      <c r="B107" s="26" t="s">
        <v>53</v>
      </c>
      <c r="C107" s="26" t="s">
        <v>222</v>
      </c>
      <c r="D107" s="26" t="s">
        <v>155</v>
      </c>
    </row>
    <row r="108" spans="1:4" ht="15" customHeight="1" x14ac:dyDescent="0.25">
      <c r="A108" s="27" t="s">
        <v>223</v>
      </c>
    </row>
    <row r="109" spans="1:4" ht="15" customHeight="1" x14ac:dyDescent="0.25">
      <c r="A109" s="9" t="s">
        <v>224</v>
      </c>
      <c r="B109" s="9"/>
    </row>
    <row r="110" spans="1:4" ht="15" customHeight="1" x14ac:dyDescent="0.25">
      <c r="A110" s="10" t="s">
        <v>225</v>
      </c>
      <c r="B110" s="20">
        <f>B98</f>
        <v>523019577.26620197</v>
      </c>
      <c r="D110" s="1" t="s">
        <v>226</v>
      </c>
    </row>
    <row r="111" spans="1:4" ht="15" customHeight="1" x14ac:dyDescent="0.25">
      <c r="A111" s="10" t="s">
        <v>227</v>
      </c>
      <c r="B111" s="22">
        <v>0</v>
      </c>
      <c r="D111" s="1" t="s">
        <v>228</v>
      </c>
    </row>
    <row r="112" spans="1:4" ht="15" customHeight="1" x14ac:dyDescent="0.25">
      <c r="A112" s="10" t="s">
        <v>229</v>
      </c>
      <c r="B112" s="20">
        <v>0</v>
      </c>
      <c r="D112" s="1" t="s">
        <v>230</v>
      </c>
    </row>
    <row r="113" spans="1:4" ht="15" customHeight="1" x14ac:dyDescent="0.25">
      <c r="A113" s="10" t="s">
        <v>231</v>
      </c>
      <c r="B113" s="20">
        <v>0</v>
      </c>
      <c r="D113" s="1" t="s">
        <v>232</v>
      </c>
    </row>
    <row r="114" spans="1:4" ht="15" customHeight="1" x14ac:dyDescent="0.25">
      <c r="A114" s="12" t="s">
        <v>233</v>
      </c>
      <c r="B114" s="21">
        <f>SUM(B110:B113)</f>
        <v>523019577.26620197</v>
      </c>
      <c r="C114" s="32">
        <f>B114/B124</f>
        <v>1</v>
      </c>
    </row>
    <row r="115" spans="1:4" ht="7.5" customHeight="1" x14ac:dyDescent="0.25"/>
    <row r="116" spans="1:4" ht="15" customHeight="1" x14ac:dyDescent="0.25">
      <c r="A116" s="9" t="s">
        <v>234</v>
      </c>
      <c r="B116" s="9"/>
    </row>
    <row r="117" spans="1:4" ht="15" customHeight="1" x14ac:dyDescent="0.25">
      <c r="A117" s="10" t="s">
        <v>235</v>
      </c>
      <c r="B117" s="28">
        <f>'1. Datos y Costos del Contrato'!B30</f>
        <v>13331560035</v>
      </c>
      <c r="D117" s="1" t="s">
        <v>236</v>
      </c>
    </row>
    <row r="118" spans="1:4" ht="15" customHeight="1" x14ac:dyDescent="0.25">
      <c r="A118" s="10" t="s">
        <v>237</v>
      </c>
      <c r="B118" s="20">
        <f>-'1. Datos y Costos del Contrato'!B30</f>
        <v>-13331560035</v>
      </c>
      <c r="D118" s="1" t="s">
        <v>238</v>
      </c>
    </row>
    <row r="119" spans="1:4" ht="15" customHeight="1" x14ac:dyDescent="0.25">
      <c r="A119" s="10" t="s">
        <v>239</v>
      </c>
      <c r="B119" s="22">
        <v>0</v>
      </c>
      <c r="D119" s="1" t="s">
        <v>240</v>
      </c>
    </row>
    <row r="120" spans="1:4" ht="15" customHeight="1" x14ac:dyDescent="0.25">
      <c r="A120" s="12" t="s">
        <v>241</v>
      </c>
      <c r="B120" s="21">
        <f>SUM(B117:B119)</f>
        <v>0</v>
      </c>
      <c r="C120" s="32">
        <f>B120/B124</f>
        <v>0</v>
      </c>
    </row>
    <row r="121" spans="1:4" ht="6" customHeight="1" x14ac:dyDescent="0.25"/>
    <row r="122" spans="1:4" ht="15" customHeight="1" x14ac:dyDescent="0.25">
      <c r="A122" s="35" t="s">
        <v>242</v>
      </c>
      <c r="B122" s="34">
        <f>'1. Datos y Costos del Contrato'!B30</f>
        <v>13331560035</v>
      </c>
      <c r="D122" s="1" t="s">
        <v>243</v>
      </c>
    </row>
    <row r="123" spans="1:4" ht="5.25" customHeight="1" x14ac:dyDescent="0.25"/>
    <row r="124" spans="1:4" ht="15" customHeight="1" x14ac:dyDescent="0.25">
      <c r="A124" s="23" t="s">
        <v>244</v>
      </c>
      <c r="B124" s="24">
        <f>B114+B120</f>
        <v>523019577.26620197</v>
      </c>
      <c r="C124" s="32"/>
    </row>
    <row r="126" spans="1:4" ht="15" customHeight="1" x14ac:dyDescent="0.25">
      <c r="A126" s="27" t="s">
        <v>245</v>
      </c>
    </row>
    <row r="127" spans="1:4" ht="15" customHeight="1" x14ac:dyDescent="0.25">
      <c r="A127" s="9" t="s">
        <v>246</v>
      </c>
      <c r="B127" s="9"/>
    </row>
    <row r="128" spans="1:4" ht="15" customHeight="1" x14ac:dyDescent="0.25">
      <c r="A128" s="10" t="s">
        <v>247</v>
      </c>
      <c r="B128" s="22">
        <v>0</v>
      </c>
      <c r="D128" s="1" t="s">
        <v>248</v>
      </c>
    </row>
    <row r="129" spans="1:4" ht="15" customHeight="1" x14ac:dyDescent="0.25">
      <c r="A129" s="10" t="s">
        <v>249</v>
      </c>
      <c r="B129" s="22">
        <v>0</v>
      </c>
      <c r="D129" s="1" t="s">
        <v>250</v>
      </c>
    </row>
    <row r="130" spans="1:4" ht="15" customHeight="1" x14ac:dyDescent="0.25">
      <c r="A130" s="10" t="s">
        <v>251</v>
      </c>
      <c r="B130" s="20">
        <f>B99</f>
        <v>183056852.04317069</v>
      </c>
      <c r="D130" s="1" t="s">
        <v>252</v>
      </c>
    </row>
    <row r="131" spans="1:4" ht="15" customHeight="1" x14ac:dyDescent="0.25">
      <c r="A131" s="10" t="s">
        <v>253</v>
      </c>
      <c r="B131" s="20">
        <v>0</v>
      </c>
      <c r="D131" s="1" t="s">
        <v>230</v>
      </c>
    </row>
    <row r="132" spans="1:4" ht="15" customHeight="1" x14ac:dyDescent="0.25">
      <c r="A132" s="10" t="s">
        <v>254</v>
      </c>
      <c r="B132" s="22">
        <v>0</v>
      </c>
    </row>
    <row r="133" spans="1:4" ht="15" customHeight="1" x14ac:dyDescent="0.25">
      <c r="A133" s="12" t="s">
        <v>255</v>
      </c>
      <c r="B133" s="21">
        <f>SUM(B128:B132)</f>
        <v>183056852.04317069</v>
      </c>
      <c r="C133" s="32">
        <f>B133/B139</f>
        <v>1</v>
      </c>
    </row>
    <row r="134" spans="1:4" ht="8.25" customHeight="1" x14ac:dyDescent="0.25"/>
    <row r="135" spans="1:4" ht="15" customHeight="1" x14ac:dyDescent="0.25">
      <c r="A135" s="9" t="s">
        <v>256</v>
      </c>
      <c r="B135" s="9"/>
    </row>
    <row r="136" spans="1:4" ht="15" customHeight="1" x14ac:dyDescent="0.25">
      <c r="A136" s="10" t="s">
        <v>257</v>
      </c>
      <c r="B136" s="22">
        <v>0</v>
      </c>
      <c r="D136" s="1" t="s">
        <v>258</v>
      </c>
    </row>
    <row r="137" spans="1:4" ht="15" customHeight="1" x14ac:dyDescent="0.25">
      <c r="A137" s="10" t="s">
        <v>259</v>
      </c>
      <c r="B137" s="20">
        <v>0</v>
      </c>
      <c r="D137" s="1" t="s">
        <v>260</v>
      </c>
    </row>
    <row r="138" spans="1:4" ht="15" customHeight="1" x14ac:dyDescent="0.25">
      <c r="A138" s="12" t="s">
        <v>261</v>
      </c>
      <c r="B138" s="21">
        <f>SUM(B136:B137)</f>
        <v>0</v>
      </c>
    </row>
    <row r="139" spans="1:4" ht="15" customHeight="1" x14ac:dyDescent="0.25">
      <c r="A139" s="23" t="s">
        <v>262</v>
      </c>
      <c r="B139" s="24">
        <f>B133+B138</f>
        <v>183056852.04317069</v>
      </c>
    </row>
    <row r="140" spans="1:4" ht="6.75" customHeight="1" x14ac:dyDescent="0.25"/>
    <row r="141" spans="1:4" ht="15" customHeight="1" x14ac:dyDescent="0.25">
      <c r="A141" s="27" t="s">
        <v>263</v>
      </c>
    </row>
    <row r="142" spans="1:4" ht="15" customHeight="1" x14ac:dyDescent="0.25">
      <c r="A142" s="10" t="s">
        <v>264</v>
      </c>
      <c r="B142" s="36">
        <v>0</v>
      </c>
      <c r="D142" s="1" t="s">
        <v>265</v>
      </c>
    </row>
    <row r="143" spans="1:4" ht="15" customHeight="1" x14ac:dyDescent="0.25">
      <c r="A143" s="10" t="s">
        <v>266</v>
      </c>
      <c r="B143" s="20">
        <f>B101</f>
        <v>339962725.22303128</v>
      </c>
      <c r="D143" s="1" t="s">
        <v>267</v>
      </c>
    </row>
    <row r="144" spans="1:4" ht="15" customHeight="1" x14ac:dyDescent="0.25">
      <c r="A144" s="10" t="s">
        <v>268</v>
      </c>
      <c r="B144" s="20">
        <v>0</v>
      </c>
      <c r="D144" s="1" t="s">
        <v>269</v>
      </c>
    </row>
    <row r="145" spans="1:4" ht="15" customHeight="1" x14ac:dyDescent="0.25">
      <c r="A145" s="12" t="s">
        <v>270</v>
      </c>
      <c r="B145" s="13">
        <f>SUM(B142:B144)</f>
        <v>339962725.22303128</v>
      </c>
    </row>
    <row r="146" spans="1:4" ht="6" customHeight="1" x14ac:dyDescent="0.25"/>
    <row r="147" spans="1:4" ht="15" customHeight="1" x14ac:dyDescent="0.25">
      <c r="A147" s="12" t="s">
        <v>271</v>
      </c>
      <c r="B147" s="13">
        <f>B124-(B139+B145)</f>
        <v>0</v>
      </c>
      <c r="C147" s="37"/>
      <c r="D147" s="38" t="str">
        <f>IF(ROUND(B147,0)=0,"ECUACIÓN CONTABLE OK","ERROR")</f>
        <v>ECUACIÓN CONTABLE OK</v>
      </c>
    </row>
    <row r="150" spans="1:4" ht="15" customHeight="1" x14ac:dyDescent="0.25">
      <c r="A150" s="108" t="s">
        <v>272</v>
      </c>
      <c r="B150" s="108"/>
      <c r="C150" s="108"/>
      <c r="D150" s="108"/>
    </row>
    <row r="151" spans="1:4" ht="15" customHeight="1" x14ac:dyDescent="0.25">
      <c r="A151" s="26" t="s">
        <v>273</v>
      </c>
      <c r="B151" s="26" t="s">
        <v>274</v>
      </c>
      <c r="C151" s="25"/>
      <c r="D151" s="26" t="s">
        <v>275</v>
      </c>
    </row>
    <row r="152" spans="1:4" ht="15" customHeight="1" x14ac:dyDescent="0.25">
      <c r="A152" s="10" t="s">
        <v>276</v>
      </c>
      <c r="B152" s="29">
        <f>B68/B56</f>
        <v>0.39505575600402526</v>
      </c>
      <c r="D152" s="1" t="s">
        <v>277</v>
      </c>
    </row>
    <row r="153" spans="1:4" ht="15" customHeight="1" x14ac:dyDescent="0.25">
      <c r="A153" s="10" t="s">
        <v>278</v>
      </c>
      <c r="B153" s="29">
        <f>B92/B56</f>
        <v>3.9231686006220796E-2</v>
      </c>
      <c r="D153" s="1" t="s">
        <v>279</v>
      </c>
    </row>
    <row r="154" spans="1:4" ht="15" customHeight="1" x14ac:dyDescent="0.25">
      <c r="A154" s="10" t="s">
        <v>280</v>
      </c>
      <c r="B154" s="29">
        <f>B101/B56</f>
        <v>2.5500595904043518E-2</v>
      </c>
      <c r="D154" s="1" t="s">
        <v>281</v>
      </c>
    </row>
    <row r="155" spans="1:4" ht="15" customHeight="1" x14ac:dyDescent="0.25">
      <c r="A155" s="10" t="s">
        <v>282</v>
      </c>
      <c r="B155" s="39">
        <f>IF(B133=0,"N/A",B114/B133)</f>
        <v>2.8571428571428572</v>
      </c>
      <c r="D155" s="1" t="s">
        <v>283</v>
      </c>
    </row>
    <row r="156" spans="1:4" ht="15" customHeight="1" x14ac:dyDescent="0.25">
      <c r="A156" s="10" t="s">
        <v>284</v>
      </c>
      <c r="B156" s="29">
        <f>IF(B124=0,"N/A",B139/B124)</f>
        <v>0.35</v>
      </c>
      <c r="D156" s="1" t="s">
        <v>285</v>
      </c>
    </row>
    <row r="157" spans="1:4" ht="15" customHeight="1" x14ac:dyDescent="0.25">
      <c r="A157" s="10" t="s">
        <v>286</v>
      </c>
      <c r="B157" s="29">
        <f>IF(B124=0,"N/A",B101/B124)</f>
        <v>0.65</v>
      </c>
      <c r="D157" s="1" t="s">
        <v>287</v>
      </c>
    </row>
    <row r="158" spans="1:4" ht="15" customHeight="1" x14ac:dyDescent="0.25">
      <c r="A158" s="10" t="s">
        <v>288</v>
      </c>
      <c r="B158" s="29">
        <f>B66/B56</f>
        <v>0.6049442439959748</v>
      </c>
      <c r="D158" s="1" t="s">
        <v>289</v>
      </c>
    </row>
    <row r="159" spans="1:4" ht="15" customHeight="1" x14ac:dyDescent="0.25">
      <c r="A159" s="10" t="s">
        <v>290</v>
      </c>
      <c r="B159" s="29">
        <f>B90/B56</f>
        <v>0.35582406999780447</v>
      </c>
      <c r="D159" s="1" t="s">
        <v>291</v>
      </c>
    </row>
  </sheetData>
  <mergeCells count="4">
    <mergeCell ref="A1:D1"/>
    <mergeCell ref="A45:D45"/>
    <mergeCell ref="A106:D106"/>
    <mergeCell ref="A150:D150"/>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376092"/>
  </sheetPr>
  <dimension ref="A1:D50"/>
  <sheetViews>
    <sheetView zoomScaleNormal="100" workbookViewId="0">
      <selection activeCell="D21" sqref="D21"/>
    </sheetView>
  </sheetViews>
  <sheetFormatPr baseColWidth="10" defaultColWidth="8.7109375" defaultRowHeight="15" x14ac:dyDescent="0.25"/>
  <cols>
    <col min="1" max="1" width="55" customWidth="1"/>
    <col min="2" max="3" width="20" customWidth="1"/>
    <col min="4" max="4" width="85.7109375" customWidth="1"/>
  </cols>
  <sheetData>
    <row r="1" spans="1:4" ht="17.25" customHeight="1" x14ac:dyDescent="0.25">
      <c r="A1" s="107" t="s">
        <v>292</v>
      </c>
      <c r="B1" s="107"/>
      <c r="C1" s="107"/>
      <c r="D1" s="107"/>
    </row>
    <row r="3" spans="1:4" ht="15" customHeight="1" x14ac:dyDescent="0.25">
      <c r="A3" s="108" t="s">
        <v>293</v>
      </c>
      <c r="B3" s="108"/>
      <c r="C3" s="108"/>
      <c r="D3" s="108"/>
    </row>
    <row r="4" spans="1:4" ht="15" customHeight="1" x14ac:dyDescent="0.25">
      <c r="A4" s="109" t="s">
        <v>294</v>
      </c>
      <c r="B4" s="109"/>
      <c r="C4" s="109"/>
      <c r="D4" s="109"/>
    </row>
    <row r="6" spans="1:4" ht="15" customHeight="1" x14ac:dyDescent="0.25">
      <c r="A6" s="26" t="s">
        <v>295</v>
      </c>
      <c r="B6" s="26" t="s">
        <v>274</v>
      </c>
      <c r="C6" s="26" t="s">
        <v>296</v>
      </c>
      <c r="D6" s="26" t="s">
        <v>297</v>
      </c>
    </row>
    <row r="7" spans="1:4" ht="15" customHeight="1" x14ac:dyDescent="0.25">
      <c r="A7" s="10" t="s">
        <v>298</v>
      </c>
      <c r="B7" s="40">
        <v>0.12</v>
      </c>
      <c r="C7" s="41" t="s">
        <v>299</v>
      </c>
      <c r="D7" s="1" t="s">
        <v>300</v>
      </c>
    </row>
    <row r="9" spans="1:4" ht="15" customHeight="1" x14ac:dyDescent="0.25">
      <c r="A9" s="108" t="s">
        <v>301</v>
      </c>
      <c r="B9" s="108"/>
      <c r="C9" s="108"/>
      <c r="D9" s="108"/>
    </row>
    <row r="10" spans="1:4" ht="15" customHeight="1" x14ac:dyDescent="0.25">
      <c r="A10" s="109" t="s">
        <v>302</v>
      </c>
      <c r="B10" s="109"/>
      <c r="C10" s="109"/>
      <c r="D10" s="109"/>
    </row>
    <row r="12" spans="1:4" ht="15" customHeight="1" x14ac:dyDescent="0.25">
      <c r="A12" s="26" t="s">
        <v>111</v>
      </c>
      <c r="B12" s="26" t="s">
        <v>274</v>
      </c>
      <c r="C12" s="26" t="s">
        <v>296</v>
      </c>
      <c r="D12" s="26" t="s">
        <v>297</v>
      </c>
    </row>
    <row r="13" spans="1:4" ht="15" customHeight="1" x14ac:dyDescent="0.25">
      <c r="A13" s="10" t="s">
        <v>303</v>
      </c>
      <c r="B13" s="40">
        <v>0.105</v>
      </c>
      <c r="C13" s="41" t="s">
        <v>299</v>
      </c>
      <c r="D13" s="1" t="s">
        <v>304</v>
      </c>
    </row>
    <row r="14" spans="1:4" ht="15" customHeight="1" x14ac:dyDescent="0.25">
      <c r="A14" s="10" t="s">
        <v>305</v>
      </c>
      <c r="B14" s="40">
        <v>1.4999999999999999E-2</v>
      </c>
      <c r="C14" s="41" t="s">
        <v>299</v>
      </c>
      <c r="D14" s="1" t="s">
        <v>306</v>
      </c>
    </row>
    <row r="15" spans="1:4" ht="15" customHeight="1" x14ac:dyDescent="0.25">
      <c r="A15" s="10" t="s">
        <v>307</v>
      </c>
      <c r="B15" s="32">
        <f>B13+B14</f>
        <v>0.12</v>
      </c>
      <c r="C15" s="41" t="s">
        <v>308</v>
      </c>
      <c r="D15" s="1" t="s">
        <v>309</v>
      </c>
    </row>
    <row r="17" spans="1:4" ht="15" customHeight="1" x14ac:dyDescent="0.25">
      <c r="A17" s="108" t="s">
        <v>310</v>
      </c>
      <c r="B17" s="108"/>
      <c r="C17" s="108"/>
      <c r="D17" s="108"/>
    </row>
    <row r="18" spans="1:4" ht="15" customHeight="1" x14ac:dyDescent="0.25">
      <c r="A18" s="109" t="s">
        <v>311</v>
      </c>
      <c r="B18" s="109"/>
      <c r="C18" s="109"/>
      <c r="D18" s="109"/>
    </row>
    <row r="20" spans="1:4" ht="15" customHeight="1" x14ac:dyDescent="0.25">
      <c r="A20" s="26" t="s">
        <v>111</v>
      </c>
      <c r="B20" s="26" t="s">
        <v>274</v>
      </c>
      <c r="C20" s="26" t="s">
        <v>312</v>
      </c>
      <c r="D20" s="26" t="s">
        <v>297</v>
      </c>
    </row>
    <row r="21" spans="1:4" ht="15" customHeight="1" x14ac:dyDescent="0.25">
      <c r="A21" s="10" t="s">
        <v>313</v>
      </c>
      <c r="B21" s="40">
        <v>1</v>
      </c>
      <c r="C21" s="41" t="s">
        <v>314</v>
      </c>
      <c r="D21" s="1" t="s">
        <v>315</v>
      </c>
    </row>
    <row r="22" spans="1:4" ht="15" customHeight="1" x14ac:dyDescent="0.25">
      <c r="A22" s="10" t="s">
        <v>316</v>
      </c>
      <c r="B22" s="40">
        <v>0</v>
      </c>
      <c r="C22" s="41" t="s">
        <v>317</v>
      </c>
      <c r="D22" s="1" t="s">
        <v>318</v>
      </c>
    </row>
    <row r="23" spans="1:4" ht="15" customHeight="1" x14ac:dyDescent="0.25">
      <c r="A23" s="10" t="s">
        <v>319</v>
      </c>
      <c r="B23" s="42">
        <f>B7</f>
        <v>0.12</v>
      </c>
      <c r="C23" s="41"/>
      <c r="D23" s="1" t="s">
        <v>320</v>
      </c>
    </row>
    <row r="24" spans="1:4" ht="15" customHeight="1" x14ac:dyDescent="0.25">
      <c r="A24" s="10" t="s">
        <v>321</v>
      </c>
      <c r="B24" s="40">
        <v>0</v>
      </c>
      <c r="C24" s="41"/>
      <c r="D24" s="1" t="s">
        <v>322</v>
      </c>
    </row>
    <row r="25" spans="1:4" ht="15" customHeight="1" x14ac:dyDescent="0.25">
      <c r="A25" s="10" t="s">
        <v>323</v>
      </c>
      <c r="B25" s="40">
        <v>0.35</v>
      </c>
      <c r="C25" s="41"/>
      <c r="D25" s="1" t="s">
        <v>216</v>
      </c>
    </row>
    <row r="27" spans="1:4" ht="15" customHeight="1" x14ac:dyDescent="0.25">
      <c r="A27" s="9" t="s">
        <v>324</v>
      </c>
    </row>
    <row r="28" spans="1:4" ht="15" customHeight="1" x14ac:dyDescent="0.25">
      <c r="A28" s="10" t="s">
        <v>325</v>
      </c>
      <c r="B28" s="32">
        <f>B23*B21+B24*(1-B25)*B22</f>
        <v>0.12</v>
      </c>
      <c r="C28" s="43"/>
      <c r="D28" s="1" t="s">
        <v>326</v>
      </c>
    </row>
    <row r="30" spans="1:4" ht="15" customHeight="1" x14ac:dyDescent="0.25">
      <c r="A30" s="108" t="s">
        <v>327</v>
      </c>
      <c r="B30" s="108"/>
      <c r="C30" s="108"/>
      <c r="D30" s="108"/>
    </row>
    <row r="32" spans="1:4" ht="15" customHeight="1" x14ac:dyDescent="0.25">
      <c r="A32" s="26" t="s">
        <v>111</v>
      </c>
      <c r="B32" s="26" t="s">
        <v>274</v>
      </c>
      <c r="C32" s="26" t="s">
        <v>296</v>
      </c>
      <c r="D32" s="26" t="s">
        <v>297</v>
      </c>
    </row>
    <row r="33" spans="1:4" ht="15" customHeight="1" x14ac:dyDescent="0.25">
      <c r="A33" s="10" t="s">
        <v>328</v>
      </c>
      <c r="B33" s="40">
        <v>9.5000000000000001E-2</v>
      </c>
      <c r="C33" s="41" t="s">
        <v>299</v>
      </c>
      <c r="D33" s="1" t="s">
        <v>329</v>
      </c>
    </row>
    <row r="34" spans="1:4" ht="15" customHeight="1" x14ac:dyDescent="0.25">
      <c r="A34" s="10" t="s">
        <v>330</v>
      </c>
      <c r="B34" s="40">
        <v>0.06</v>
      </c>
      <c r="C34" s="41" t="s">
        <v>299</v>
      </c>
      <c r="D34" s="1" t="s">
        <v>331</v>
      </c>
    </row>
    <row r="35" spans="1:4" ht="15" customHeight="1" x14ac:dyDescent="0.25">
      <c r="A35" s="10" t="s">
        <v>332</v>
      </c>
      <c r="B35" s="44">
        <v>0.85</v>
      </c>
      <c r="C35" s="41" t="s">
        <v>299</v>
      </c>
      <c r="D35" s="1" t="s">
        <v>333</v>
      </c>
    </row>
    <row r="36" spans="1:4" ht="15" customHeight="1" x14ac:dyDescent="0.25">
      <c r="A36" s="10" t="s">
        <v>334</v>
      </c>
      <c r="B36" s="40">
        <v>2.1999999999999999E-2</v>
      </c>
      <c r="C36" s="41" t="s">
        <v>299</v>
      </c>
      <c r="D36" s="1" t="s">
        <v>335</v>
      </c>
    </row>
    <row r="37" spans="1:4" ht="15" customHeight="1" x14ac:dyDescent="0.25">
      <c r="A37" s="10" t="s">
        <v>336</v>
      </c>
      <c r="B37" s="32">
        <f>B33+B35*B34+B36</f>
        <v>0.16799999999999998</v>
      </c>
      <c r="C37" s="41" t="s">
        <v>308</v>
      </c>
      <c r="D37" s="1" t="s">
        <v>337</v>
      </c>
    </row>
    <row r="40" spans="1:4" ht="15" customHeight="1" x14ac:dyDescent="0.25">
      <c r="A40" s="108" t="s">
        <v>338</v>
      </c>
      <c r="B40" s="108"/>
      <c r="C40" s="108"/>
      <c r="D40" s="108"/>
    </row>
    <row r="41" spans="1:4" ht="15" customHeight="1" x14ac:dyDescent="0.25">
      <c r="A41" s="26" t="s">
        <v>339</v>
      </c>
      <c r="B41" s="26" t="s">
        <v>340</v>
      </c>
      <c r="C41" s="26" t="s">
        <v>341</v>
      </c>
      <c r="D41" s="26" t="s">
        <v>342</v>
      </c>
    </row>
    <row r="42" spans="1:4" ht="15" customHeight="1" x14ac:dyDescent="0.25">
      <c r="A42" s="12" t="s">
        <v>343</v>
      </c>
      <c r="B42" s="45">
        <f>B7</f>
        <v>0.12</v>
      </c>
      <c r="C42" s="41" t="s">
        <v>344</v>
      </c>
      <c r="D42" s="1" t="s">
        <v>345</v>
      </c>
    </row>
    <row r="43" spans="1:4" ht="15" customHeight="1" x14ac:dyDescent="0.25">
      <c r="A43" s="12" t="s">
        <v>346</v>
      </c>
      <c r="B43" s="45">
        <f>B15</f>
        <v>0.12</v>
      </c>
      <c r="C43" s="41" t="s">
        <v>347</v>
      </c>
      <c r="D43" s="1" t="s">
        <v>348</v>
      </c>
    </row>
    <row r="44" spans="1:4" ht="15" customHeight="1" x14ac:dyDescent="0.25">
      <c r="A44" s="12" t="s">
        <v>349</v>
      </c>
      <c r="B44" s="45">
        <f>B28</f>
        <v>0.12</v>
      </c>
      <c r="C44" s="41" t="s">
        <v>344</v>
      </c>
      <c r="D44" s="1" t="s">
        <v>350</v>
      </c>
    </row>
    <row r="45" spans="1:4" ht="15" customHeight="1" x14ac:dyDescent="0.25">
      <c r="A45" s="12" t="s">
        <v>351</v>
      </c>
      <c r="B45" s="45">
        <f>B37</f>
        <v>0.16799999999999998</v>
      </c>
      <c r="C45" s="41" t="s">
        <v>352</v>
      </c>
      <c r="D45" s="1" t="s">
        <v>353</v>
      </c>
    </row>
    <row r="47" spans="1:4" ht="15" customHeight="1" x14ac:dyDescent="0.25">
      <c r="A47" s="10" t="s">
        <v>354</v>
      </c>
      <c r="B47" s="46">
        <f>AVERAGE(B42:B45)</f>
        <v>0.13200000000000001</v>
      </c>
      <c r="D47" s="1" t="s">
        <v>355</v>
      </c>
    </row>
    <row r="49" spans="1:4" ht="15" customHeight="1" x14ac:dyDescent="0.25">
      <c r="A49" s="110" t="s">
        <v>356</v>
      </c>
      <c r="B49" s="110"/>
      <c r="C49" s="110"/>
      <c r="D49" s="110"/>
    </row>
    <row r="50" spans="1:4" ht="15" customHeight="1" x14ac:dyDescent="0.25">
      <c r="A50" s="10" t="s">
        <v>357</v>
      </c>
      <c r="B50" s="47">
        <f>B7</f>
        <v>0.12</v>
      </c>
      <c r="D50" s="1" t="s">
        <v>358</v>
      </c>
    </row>
  </sheetData>
  <mergeCells count="10">
    <mergeCell ref="A17:D17"/>
    <mergeCell ref="A18:D18"/>
    <mergeCell ref="A30:D30"/>
    <mergeCell ref="A40:D40"/>
    <mergeCell ref="A49:D49"/>
    <mergeCell ref="A1:D1"/>
    <mergeCell ref="A3:D3"/>
    <mergeCell ref="A4:D4"/>
    <mergeCell ref="A9:D9"/>
    <mergeCell ref="A10:D10"/>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376092"/>
  </sheetPr>
  <dimension ref="A1:H55"/>
  <sheetViews>
    <sheetView zoomScaleNormal="100" workbookViewId="0">
      <selection activeCell="A2" sqref="A2:H2"/>
    </sheetView>
  </sheetViews>
  <sheetFormatPr baseColWidth="10" defaultColWidth="8.7109375" defaultRowHeight="15" x14ac:dyDescent="0.25"/>
  <cols>
    <col min="1" max="1" width="42.5703125" customWidth="1"/>
    <col min="2" max="2" width="22" customWidth="1"/>
    <col min="3" max="3" width="23.28515625" customWidth="1"/>
    <col min="4" max="4" width="29.42578125" customWidth="1"/>
    <col min="5" max="5" width="20" customWidth="1"/>
    <col min="6" max="7" width="22" customWidth="1"/>
    <col min="8" max="8" width="20" customWidth="1"/>
  </cols>
  <sheetData>
    <row r="1" spans="1:8" ht="17.25" customHeight="1" x14ac:dyDescent="0.25">
      <c r="A1" s="145" t="s">
        <v>359</v>
      </c>
      <c r="B1" s="145"/>
      <c r="C1" s="145"/>
      <c r="D1" s="145"/>
      <c r="E1" s="145"/>
      <c r="F1" s="145"/>
      <c r="G1" s="145"/>
      <c r="H1" s="145"/>
    </row>
    <row r="2" spans="1:8" ht="15" customHeight="1" x14ac:dyDescent="0.25">
      <c r="A2" s="109" t="s">
        <v>360</v>
      </c>
      <c r="B2" s="109"/>
      <c r="C2" s="109"/>
      <c r="D2" s="109"/>
      <c r="E2" s="109"/>
      <c r="F2" s="109"/>
      <c r="G2" s="109"/>
      <c r="H2" s="109"/>
    </row>
    <row r="4" spans="1:8" ht="15" customHeight="1" x14ac:dyDescent="0.25">
      <c r="A4" s="108" t="s">
        <v>361</v>
      </c>
      <c r="B4" s="108"/>
      <c r="C4" s="108"/>
      <c r="D4" s="108"/>
      <c r="E4" s="108"/>
      <c r="F4" s="108"/>
      <c r="G4" s="108"/>
      <c r="H4" s="108"/>
    </row>
    <row r="5" spans="1:8" ht="36" customHeight="1" x14ac:dyDescent="0.25">
      <c r="A5" s="144" t="s">
        <v>295</v>
      </c>
      <c r="B5" s="144" t="s">
        <v>274</v>
      </c>
      <c r="C5" s="144" t="s">
        <v>362</v>
      </c>
      <c r="D5" s="144" t="s">
        <v>363</v>
      </c>
    </row>
    <row r="6" spans="1:8" ht="15" customHeight="1" x14ac:dyDescent="0.25">
      <c r="A6" s="12" t="s">
        <v>364</v>
      </c>
      <c r="B6" s="48">
        <f>'1. Datos y Costos del Contrato'!B30</f>
        <v>13331560035</v>
      </c>
      <c r="C6" s="10" t="s">
        <v>365</v>
      </c>
      <c r="D6" s="1" t="s">
        <v>366</v>
      </c>
    </row>
    <row r="7" spans="1:8" ht="15" customHeight="1" x14ac:dyDescent="0.25">
      <c r="A7" s="12" t="s">
        <v>367</v>
      </c>
      <c r="B7" s="49">
        <f>B8+B9+B10</f>
        <v>8500000000</v>
      </c>
      <c r="C7" s="10" t="s">
        <v>368</v>
      </c>
      <c r="D7" s="50" t="s">
        <v>369</v>
      </c>
    </row>
    <row r="8" spans="1:8" ht="15" customHeight="1" x14ac:dyDescent="0.25">
      <c r="A8" s="10" t="s">
        <v>370</v>
      </c>
      <c r="B8" s="51">
        <v>4200000000</v>
      </c>
      <c r="C8" s="10" t="s">
        <v>368</v>
      </c>
      <c r="D8" s="50" t="s">
        <v>371</v>
      </c>
    </row>
    <row r="9" spans="1:8" ht="15" customHeight="1" x14ac:dyDescent="0.25">
      <c r="A9" s="10" t="s">
        <v>372</v>
      </c>
      <c r="B9" s="51">
        <v>1800000000</v>
      </c>
      <c r="C9" s="10" t="s">
        <v>368</v>
      </c>
      <c r="D9" s="50" t="s">
        <v>373</v>
      </c>
    </row>
    <row r="10" spans="1:8" ht="15" customHeight="1" x14ac:dyDescent="0.25">
      <c r="A10" s="10" t="s">
        <v>374</v>
      </c>
      <c r="B10" s="51">
        <v>2500000000</v>
      </c>
      <c r="C10" s="10" t="s">
        <v>368</v>
      </c>
      <c r="D10" s="50" t="s">
        <v>375</v>
      </c>
    </row>
    <row r="11" spans="1:8" ht="15" customHeight="1" x14ac:dyDescent="0.25">
      <c r="A11" s="12" t="s">
        <v>376</v>
      </c>
      <c r="B11" s="52">
        <v>400000000</v>
      </c>
      <c r="C11" s="10" t="s">
        <v>368</v>
      </c>
      <c r="D11" s="50" t="s">
        <v>377</v>
      </c>
    </row>
    <row r="12" spans="1:8" ht="15" customHeight="1" x14ac:dyDescent="0.25">
      <c r="A12" s="10" t="s">
        <v>39</v>
      </c>
      <c r="B12" s="53">
        <f>'1. Datos y Costos del Contrato'!B44</f>
        <v>0.12</v>
      </c>
      <c r="C12" s="10" t="s">
        <v>222</v>
      </c>
      <c r="D12" s="1" t="s">
        <v>378</v>
      </c>
    </row>
    <row r="13" spans="1:8" ht="15" customHeight="1" x14ac:dyDescent="0.25">
      <c r="A13" s="10" t="s">
        <v>379</v>
      </c>
      <c r="B13" s="54">
        <f>'1. Datos y Costos del Contrato'!B45</f>
        <v>20</v>
      </c>
      <c r="C13" s="10" t="s">
        <v>380</v>
      </c>
      <c r="D13" s="1" t="s">
        <v>381</v>
      </c>
    </row>
    <row r="14" spans="1:8" ht="15" customHeight="1" x14ac:dyDescent="0.25">
      <c r="A14" s="55" t="s">
        <v>382</v>
      </c>
      <c r="B14" s="56">
        <f>B7-B11</f>
        <v>8100000000</v>
      </c>
      <c r="C14" s="55" t="s">
        <v>368</v>
      </c>
      <c r="D14" s="1" t="s">
        <v>383</v>
      </c>
    </row>
    <row r="16" spans="1:8" ht="15" customHeight="1" x14ac:dyDescent="0.25">
      <c r="A16" s="108" t="s">
        <v>384</v>
      </c>
      <c r="B16" s="108"/>
      <c r="C16" s="108"/>
      <c r="D16" s="108"/>
      <c r="E16" s="108"/>
      <c r="F16" s="108"/>
      <c r="G16" s="108"/>
      <c r="H16" s="108"/>
    </row>
    <row r="17" spans="1:8" ht="23.25" customHeight="1" x14ac:dyDescent="0.25">
      <c r="A17" s="144" t="s">
        <v>385</v>
      </c>
      <c r="B17" s="144" t="s">
        <v>386</v>
      </c>
      <c r="C17" s="144" t="s">
        <v>387</v>
      </c>
      <c r="D17" s="144" t="s">
        <v>388</v>
      </c>
      <c r="E17" s="144" t="s">
        <v>389</v>
      </c>
      <c r="F17" s="144" t="s">
        <v>390</v>
      </c>
      <c r="G17" s="144" t="s">
        <v>391</v>
      </c>
      <c r="H17" s="144" t="s">
        <v>392</v>
      </c>
    </row>
    <row r="18" spans="1:8" ht="15" customHeight="1" x14ac:dyDescent="0.25">
      <c r="A18" s="57">
        <v>0</v>
      </c>
      <c r="B18" s="20">
        <v>0</v>
      </c>
      <c r="C18" s="20">
        <f>B6</f>
        <v>13331560035</v>
      </c>
      <c r="D18" s="15">
        <f t="shared" ref="D18:D38" si="0">B18-C18</f>
        <v>-13331560035</v>
      </c>
      <c r="E18" s="58">
        <v>1</v>
      </c>
      <c r="F18" s="15">
        <f t="shared" ref="F18:F38" si="1">D18*E18</f>
        <v>-13331560035</v>
      </c>
      <c r="G18" s="15">
        <f>F18</f>
        <v>-13331560035</v>
      </c>
      <c r="H18" s="59" t="str">
        <f>IF(G18&gt;=0,"Recuperado","Pendiente")</f>
        <v>Pendiente</v>
      </c>
    </row>
    <row r="19" spans="1:8" ht="15" customHeight="1" x14ac:dyDescent="0.25">
      <c r="A19" s="60">
        <v>1</v>
      </c>
      <c r="B19" s="20">
        <f t="shared" ref="B19:B38" si="2">$B$7</f>
        <v>8500000000</v>
      </c>
      <c r="C19" s="20">
        <f t="shared" ref="C19:C38" si="3">$B$11</f>
        <v>400000000</v>
      </c>
      <c r="D19" s="20">
        <f t="shared" si="0"/>
        <v>8100000000</v>
      </c>
      <c r="E19" s="58">
        <f t="shared" ref="E19:E38" si="4">1/(1+$B$12)^A19</f>
        <v>0.89285714285714279</v>
      </c>
      <c r="F19" s="20">
        <f t="shared" si="1"/>
        <v>7232142857.1428566</v>
      </c>
      <c r="G19" s="20">
        <f t="shared" ref="G19:G38" si="5">G18+F19</f>
        <v>-6099417177.8571434</v>
      </c>
      <c r="H19" s="59" t="str">
        <f t="shared" ref="H19:H38" si="6">IF(G19&gt;=0,IF(G18&lt;0,"AÑO RECUPERACIÓN","Recuperado"),"Pendiente")</f>
        <v>Pendiente</v>
      </c>
    </row>
    <row r="20" spans="1:8" ht="15" customHeight="1" x14ac:dyDescent="0.25">
      <c r="A20" s="61">
        <v>2</v>
      </c>
      <c r="B20" s="62">
        <f t="shared" si="2"/>
        <v>8500000000</v>
      </c>
      <c r="C20" s="62">
        <f t="shared" si="3"/>
        <v>400000000</v>
      </c>
      <c r="D20" s="62">
        <f t="shared" si="0"/>
        <v>8100000000</v>
      </c>
      <c r="E20" s="63">
        <f t="shared" si="4"/>
        <v>0.79719387755102034</v>
      </c>
      <c r="F20" s="62">
        <f t="shared" si="1"/>
        <v>6457270408.1632643</v>
      </c>
      <c r="G20" s="64">
        <f t="shared" si="5"/>
        <v>357853230.30612087</v>
      </c>
      <c r="H20" s="59" t="str">
        <f t="shared" si="6"/>
        <v>AÑO RECUPERACIÓN</v>
      </c>
    </row>
    <row r="21" spans="1:8" ht="15" customHeight="1" x14ac:dyDescent="0.25">
      <c r="A21" s="60">
        <v>3</v>
      </c>
      <c r="B21" s="20">
        <f t="shared" si="2"/>
        <v>8500000000</v>
      </c>
      <c r="C21" s="20">
        <f t="shared" si="3"/>
        <v>400000000</v>
      </c>
      <c r="D21" s="20">
        <f t="shared" si="0"/>
        <v>8100000000</v>
      </c>
      <c r="E21" s="58">
        <f t="shared" si="4"/>
        <v>0.71178024781341087</v>
      </c>
      <c r="F21" s="20">
        <f t="shared" si="1"/>
        <v>5765420007.2886276</v>
      </c>
      <c r="G21" s="64">
        <f t="shared" si="5"/>
        <v>6123273237.5947485</v>
      </c>
      <c r="H21" s="59" t="str">
        <f t="shared" si="6"/>
        <v>Recuperado</v>
      </c>
    </row>
    <row r="22" spans="1:8" ht="15" customHeight="1" x14ac:dyDescent="0.25">
      <c r="A22" s="61">
        <v>4</v>
      </c>
      <c r="B22" s="62">
        <f t="shared" si="2"/>
        <v>8500000000</v>
      </c>
      <c r="C22" s="62">
        <f t="shared" si="3"/>
        <v>400000000</v>
      </c>
      <c r="D22" s="62">
        <f t="shared" si="0"/>
        <v>8100000000</v>
      </c>
      <c r="E22" s="63">
        <f t="shared" si="4"/>
        <v>0.63551807840483121</v>
      </c>
      <c r="F22" s="62">
        <f t="shared" si="1"/>
        <v>5147696435.079133</v>
      </c>
      <c r="G22" s="64">
        <f t="shared" si="5"/>
        <v>11270969672.673882</v>
      </c>
      <c r="H22" s="59" t="str">
        <f t="shared" si="6"/>
        <v>Recuperado</v>
      </c>
    </row>
    <row r="23" spans="1:8" ht="15" customHeight="1" x14ac:dyDescent="0.25">
      <c r="A23" s="60">
        <v>5</v>
      </c>
      <c r="B23" s="20">
        <f t="shared" si="2"/>
        <v>8500000000</v>
      </c>
      <c r="C23" s="20">
        <f t="shared" si="3"/>
        <v>400000000</v>
      </c>
      <c r="D23" s="20">
        <f t="shared" si="0"/>
        <v>8100000000</v>
      </c>
      <c r="E23" s="58">
        <f t="shared" si="4"/>
        <v>0.56742685571859919</v>
      </c>
      <c r="F23" s="20">
        <f t="shared" si="1"/>
        <v>4596157531.320653</v>
      </c>
      <c r="G23" s="64">
        <f t="shared" si="5"/>
        <v>15867127203.994534</v>
      </c>
      <c r="H23" s="59" t="str">
        <f t="shared" si="6"/>
        <v>Recuperado</v>
      </c>
    </row>
    <row r="24" spans="1:8" ht="15" customHeight="1" x14ac:dyDescent="0.25">
      <c r="A24" s="61">
        <v>6</v>
      </c>
      <c r="B24" s="62">
        <f t="shared" si="2"/>
        <v>8500000000</v>
      </c>
      <c r="C24" s="62">
        <f t="shared" si="3"/>
        <v>400000000</v>
      </c>
      <c r="D24" s="62">
        <f t="shared" si="0"/>
        <v>8100000000</v>
      </c>
      <c r="E24" s="63">
        <f t="shared" si="4"/>
        <v>0.50663112117732068</v>
      </c>
      <c r="F24" s="62">
        <f t="shared" si="1"/>
        <v>4103712081.5362973</v>
      </c>
      <c r="G24" s="64">
        <f t="shared" si="5"/>
        <v>19970839285.53083</v>
      </c>
      <c r="H24" s="59" t="str">
        <f t="shared" si="6"/>
        <v>Recuperado</v>
      </c>
    </row>
    <row r="25" spans="1:8" ht="15" customHeight="1" x14ac:dyDescent="0.25">
      <c r="A25" s="60">
        <v>7</v>
      </c>
      <c r="B25" s="20">
        <f t="shared" si="2"/>
        <v>8500000000</v>
      </c>
      <c r="C25" s="20">
        <f t="shared" si="3"/>
        <v>400000000</v>
      </c>
      <c r="D25" s="20">
        <f t="shared" si="0"/>
        <v>8100000000</v>
      </c>
      <c r="E25" s="58">
        <f t="shared" si="4"/>
        <v>0.45234921533689343</v>
      </c>
      <c r="F25" s="20">
        <f t="shared" si="1"/>
        <v>3664028644.2288365</v>
      </c>
      <c r="G25" s="64">
        <f t="shared" si="5"/>
        <v>23634867929.759666</v>
      </c>
      <c r="H25" s="59" t="str">
        <f t="shared" si="6"/>
        <v>Recuperado</v>
      </c>
    </row>
    <row r="26" spans="1:8" ht="15" customHeight="1" x14ac:dyDescent="0.25">
      <c r="A26" s="61">
        <v>8</v>
      </c>
      <c r="B26" s="62">
        <f t="shared" si="2"/>
        <v>8500000000</v>
      </c>
      <c r="C26" s="62">
        <f t="shared" si="3"/>
        <v>400000000</v>
      </c>
      <c r="D26" s="62">
        <f t="shared" si="0"/>
        <v>8100000000</v>
      </c>
      <c r="E26" s="63">
        <f t="shared" si="4"/>
        <v>0.4038832279793691</v>
      </c>
      <c r="F26" s="62">
        <f t="shared" si="1"/>
        <v>3271454146.6328897</v>
      </c>
      <c r="G26" s="64">
        <f t="shared" si="5"/>
        <v>26906322076.392555</v>
      </c>
      <c r="H26" s="59" t="str">
        <f t="shared" si="6"/>
        <v>Recuperado</v>
      </c>
    </row>
    <row r="27" spans="1:8" ht="15" customHeight="1" x14ac:dyDescent="0.25">
      <c r="A27" s="60">
        <v>9</v>
      </c>
      <c r="B27" s="20">
        <f t="shared" si="2"/>
        <v>8500000000</v>
      </c>
      <c r="C27" s="20">
        <f t="shared" si="3"/>
        <v>400000000</v>
      </c>
      <c r="D27" s="20">
        <f t="shared" si="0"/>
        <v>8100000000</v>
      </c>
      <c r="E27" s="58">
        <f t="shared" si="4"/>
        <v>0.36061002498157957</v>
      </c>
      <c r="F27" s="20">
        <f t="shared" si="1"/>
        <v>2920941202.3507943</v>
      </c>
      <c r="G27" s="64">
        <f t="shared" si="5"/>
        <v>29827263278.743351</v>
      </c>
      <c r="H27" s="59" t="str">
        <f t="shared" si="6"/>
        <v>Recuperado</v>
      </c>
    </row>
    <row r="28" spans="1:8" ht="15" customHeight="1" x14ac:dyDescent="0.25">
      <c r="A28" s="61">
        <v>10</v>
      </c>
      <c r="B28" s="62">
        <f t="shared" si="2"/>
        <v>8500000000</v>
      </c>
      <c r="C28" s="62">
        <f t="shared" si="3"/>
        <v>400000000</v>
      </c>
      <c r="D28" s="62">
        <f t="shared" si="0"/>
        <v>8100000000</v>
      </c>
      <c r="E28" s="63">
        <f t="shared" si="4"/>
        <v>0.32197323659069599</v>
      </c>
      <c r="F28" s="62">
        <f t="shared" si="1"/>
        <v>2607983216.3846374</v>
      </c>
      <c r="G28" s="64">
        <f t="shared" si="5"/>
        <v>32435246495.127987</v>
      </c>
      <c r="H28" s="59" t="str">
        <f t="shared" si="6"/>
        <v>Recuperado</v>
      </c>
    </row>
    <row r="29" spans="1:8" ht="15" customHeight="1" x14ac:dyDescent="0.25">
      <c r="A29" s="60">
        <v>11</v>
      </c>
      <c r="B29" s="20">
        <f t="shared" si="2"/>
        <v>8500000000</v>
      </c>
      <c r="C29" s="20">
        <f t="shared" si="3"/>
        <v>400000000</v>
      </c>
      <c r="D29" s="20">
        <f t="shared" si="0"/>
        <v>8100000000</v>
      </c>
      <c r="E29" s="58">
        <f t="shared" si="4"/>
        <v>0.28747610409883567</v>
      </c>
      <c r="F29" s="20">
        <f t="shared" si="1"/>
        <v>2328556443.2005692</v>
      </c>
      <c r="G29" s="64">
        <f t="shared" si="5"/>
        <v>34763802938.328552</v>
      </c>
      <c r="H29" s="59" t="str">
        <f t="shared" si="6"/>
        <v>Recuperado</v>
      </c>
    </row>
    <row r="30" spans="1:8" ht="15" customHeight="1" x14ac:dyDescent="0.25">
      <c r="A30" s="61">
        <v>12</v>
      </c>
      <c r="B30" s="62">
        <f t="shared" si="2"/>
        <v>8500000000</v>
      </c>
      <c r="C30" s="62">
        <f t="shared" si="3"/>
        <v>400000000</v>
      </c>
      <c r="D30" s="62">
        <f t="shared" si="0"/>
        <v>8100000000</v>
      </c>
      <c r="E30" s="63">
        <f t="shared" si="4"/>
        <v>0.25667509294538904</v>
      </c>
      <c r="F30" s="62">
        <f t="shared" si="1"/>
        <v>2079068252.8576512</v>
      </c>
      <c r="G30" s="64">
        <f t="shared" si="5"/>
        <v>36842871191.186203</v>
      </c>
      <c r="H30" s="59" t="str">
        <f t="shared" si="6"/>
        <v>Recuperado</v>
      </c>
    </row>
    <row r="31" spans="1:8" ht="15" customHeight="1" x14ac:dyDescent="0.25">
      <c r="A31" s="60">
        <v>13</v>
      </c>
      <c r="B31" s="20">
        <f t="shared" si="2"/>
        <v>8500000000</v>
      </c>
      <c r="C31" s="20">
        <f t="shared" si="3"/>
        <v>400000000</v>
      </c>
      <c r="D31" s="20">
        <f t="shared" si="0"/>
        <v>8100000000</v>
      </c>
      <c r="E31" s="58">
        <f t="shared" si="4"/>
        <v>0.22917419012981158</v>
      </c>
      <c r="F31" s="20">
        <f t="shared" si="1"/>
        <v>1856310940.0514739</v>
      </c>
      <c r="G31" s="64">
        <f t="shared" si="5"/>
        <v>38699182131.237679</v>
      </c>
      <c r="H31" s="59" t="str">
        <f t="shared" si="6"/>
        <v>Recuperado</v>
      </c>
    </row>
    <row r="32" spans="1:8" ht="15" customHeight="1" x14ac:dyDescent="0.25">
      <c r="A32" s="61">
        <v>14</v>
      </c>
      <c r="B32" s="62">
        <f t="shared" si="2"/>
        <v>8500000000</v>
      </c>
      <c r="C32" s="62">
        <f t="shared" si="3"/>
        <v>400000000</v>
      </c>
      <c r="D32" s="62">
        <f t="shared" si="0"/>
        <v>8100000000</v>
      </c>
      <c r="E32" s="63">
        <f t="shared" si="4"/>
        <v>0.20461981261590317</v>
      </c>
      <c r="F32" s="62">
        <f t="shared" si="1"/>
        <v>1657420482.1888156</v>
      </c>
      <c r="G32" s="64">
        <f t="shared" si="5"/>
        <v>40356602613.426491</v>
      </c>
      <c r="H32" s="59" t="str">
        <f t="shared" si="6"/>
        <v>Recuperado</v>
      </c>
    </row>
    <row r="33" spans="1:8" ht="15" customHeight="1" x14ac:dyDescent="0.25">
      <c r="A33" s="60">
        <v>15</v>
      </c>
      <c r="B33" s="20">
        <f t="shared" si="2"/>
        <v>8500000000</v>
      </c>
      <c r="C33" s="20">
        <f t="shared" si="3"/>
        <v>400000000</v>
      </c>
      <c r="D33" s="20">
        <f t="shared" si="0"/>
        <v>8100000000</v>
      </c>
      <c r="E33" s="58">
        <f t="shared" si="4"/>
        <v>0.18269626126419927</v>
      </c>
      <c r="F33" s="20">
        <f t="shared" si="1"/>
        <v>1479839716.2400141</v>
      </c>
      <c r="G33" s="64">
        <f t="shared" si="5"/>
        <v>41836442329.666504</v>
      </c>
      <c r="H33" s="59" t="str">
        <f t="shared" si="6"/>
        <v>Recuperado</v>
      </c>
    </row>
    <row r="34" spans="1:8" ht="15" customHeight="1" x14ac:dyDescent="0.25">
      <c r="A34" s="61">
        <v>16</v>
      </c>
      <c r="B34" s="62">
        <f t="shared" si="2"/>
        <v>8500000000</v>
      </c>
      <c r="C34" s="62">
        <f t="shared" si="3"/>
        <v>400000000</v>
      </c>
      <c r="D34" s="62">
        <f t="shared" si="0"/>
        <v>8100000000</v>
      </c>
      <c r="E34" s="63">
        <f t="shared" si="4"/>
        <v>0.16312166184303503</v>
      </c>
      <c r="F34" s="62">
        <f t="shared" si="1"/>
        <v>1321285460.9285839</v>
      </c>
      <c r="G34" s="64">
        <f t="shared" si="5"/>
        <v>43157727790.595085</v>
      </c>
      <c r="H34" s="59" t="str">
        <f t="shared" si="6"/>
        <v>Recuperado</v>
      </c>
    </row>
    <row r="35" spans="1:8" ht="15" customHeight="1" x14ac:dyDescent="0.25">
      <c r="A35" s="60">
        <v>17</v>
      </c>
      <c r="B35" s="20">
        <f t="shared" si="2"/>
        <v>8500000000</v>
      </c>
      <c r="C35" s="20">
        <f t="shared" si="3"/>
        <v>400000000</v>
      </c>
      <c r="D35" s="20">
        <f t="shared" si="0"/>
        <v>8100000000</v>
      </c>
      <c r="E35" s="58">
        <f t="shared" si="4"/>
        <v>0.14564434093128129</v>
      </c>
      <c r="F35" s="20">
        <f t="shared" si="1"/>
        <v>1179719161.5433784</v>
      </c>
      <c r="G35" s="64">
        <f t="shared" si="5"/>
        <v>44337446952.138466</v>
      </c>
      <c r="H35" s="59" t="str">
        <f t="shared" si="6"/>
        <v>Recuperado</v>
      </c>
    </row>
    <row r="36" spans="1:8" ht="15" customHeight="1" x14ac:dyDescent="0.25">
      <c r="A36" s="61">
        <v>18</v>
      </c>
      <c r="B36" s="62">
        <f t="shared" si="2"/>
        <v>8500000000</v>
      </c>
      <c r="C36" s="62">
        <f t="shared" si="3"/>
        <v>400000000</v>
      </c>
      <c r="D36" s="62">
        <f t="shared" si="0"/>
        <v>8100000000</v>
      </c>
      <c r="E36" s="63">
        <f t="shared" si="4"/>
        <v>0.13003959011721541</v>
      </c>
      <c r="F36" s="62">
        <f t="shared" si="1"/>
        <v>1053320679.9494449</v>
      </c>
      <c r="G36" s="64">
        <f t="shared" si="5"/>
        <v>45390767632.087914</v>
      </c>
      <c r="H36" s="59" t="str">
        <f t="shared" si="6"/>
        <v>Recuperado</v>
      </c>
    </row>
    <row r="37" spans="1:8" ht="15" customHeight="1" x14ac:dyDescent="0.25">
      <c r="A37" s="60">
        <v>19</v>
      </c>
      <c r="B37" s="20">
        <f t="shared" si="2"/>
        <v>8500000000</v>
      </c>
      <c r="C37" s="20">
        <f t="shared" si="3"/>
        <v>400000000</v>
      </c>
      <c r="D37" s="20">
        <f t="shared" si="0"/>
        <v>8100000000</v>
      </c>
      <c r="E37" s="58">
        <f t="shared" si="4"/>
        <v>0.1161067768903709</v>
      </c>
      <c r="F37" s="20">
        <f t="shared" si="1"/>
        <v>940464892.81200421</v>
      </c>
      <c r="G37" s="64">
        <f t="shared" si="5"/>
        <v>46331232524.899918</v>
      </c>
      <c r="H37" s="59" t="str">
        <f t="shared" si="6"/>
        <v>Recuperado</v>
      </c>
    </row>
    <row r="38" spans="1:8" ht="15" customHeight="1" x14ac:dyDescent="0.25">
      <c r="A38" s="61">
        <v>20</v>
      </c>
      <c r="B38" s="62">
        <f t="shared" si="2"/>
        <v>8500000000</v>
      </c>
      <c r="C38" s="62">
        <f t="shared" si="3"/>
        <v>400000000</v>
      </c>
      <c r="D38" s="62">
        <f t="shared" si="0"/>
        <v>8100000000</v>
      </c>
      <c r="E38" s="63">
        <f t="shared" si="4"/>
        <v>0.1036667650806883</v>
      </c>
      <c r="F38" s="62">
        <f t="shared" si="1"/>
        <v>839700797.15357518</v>
      </c>
      <c r="G38" s="64">
        <f t="shared" si="5"/>
        <v>47170933322.05349</v>
      </c>
      <c r="H38" s="59" t="str">
        <f t="shared" si="6"/>
        <v>Recuperado</v>
      </c>
    </row>
    <row r="39" spans="1:8" ht="15" customHeight="1" x14ac:dyDescent="0.25">
      <c r="A39" s="65" t="s">
        <v>82</v>
      </c>
      <c r="B39" s="56">
        <f>SUM(B18:B38)</f>
        <v>170000000000</v>
      </c>
      <c r="C39" s="56">
        <f>SUM(C18:C38)</f>
        <v>21331560035</v>
      </c>
      <c r="D39" s="56">
        <f>SUM(D18:D38)</f>
        <v>148668439965</v>
      </c>
      <c r="E39" s="55"/>
      <c r="F39" s="56">
        <f>SUM(F18:F38)</f>
        <v>47170933322.05349</v>
      </c>
      <c r="G39" s="55"/>
    </row>
    <row r="41" spans="1:8" ht="15" customHeight="1" x14ac:dyDescent="0.25">
      <c r="A41" s="108" t="s">
        <v>393</v>
      </c>
      <c r="B41" s="108"/>
      <c r="C41" s="108"/>
      <c r="D41" s="108"/>
      <c r="E41" s="108"/>
      <c r="F41" s="108"/>
      <c r="G41" s="108"/>
      <c r="H41" s="108"/>
    </row>
    <row r="42" spans="1:8" ht="15" customHeight="1" x14ac:dyDescent="0.25">
      <c r="A42" s="26" t="s">
        <v>273</v>
      </c>
      <c r="B42" s="26" t="s">
        <v>274</v>
      </c>
      <c r="C42" s="26" t="s">
        <v>394</v>
      </c>
      <c r="D42" s="26" t="s">
        <v>395</v>
      </c>
      <c r="E42" s="26" t="s">
        <v>396</v>
      </c>
    </row>
    <row r="43" spans="1:8" ht="15" customHeight="1" x14ac:dyDescent="0.25">
      <c r="A43" s="12" t="s">
        <v>397</v>
      </c>
      <c r="B43" s="21">
        <f>G38</f>
        <v>47170933322.05349</v>
      </c>
      <c r="C43" s="1" t="s">
        <v>398</v>
      </c>
      <c r="D43" s="43" t="s">
        <v>399</v>
      </c>
      <c r="E43" s="66" t="str">
        <f>IF(B43&gt;0,"VIABLE","NO VIABLE")</f>
        <v>VIABLE</v>
      </c>
    </row>
    <row r="44" spans="1:8" ht="15" hidden="1" customHeight="1" x14ac:dyDescent="0.25">
      <c r="A44" s="10" t="s">
        <v>400</v>
      </c>
      <c r="B44" s="20">
        <f>NPV(B12,D19:D38)+D18</f>
        <v>47170933322.053497</v>
      </c>
      <c r="C44" s="1" t="s">
        <v>401</v>
      </c>
      <c r="D44" s="41" t="s">
        <v>402</v>
      </c>
      <c r="E44" s="67" t="str">
        <f>IF(ROUND(B43-B44,0)=0,"OK CUADRA","REVISAR")</f>
        <v>OK CUADRA</v>
      </c>
    </row>
    <row r="45" spans="1:8" ht="15" customHeight="1" x14ac:dyDescent="0.25">
      <c r="A45" s="12" t="s">
        <v>403</v>
      </c>
      <c r="B45" s="68">
        <f>IRR(D18:D38)</f>
        <v>0.6075350562418993</v>
      </c>
      <c r="C45" s="1" t="s">
        <v>404</v>
      </c>
      <c r="D45" s="43" t="s">
        <v>405</v>
      </c>
      <c r="E45" s="66" t="str">
        <f>IF(B45&gt;B12,"VIABLE","NO VIABLE")</f>
        <v>VIABLE</v>
      </c>
    </row>
    <row r="46" spans="1:8" ht="15" customHeight="1" x14ac:dyDescent="0.25">
      <c r="A46" s="12" t="s">
        <v>406</v>
      </c>
      <c r="B46" s="69">
        <f>NPV(B12,B19:B38)/(B6+NPV(B12,C19:C38))</f>
        <v>3.8904931567343541</v>
      </c>
      <c r="C46" s="1" t="s">
        <v>407</v>
      </c>
      <c r="D46" s="43" t="s">
        <v>408</v>
      </c>
      <c r="E46" s="66" t="str">
        <f>IF(B46&gt;1,"VIABLE","NO VIABLE")</f>
        <v>VIABLE</v>
      </c>
    </row>
    <row r="47" spans="1:8" ht="15" customHeight="1" x14ac:dyDescent="0.25">
      <c r="A47" s="12" t="s">
        <v>409</v>
      </c>
      <c r="B47" s="70">
        <f>B6/B14</f>
        <v>1.6458716092592593</v>
      </c>
      <c r="C47" s="1" t="s">
        <v>410</v>
      </c>
      <c r="D47" s="43" t="s">
        <v>411</v>
      </c>
      <c r="E47" s="66" t="str">
        <f>IF(B47&lt;B13,"VIABLE","NO VIABLE")</f>
        <v>VIABLE</v>
      </c>
    </row>
    <row r="48" spans="1:8" ht="15" customHeight="1" x14ac:dyDescent="0.25">
      <c r="A48" s="12" t="s">
        <v>412</v>
      </c>
      <c r="B48" s="70">
        <f>MATCH(TRUE(),INDEX(G18:G38&gt;=0,0),0)-1+(ABS(INDEX(G18:G38,MATCH(TRUE(),INDEX(G18:G38&gt;=0,0),0)-1))/INDEX(F18:F38,MATCH(TRUE(),INDEX(G18:G38&gt;=0,0),0)))</f>
        <v>2.944581346654815</v>
      </c>
      <c r="C48" s="1" t="s">
        <v>413</v>
      </c>
      <c r="D48" s="43" t="s">
        <v>414</v>
      </c>
      <c r="E48" s="66" t="str">
        <f>IF(B48&lt;B13,"VIABLE","NO VIABLE")</f>
        <v>VIABLE</v>
      </c>
    </row>
    <row r="50" spans="1:8" ht="15" customHeight="1" x14ac:dyDescent="0.25">
      <c r="A50" s="108" t="s">
        <v>415</v>
      </c>
      <c r="B50" s="108"/>
      <c r="C50" s="108"/>
      <c r="D50" s="108"/>
      <c r="E50" s="108"/>
      <c r="F50" s="108"/>
      <c r="G50" s="108"/>
      <c r="H50" s="108"/>
    </row>
    <row r="51" spans="1:8" ht="15" customHeight="1" x14ac:dyDescent="0.25">
      <c r="A51" s="12" t="s">
        <v>416</v>
      </c>
      <c r="B51" s="13">
        <f>NPV(B12,B19:B38)</f>
        <v>63490270806.784531</v>
      </c>
    </row>
    <row r="52" spans="1:8" ht="15" customHeight="1" x14ac:dyDescent="0.25">
      <c r="A52" s="12" t="s">
        <v>417</v>
      </c>
      <c r="B52" s="15">
        <f>NPV(B12,C19:C38)</f>
        <v>2987777449.7310367</v>
      </c>
    </row>
    <row r="53" spans="1:8" ht="15" customHeight="1" x14ac:dyDescent="0.25">
      <c r="A53" s="12" t="s">
        <v>418</v>
      </c>
      <c r="B53" s="15">
        <f>B6+B52</f>
        <v>16319337484.731037</v>
      </c>
    </row>
    <row r="54" spans="1:8" ht="15" customHeight="1" x14ac:dyDescent="0.25">
      <c r="A54" s="12" t="s">
        <v>419</v>
      </c>
      <c r="B54" s="21">
        <f>B51-B53</f>
        <v>47170933322.053497</v>
      </c>
      <c r="D54" s="1" t="s">
        <v>420</v>
      </c>
    </row>
    <row r="55" spans="1:8" ht="15" customHeight="1" x14ac:dyDescent="0.25">
      <c r="A55" s="10" t="s">
        <v>421</v>
      </c>
      <c r="B55" s="64">
        <f>B54-B43</f>
        <v>0</v>
      </c>
      <c r="D55" s="38" t="str">
        <f>IF(ROUND(B55,0)=0,"OK CONSISTENTE","REVISAR")</f>
        <v>OK CONSISTENTE</v>
      </c>
      <c r="E55" t="str">
        <f>IF(ROUND(B55,0)=0,"OK CONSISTENTE","REVISAR")</f>
        <v>OK CONSISTENTE</v>
      </c>
    </row>
  </sheetData>
  <mergeCells count="6">
    <mergeCell ref="A50:H50"/>
    <mergeCell ref="A1:H1"/>
    <mergeCell ref="A2:H2"/>
    <mergeCell ref="A4:H4"/>
    <mergeCell ref="A16:H16"/>
    <mergeCell ref="A41:H41"/>
  </mergeCell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E75B6"/>
  </sheetPr>
  <dimension ref="A1:F18"/>
  <sheetViews>
    <sheetView zoomScaleNormal="100" workbookViewId="0">
      <selection activeCell="H18" sqref="H18"/>
    </sheetView>
  </sheetViews>
  <sheetFormatPr baseColWidth="10" defaultColWidth="8.7109375" defaultRowHeight="15" x14ac:dyDescent="0.25"/>
  <cols>
    <col min="1" max="1" width="25" customWidth="1"/>
    <col min="2" max="3" width="18" customWidth="1"/>
    <col min="4" max="4" width="22" customWidth="1"/>
    <col min="5" max="6" width="15" customWidth="1"/>
  </cols>
  <sheetData>
    <row r="1" spans="1:6" ht="17.25" customHeight="1" x14ac:dyDescent="0.25">
      <c r="A1" s="111" t="s">
        <v>422</v>
      </c>
      <c r="B1" s="111"/>
      <c r="C1" s="111"/>
      <c r="D1" s="111"/>
      <c r="E1" s="111"/>
      <c r="F1" s="111"/>
    </row>
    <row r="3" spans="1:6" ht="15" customHeight="1" x14ac:dyDescent="0.25">
      <c r="A3" s="2" t="s">
        <v>423</v>
      </c>
    </row>
    <row r="4" spans="1:6" ht="15" customHeight="1" x14ac:dyDescent="0.25">
      <c r="A4" s="71" t="s">
        <v>424</v>
      </c>
      <c r="B4" s="71" t="s">
        <v>425</v>
      </c>
      <c r="C4" s="71" t="s">
        <v>426</v>
      </c>
      <c r="D4" s="71" t="s">
        <v>427</v>
      </c>
    </row>
    <row r="5" spans="1:6" ht="15" customHeight="1" x14ac:dyDescent="0.25">
      <c r="A5" s="3" t="s">
        <v>428</v>
      </c>
      <c r="B5" s="72">
        <v>0.2</v>
      </c>
      <c r="C5" s="72">
        <v>-0.25</v>
      </c>
      <c r="D5" s="72">
        <v>0.5</v>
      </c>
    </row>
    <row r="6" spans="1:6" ht="15" customHeight="1" x14ac:dyDescent="0.25">
      <c r="A6" s="3" t="s">
        <v>429</v>
      </c>
      <c r="B6" s="72">
        <v>0</v>
      </c>
      <c r="C6" s="72">
        <v>0</v>
      </c>
      <c r="D6" s="72">
        <v>0</v>
      </c>
    </row>
    <row r="7" spans="1:6" ht="15" customHeight="1" x14ac:dyDescent="0.25">
      <c r="A7" s="3" t="s">
        <v>430</v>
      </c>
      <c r="B7" s="72">
        <v>-0.05</v>
      </c>
      <c r="C7" s="72">
        <v>0.15</v>
      </c>
      <c r="D7" s="72">
        <v>-0.1</v>
      </c>
    </row>
    <row r="9" spans="1:6" ht="15" customHeight="1" x14ac:dyDescent="0.25">
      <c r="A9" s="2" t="s">
        <v>431</v>
      </c>
    </row>
    <row r="10" spans="1:6" ht="15" customHeight="1" x14ac:dyDescent="0.25">
      <c r="A10" s="71" t="s">
        <v>424</v>
      </c>
      <c r="B10" s="71" t="s">
        <v>432</v>
      </c>
      <c r="C10" s="71" t="s">
        <v>433</v>
      </c>
      <c r="D10" s="71" t="s">
        <v>434</v>
      </c>
      <c r="E10" s="71" t="s">
        <v>435</v>
      </c>
      <c r="F10" s="71" t="s">
        <v>436</v>
      </c>
    </row>
    <row r="11" spans="1:6" ht="15" customHeight="1" x14ac:dyDescent="0.25">
      <c r="A11" s="3" t="s">
        <v>428</v>
      </c>
      <c r="B11" s="7">
        <f>'7. FlujoNeto-Evaluación VPN-TIR'!B6*(1+B5)</f>
        <v>15997872042</v>
      </c>
      <c r="C11" s="7">
        <f>'7. FlujoNeto-Evaluación VPN-TIR'!B7*(1+C5)</f>
        <v>6375000000</v>
      </c>
      <c r="D11" s="4">
        <f>-B11+(C11-'7. FlujoNeto-Evaluación VPN-TIR'!$B$11*(1+$D$5))*((1-(1+'7. FlujoNeto-Evaluación VPN-TIR'!$B$12)^(-'7. FlujoNeto-Evaluación VPN-TIR'!$B$13))/'7. FlujoNeto-Evaluación VPN-TIR'!$B$12)</f>
        <v>27138164888.491875</v>
      </c>
      <c r="E11" s="5">
        <v>0.36098551012525998</v>
      </c>
      <c r="F11" s="73">
        <v>2.3251355866266201</v>
      </c>
    </row>
    <row r="12" spans="1:6" ht="15" customHeight="1" x14ac:dyDescent="0.25">
      <c r="A12" s="3" t="s">
        <v>429</v>
      </c>
      <c r="B12" s="7">
        <f>'7. FlujoNeto-Evaluación VPN-TIR'!B6*(1+B6)</f>
        <v>13331560035</v>
      </c>
      <c r="C12" s="7">
        <f>'7. FlujoNeto-Evaluación VPN-TIR'!B7*(1+C6)</f>
        <v>8500000000</v>
      </c>
      <c r="D12" s="4">
        <f>-B12+(C12-'7. FlujoNeto-Evaluación VPN-TIR'!$B$11*(1+$D$6))*((1-(1+'7. FlujoNeto-Evaluación VPN-TIR'!$B$12)^(-'7. FlujoNeto-Evaluación VPN-TIR'!$B$13))/'7. FlujoNeto-Evaluación VPN-TIR'!$B$12)</f>
        <v>47170933322.053543</v>
      </c>
      <c r="E12" s="5">
        <v>0.60758080665238501</v>
      </c>
      <c r="F12" s="73">
        <v>3.8904931567343599</v>
      </c>
    </row>
    <row r="13" spans="1:6" ht="15" customHeight="1" x14ac:dyDescent="0.25">
      <c r="A13" s="3" t="s">
        <v>430</v>
      </c>
      <c r="B13" s="7">
        <f>'7. FlujoNeto-Evaluación VPN-TIR'!B6*(1+B7)</f>
        <v>12664982033.25</v>
      </c>
      <c r="C13" s="7">
        <f>'7. FlujoNeto-Evaluación VPN-TIR'!B7*(1+C7)</f>
        <v>9775000000</v>
      </c>
      <c r="D13" s="4">
        <f>-B13+(C13-'7. FlujoNeto-Evaluación VPN-TIR'!$B$11*(1+$D$7))*((1-(1+'7. FlujoNeto-Evaluación VPN-TIR'!$B$12)^(-'7. FlujoNeto-Evaluación VPN-TIR'!$B$13))/'7. FlujoNeto-Evaluación VPN-TIR'!$B$12)</f>
        <v>57659829689.794327</v>
      </c>
      <c r="E13" s="5">
        <v>0.74338834238235296</v>
      </c>
      <c r="F13" s="73">
        <v>4.7553665670358702</v>
      </c>
    </row>
    <row r="15" spans="1:6" ht="15" customHeight="1" x14ac:dyDescent="0.25">
      <c r="A15" s="2" t="s">
        <v>437</v>
      </c>
    </row>
    <row r="16" spans="1:6" ht="15" customHeight="1" x14ac:dyDescent="0.25">
      <c r="A16" s="112" t="s">
        <v>438</v>
      </c>
      <c r="B16" s="112"/>
      <c r="C16" s="112"/>
      <c r="D16" s="112"/>
      <c r="E16" s="112"/>
      <c r="F16" s="112"/>
    </row>
    <row r="17" spans="1:6" ht="15" customHeight="1" x14ac:dyDescent="0.25">
      <c r="A17" s="112"/>
      <c r="B17" s="112"/>
      <c r="C17" s="112"/>
      <c r="D17" s="112"/>
      <c r="E17" s="112"/>
      <c r="F17" s="112"/>
    </row>
    <row r="18" spans="1:6" ht="15" customHeight="1" x14ac:dyDescent="0.25">
      <c r="A18" s="112"/>
      <c r="B18" s="112"/>
      <c r="C18" s="112"/>
      <c r="D18" s="112"/>
      <c r="E18" s="112"/>
      <c r="F18" s="112"/>
    </row>
  </sheetData>
  <mergeCells count="2">
    <mergeCell ref="A1:F1"/>
    <mergeCell ref="A16:F18"/>
  </mergeCell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5E4726DF542A34BA36BC3DD8E44F04E" ma:contentTypeVersion="10" ma:contentTypeDescription="Crear nuevo documento." ma:contentTypeScope="" ma:versionID="c1b708b5efe1165d0d806001fc840ac3">
  <xsd:schema xmlns:xsd="http://www.w3.org/2001/XMLSchema" xmlns:xs="http://www.w3.org/2001/XMLSchema" xmlns:p="http://schemas.microsoft.com/office/2006/metadata/properties" xmlns:ns2="f3ed0675-2008-4717-b0f5-2956fc877cde" xmlns:ns3="06631e3c-88b7-451b-816b-ff46c2bfb6ce" targetNamespace="http://schemas.microsoft.com/office/2006/metadata/properties" ma:root="true" ma:fieldsID="b57fa9e904d5db4f17ffee7103630147" ns2:_="" ns3:_="">
    <xsd:import namespace="f3ed0675-2008-4717-b0f5-2956fc877cde"/>
    <xsd:import namespace="06631e3c-88b7-451b-816b-ff46c2bfb6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ed0675-2008-4717-b0f5-2956fc877c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cf9b37f9-b57c-4017-a7b4-fc26f9ccca9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631e3c-88b7-451b-816b-ff46c2bfb6c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46f6d5-4f39-42b9-a3eb-178932f0d7df}" ma:internalName="TaxCatchAll" ma:showField="CatchAllData" ma:web="06631e3c-88b7-451b-816b-ff46c2bfb6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3ed0675-2008-4717-b0f5-2956fc877cde">
      <Terms xmlns="http://schemas.microsoft.com/office/infopath/2007/PartnerControls"/>
    </lcf76f155ced4ddcb4097134ff3c332f>
    <TaxCatchAll xmlns="06631e3c-88b7-451b-816b-ff46c2bfb6ce" xsi:nil="true"/>
  </documentManagement>
</p:properties>
</file>

<file path=customXml/itemProps1.xml><?xml version="1.0" encoding="utf-8"?>
<ds:datastoreItem xmlns:ds="http://schemas.openxmlformats.org/officeDocument/2006/customXml" ds:itemID="{05FDA904-5A72-414E-B3D2-7AE15BC76387}"/>
</file>

<file path=customXml/itemProps2.xml><?xml version="1.0" encoding="utf-8"?>
<ds:datastoreItem xmlns:ds="http://schemas.openxmlformats.org/officeDocument/2006/customXml" ds:itemID="{6FB84F2A-DC92-479A-B51E-54249B96C5C8}"/>
</file>

<file path=customXml/itemProps3.xml><?xml version="1.0" encoding="utf-8"?>
<ds:datastoreItem xmlns:ds="http://schemas.openxmlformats.org/officeDocument/2006/customXml" ds:itemID="{61952C33-9DED-4B4A-8D21-4C4DD266C86A}"/>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1. Datos y Costos del Contrato</vt:lpstr>
      <vt:lpstr>3.Financiacion </vt:lpstr>
      <vt:lpstr>4. Flujo de Caja</vt:lpstr>
      <vt:lpstr>5. Estados Financieros</vt:lpstr>
      <vt:lpstr>6. Tasa Descuento</vt:lpstr>
      <vt:lpstr>7. FlujoNeto-Evaluación VPN-TIR</vt:lpstr>
      <vt:lpstr>9. Sensibilidad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Liseth Oliveros</cp:lastModifiedBy>
  <cp:revision>0</cp:revision>
  <dcterms:created xsi:type="dcterms:W3CDTF">2026-05-01T20:00:28Z</dcterms:created>
  <dcterms:modified xsi:type="dcterms:W3CDTF">2026-07-16T03:28:54Z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0x01010045E4726DF542A34BA36BC3DD8E44F04E</vt:lpwstr>
  </property>
</Properties>
</file>