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3.xml" ContentType="application/vnd.openxmlformats-officedocument.drawing+xml"/>
  <Override PartName="/xl/charts/chart5.xml" ContentType="application/vnd.openxmlformats-officedocument.drawingml.char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https://soportecorporativo-my.sharepoint.com/personal/auxmaquinaria_cimelec_co/Documents/MGP/"/>
    </mc:Choice>
  </mc:AlternateContent>
  <xr:revisionPtr revIDLastSave="97" documentId="11_F66AAC4F7BE219024C1F6968AD9AD8858DD98AF4" xr6:coauthVersionLast="47" xr6:coauthVersionMax="47" xr10:uidLastSave="{B37FC523-97D7-4C77-B9D0-00562D5AF413}"/>
  <bookViews>
    <workbookView xWindow="20370" yWindow="-120" windowWidth="29040" windowHeight="15720" tabRatio="563" firstSheet="1" activeTab="1" xr2:uid="{00000000-000D-0000-FFFF-FFFF00000000}"/>
  </bookViews>
  <sheets>
    <sheet name="0. Parametros" sheetId="1" state="hidden" r:id="rId1"/>
    <sheet name="1. Calculo PERT" sheetId="2" r:id="rId2"/>
    <sheet name="2. Red CPM-Ruta Critica" sheetId="3" state="hidden" r:id="rId3"/>
    <sheet name="2A. Vinculos" sheetId="4" state="hidden" r:id="rId4"/>
    <sheet name="3. Hitos-Linea Base" sheetId="5" r:id="rId5"/>
    <sheet name="4. Nivelacion Recursos" sheetId="6" r:id="rId6"/>
    <sheet name="5. Resumen-Validacion" sheetId="7" state="hidden" r:id="rId7"/>
    <sheet name="6. Equivalencia PERT tesis" sheetId="8" state="hidden" r:id="rId8"/>
    <sheet name="7. Recursos y Asignacion" sheetId="9" state="hidden" r:id="rId9"/>
    <sheet name="8. Cronograma Gantt" sheetId="10" state="hidden" r:id="rId10"/>
    <sheet name="9. Graficos Dinamicos" sheetId="11" state="hidden" r:id="rId11"/>
    <sheet name="10. Presupuesto" sheetId="12" r:id="rId12"/>
    <sheet name="11. Flujo de Caja" sheetId="13" state="hidden" r:id="rId1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B5" i="12" l="1"/>
  <c r="D5" i="12" s="1"/>
  <c r="B6" i="12"/>
  <c r="D6" i="12" s="1"/>
  <c r="B7" i="12"/>
  <c r="D7" i="12" s="1"/>
  <c r="B8" i="12"/>
  <c r="B9" i="12"/>
  <c r="D9" i="12" s="1"/>
  <c r="B10" i="12"/>
  <c r="D10" i="12" s="1"/>
  <c r="B11" i="12"/>
  <c r="D11" i="12" s="1"/>
  <c r="B12" i="12"/>
  <c r="D12" i="12" s="1"/>
  <c r="B13" i="12"/>
  <c r="D13" i="12" s="1"/>
  <c r="B14" i="12"/>
  <c r="D14" i="12" s="1"/>
  <c r="B15" i="12"/>
  <c r="D15" i="12" s="1"/>
  <c r="B16" i="12"/>
  <c r="D16" i="12" s="1"/>
  <c r="B17" i="12"/>
  <c r="D17" i="12" s="1"/>
  <c r="C18" i="12"/>
  <c r="C20" i="12" s="1"/>
  <c r="D19" i="12"/>
  <c r="C37" i="13"/>
  <c r="A33" i="13"/>
  <c r="C33" i="13" s="1"/>
  <c r="D33" i="13" s="1"/>
  <c r="C32" i="13"/>
  <c r="D32" i="13" s="1"/>
  <c r="A32" i="13"/>
  <c r="A31" i="13"/>
  <c r="A30" i="13"/>
  <c r="A29" i="13"/>
  <c r="A28" i="13"/>
  <c r="A27" i="13"/>
  <c r="A26" i="13"/>
  <c r="A25" i="13"/>
  <c r="A24" i="13"/>
  <c r="A23" i="13"/>
  <c r="A22" i="13"/>
  <c r="A21" i="13"/>
  <c r="A20" i="13"/>
  <c r="A19" i="13"/>
  <c r="A18" i="13"/>
  <c r="A17" i="13"/>
  <c r="A16" i="13"/>
  <c r="A15" i="13"/>
  <c r="A14" i="13"/>
  <c r="A13" i="13"/>
  <c r="E12" i="13"/>
  <c r="A12" i="13"/>
  <c r="A11" i="13"/>
  <c r="C43" i="12"/>
  <c r="C42" i="12" a="1"/>
  <c r="C42" i="12" s="1"/>
  <c r="C41" i="12" a="1"/>
  <c r="C41" i="12" s="1"/>
  <c r="C40" i="12" a="1"/>
  <c r="C40" i="12" s="1"/>
  <c r="C39" i="12" a="1"/>
  <c r="C39" i="12" s="1"/>
  <c r="C38" i="12" a="1"/>
  <c r="C38" i="12" s="1"/>
  <c r="C37" i="12" a="1"/>
  <c r="C37" i="12" s="1"/>
  <c r="C36" i="12" a="1"/>
  <c r="C36" i="12" s="1"/>
  <c r="C35" i="12" a="1"/>
  <c r="C35" i="12" s="1"/>
  <c r="C34" i="12" a="1"/>
  <c r="C34" i="12" s="1"/>
  <c r="AH208" i="10"/>
  <c r="E208" i="10"/>
  <c r="D208" i="10"/>
  <c r="C208" i="10"/>
  <c r="B208" i="10"/>
  <c r="A208" i="10"/>
  <c r="AH207" i="10"/>
  <c r="E207" i="10"/>
  <c r="D207" i="10"/>
  <c r="C207" i="10"/>
  <c r="B207" i="10"/>
  <c r="A207" i="10"/>
  <c r="AH206" i="10"/>
  <c r="E206" i="10"/>
  <c r="D206" i="10"/>
  <c r="C206" i="10"/>
  <c r="B206" i="10"/>
  <c r="A206" i="10"/>
  <c r="AH205" i="10"/>
  <c r="E205" i="10"/>
  <c r="D205" i="10"/>
  <c r="C205" i="10"/>
  <c r="B205" i="10"/>
  <c r="A205" i="10"/>
  <c r="AH204" i="10"/>
  <c r="E204" i="10"/>
  <c r="D204" i="10"/>
  <c r="C204" i="10"/>
  <c r="B204" i="10"/>
  <c r="A204" i="10"/>
  <c r="AH203" i="10"/>
  <c r="E203" i="10"/>
  <c r="D203" i="10"/>
  <c r="C203" i="10"/>
  <c r="B203" i="10"/>
  <c r="A203" i="10"/>
  <c r="AH202" i="10"/>
  <c r="E202" i="10"/>
  <c r="D202" i="10"/>
  <c r="C202" i="10"/>
  <c r="B202" i="10"/>
  <c r="A202" i="10"/>
  <c r="AH201" i="10"/>
  <c r="E201" i="10"/>
  <c r="D201" i="10"/>
  <c r="C201" i="10"/>
  <c r="B201" i="10"/>
  <c r="A201" i="10"/>
  <c r="AH200" i="10"/>
  <c r="E200" i="10"/>
  <c r="D200" i="10"/>
  <c r="C200" i="10"/>
  <c r="B200" i="10"/>
  <c r="A200" i="10"/>
  <c r="AH199" i="10"/>
  <c r="E199" i="10"/>
  <c r="D199" i="10"/>
  <c r="C199" i="10"/>
  <c r="B199" i="10"/>
  <c r="A199" i="10"/>
  <c r="AH198" i="10"/>
  <c r="E198" i="10"/>
  <c r="D198" i="10"/>
  <c r="C198" i="10"/>
  <c r="B198" i="10"/>
  <c r="A198" i="10"/>
  <c r="AH197" i="10"/>
  <c r="E197" i="10"/>
  <c r="D197" i="10"/>
  <c r="C197" i="10"/>
  <c r="B197" i="10"/>
  <c r="A197" i="10"/>
  <c r="AH196" i="10"/>
  <c r="E196" i="10"/>
  <c r="D196" i="10"/>
  <c r="C196" i="10"/>
  <c r="B196" i="10"/>
  <c r="A196" i="10"/>
  <c r="AH195" i="10"/>
  <c r="E195" i="10"/>
  <c r="D195" i="10"/>
  <c r="C195" i="10"/>
  <c r="B195" i="10"/>
  <c r="A195" i="10"/>
  <c r="E194" i="10"/>
  <c r="D194" i="10"/>
  <c r="C194" i="10"/>
  <c r="B194" i="10"/>
  <c r="A194" i="10"/>
  <c r="E193" i="10"/>
  <c r="D193" i="10"/>
  <c r="C193" i="10"/>
  <c r="B193" i="10"/>
  <c r="A193" i="10"/>
  <c r="E192" i="10"/>
  <c r="D192" i="10"/>
  <c r="C192" i="10"/>
  <c r="B192" i="10"/>
  <c r="A192" i="10"/>
  <c r="E191" i="10"/>
  <c r="D191" i="10"/>
  <c r="C191" i="10"/>
  <c r="B191" i="10"/>
  <c r="A191" i="10"/>
  <c r="E190" i="10"/>
  <c r="D190" i="10"/>
  <c r="C190" i="10"/>
  <c r="B190" i="10"/>
  <c r="A190" i="10"/>
  <c r="AH189" i="10"/>
  <c r="E189" i="10"/>
  <c r="D189" i="10"/>
  <c r="C189" i="10"/>
  <c r="B189" i="10"/>
  <c r="A189" i="10"/>
  <c r="AH188" i="10"/>
  <c r="E188" i="10"/>
  <c r="D188" i="10"/>
  <c r="C188" i="10"/>
  <c r="B188" i="10"/>
  <c r="A188" i="10"/>
  <c r="AH187" i="10"/>
  <c r="E187" i="10"/>
  <c r="D187" i="10"/>
  <c r="C187" i="10"/>
  <c r="B187" i="10"/>
  <c r="A187" i="10"/>
  <c r="AH186" i="10"/>
  <c r="E186" i="10"/>
  <c r="D186" i="10"/>
  <c r="C186" i="10"/>
  <c r="B186" i="10"/>
  <c r="A186" i="10"/>
  <c r="E185" i="10"/>
  <c r="D185" i="10"/>
  <c r="C185" i="10"/>
  <c r="B185" i="10"/>
  <c r="A185" i="10"/>
  <c r="AH184" i="10"/>
  <c r="E184" i="10"/>
  <c r="D184" i="10"/>
  <c r="C184" i="10"/>
  <c r="B184" i="10"/>
  <c r="A184" i="10"/>
  <c r="E183" i="10"/>
  <c r="D183" i="10"/>
  <c r="C183" i="10"/>
  <c r="B183" i="10"/>
  <c r="A183" i="10"/>
  <c r="E182" i="10"/>
  <c r="D182" i="10"/>
  <c r="C182" i="10"/>
  <c r="B182" i="10"/>
  <c r="A182" i="10"/>
  <c r="E181" i="10"/>
  <c r="D181" i="10"/>
  <c r="C181" i="10"/>
  <c r="B181" i="10"/>
  <c r="A181" i="10"/>
  <c r="AH180" i="10"/>
  <c r="E180" i="10"/>
  <c r="D180" i="10"/>
  <c r="C180" i="10"/>
  <c r="B180" i="10"/>
  <c r="A180" i="10"/>
  <c r="E179" i="10"/>
  <c r="D179" i="10"/>
  <c r="C179" i="10"/>
  <c r="B179" i="10"/>
  <c r="A179" i="10"/>
  <c r="AH178" i="10"/>
  <c r="E178" i="10"/>
  <c r="D178" i="10"/>
  <c r="C178" i="10"/>
  <c r="B178" i="10"/>
  <c r="A178" i="10"/>
  <c r="AH177" i="10"/>
  <c r="E177" i="10"/>
  <c r="D177" i="10"/>
  <c r="C177" i="10"/>
  <c r="B177" i="10"/>
  <c r="A177" i="10"/>
  <c r="E176" i="10"/>
  <c r="D176" i="10"/>
  <c r="C176" i="10"/>
  <c r="B176" i="10"/>
  <c r="AH176" i="10" s="1"/>
  <c r="A176" i="10"/>
  <c r="AH175" i="10"/>
  <c r="E175" i="10"/>
  <c r="D175" i="10"/>
  <c r="C175" i="10"/>
  <c r="B175" i="10"/>
  <c r="A175" i="10"/>
  <c r="AH174" i="10"/>
  <c r="E174" i="10"/>
  <c r="D174" i="10"/>
  <c r="C174" i="10"/>
  <c r="B174" i="10"/>
  <c r="A174" i="10"/>
  <c r="AH173" i="10"/>
  <c r="E173" i="10"/>
  <c r="D173" i="10"/>
  <c r="C173" i="10"/>
  <c r="B173" i="10"/>
  <c r="A173" i="10"/>
  <c r="E172" i="10"/>
  <c r="D172" i="10"/>
  <c r="C172" i="10"/>
  <c r="B172" i="10"/>
  <c r="A172" i="10"/>
  <c r="E171" i="10"/>
  <c r="D171" i="10"/>
  <c r="C171" i="10"/>
  <c r="B171" i="10"/>
  <c r="AH171" i="10" s="1"/>
  <c r="A171" i="10"/>
  <c r="E170" i="10"/>
  <c r="D170" i="10"/>
  <c r="C170" i="10"/>
  <c r="B170" i="10"/>
  <c r="A170" i="10"/>
  <c r="E169" i="10"/>
  <c r="D169" i="10"/>
  <c r="C169" i="10"/>
  <c r="B169" i="10"/>
  <c r="A169" i="10"/>
  <c r="E168" i="10"/>
  <c r="D168" i="10"/>
  <c r="C168" i="10"/>
  <c r="B168" i="10"/>
  <c r="A168" i="10"/>
  <c r="E167" i="10"/>
  <c r="D167" i="10"/>
  <c r="C167" i="10"/>
  <c r="B167" i="10"/>
  <c r="A167" i="10"/>
  <c r="AH166" i="10"/>
  <c r="E166" i="10"/>
  <c r="D166" i="10"/>
  <c r="C166" i="10"/>
  <c r="B166" i="10"/>
  <c r="A166" i="10"/>
  <c r="AH165" i="10"/>
  <c r="E165" i="10"/>
  <c r="D165" i="10"/>
  <c r="C165" i="10"/>
  <c r="B165" i="10"/>
  <c r="A165" i="10"/>
  <c r="AH164" i="10"/>
  <c r="E164" i="10"/>
  <c r="D164" i="10"/>
  <c r="C164" i="10"/>
  <c r="B164" i="10"/>
  <c r="A164" i="10"/>
  <c r="AH163" i="10"/>
  <c r="E163" i="10"/>
  <c r="D163" i="10"/>
  <c r="C163" i="10"/>
  <c r="B163" i="10"/>
  <c r="A163" i="10"/>
  <c r="AH162" i="10"/>
  <c r="E162" i="10"/>
  <c r="D162" i="10"/>
  <c r="C162" i="10"/>
  <c r="B162" i="10"/>
  <c r="A162" i="10"/>
  <c r="AH161" i="10"/>
  <c r="E161" i="10"/>
  <c r="D161" i="10"/>
  <c r="C161" i="10"/>
  <c r="B161" i="10"/>
  <c r="A161" i="10"/>
  <c r="AH160" i="10"/>
  <c r="E160" i="10"/>
  <c r="D160" i="10"/>
  <c r="C160" i="10"/>
  <c r="B160" i="10"/>
  <c r="A160" i="10"/>
  <c r="E159" i="10"/>
  <c r="D159" i="10"/>
  <c r="C159" i="10"/>
  <c r="B159" i="10"/>
  <c r="A159" i="10"/>
  <c r="AH158" i="10"/>
  <c r="E158" i="10"/>
  <c r="D158" i="10"/>
  <c r="C158" i="10"/>
  <c r="B158" i="10"/>
  <c r="A158" i="10"/>
  <c r="AH157" i="10"/>
  <c r="E157" i="10"/>
  <c r="D157" i="10"/>
  <c r="C157" i="10"/>
  <c r="B157" i="10"/>
  <c r="A157" i="10"/>
  <c r="E156" i="10"/>
  <c r="D156" i="10"/>
  <c r="C156" i="10"/>
  <c r="B156" i="10"/>
  <c r="AH156" i="10" s="1"/>
  <c r="A156" i="10"/>
  <c r="E155" i="10"/>
  <c r="D155" i="10"/>
  <c r="C155" i="10"/>
  <c r="B155" i="10"/>
  <c r="A155" i="10"/>
  <c r="AH154" i="10"/>
  <c r="E154" i="10"/>
  <c r="D154" i="10"/>
  <c r="C154" i="10"/>
  <c r="B154" i="10"/>
  <c r="A154" i="10"/>
  <c r="AH153" i="10"/>
  <c r="E153" i="10"/>
  <c r="D153" i="10"/>
  <c r="C153" i="10"/>
  <c r="B153" i="10"/>
  <c r="A153" i="10"/>
  <c r="E152" i="10"/>
  <c r="D152" i="10"/>
  <c r="C152" i="10"/>
  <c r="B152" i="10"/>
  <c r="AH152" i="10" s="1"/>
  <c r="A152" i="10"/>
  <c r="E151" i="10"/>
  <c r="D151" i="10"/>
  <c r="C151" i="10"/>
  <c r="B151" i="10"/>
  <c r="AH151" i="10" s="1"/>
  <c r="A151" i="10"/>
  <c r="E150" i="10"/>
  <c r="D150" i="10"/>
  <c r="C150" i="10"/>
  <c r="B150" i="10"/>
  <c r="AH150" i="10" s="1"/>
  <c r="A150" i="10"/>
  <c r="E149" i="10"/>
  <c r="D149" i="10"/>
  <c r="C149" i="10"/>
  <c r="B149" i="10"/>
  <c r="AH149" i="10" s="1"/>
  <c r="A149" i="10"/>
  <c r="E148" i="10"/>
  <c r="D148" i="10"/>
  <c r="C148" i="10"/>
  <c r="B148" i="10"/>
  <c r="AH148" i="10" s="1"/>
  <c r="A148" i="10"/>
  <c r="E147" i="10"/>
  <c r="D147" i="10"/>
  <c r="C147" i="10"/>
  <c r="B147" i="10"/>
  <c r="AH147" i="10" s="1"/>
  <c r="A147" i="10"/>
  <c r="E146" i="10"/>
  <c r="D146" i="10"/>
  <c r="C146" i="10"/>
  <c r="B146" i="10"/>
  <c r="AH146" i="10" s="1"/>
  <c r="A146" i="10"/>
  <c r="E145" i="10"/>
  <c r="D145" i="10"/>
  <c r="C145" i="10"/>
  <c r="B145" i="10"/>
  <c r="AH145" i="10" s="1"/>
  <c r="A145" i="10"/>
  <c r="E144" i="10"/>
  <c r="D144" i="10"/>
  <c r="C144" i="10"/>
  <c r="B144" i="10"/>
  <c r="AH144" i="10" s="1"/>
  <c r="A144" i="10"/>
  <c r="AH143" i="10"/>
  <c r="E143" i="10"/>
  <c r="D143" i="10"/>
  <c r="C143" i="10"/>
  <c r="B143" i="10"/>
  <c r="A143" i="10"/>
  <c r="AH142" i="10"/>
  <c r="E142" i="10"/>
  <c r="D142" i="10"/>
  <c r="C142" i="10"/>
  <c r="B142" i="10"/>
  <c r="A142" i="10"/>
  <c r="E141" i="10"/>
  <c r="D141" i="10"/>
  <c r="C141" i="10"/>
  <c r="B141" i="10"/>
  <c r="A141" i="10"/>
  <c r="AH140" i="10"/>
  <c r="E140" i="10"/>
  <c r="D140" i="10"/>
  <c r="C140" i="10"/>
  <c r="B140" i="10"/>
  <c r="A140" i="10"/>
  <c r="E139" i="10"/>
  <c r="D139" i="10"/>
  <c r="C139" i="10"/>
  <c r="B139" i="10"/>
  <c r="A139" i="10"/>
  <c r="AH138" i="10"/>
  <c r="E138" i="10"/>
  <c r="D138" i="10"/>
  <c r="C138" i="10"/>
  <c r="B138" i="10"/>
  <c r="A138" i="10"/>
  <c r="E137" i="10"/>
  <c r="D137" i="10"/>
  <c r="C137" i="10"/>
  <c r="B137" i="10"/>
  <c r="A137" i="10"/>
  <c r="AH136" i="10"/>
  <c r="E136" i="10"/>
  <c r="D136" i="10"/>
  <c r="C136" i="10"/>
  <c r="B136" i="10"/>
  <c r="A136" i="10"/>
  <c r="E135" i="10"/>
  <c r="D135" i="10"/>
  <c r="C135" i="10"/>
  <c r="B135" i="10"/>
  <c r="A135" i="10"/>
  <c r="E134" i="10"/>
  <c r="D134" i="10"/>
  <c r="C134" i="10"/>
  <c r="B134" i="10"/>
  <c r="AH134" i="10" s="1"/>
  <c r="A134" i="10"/>
  <c r="AH133" i="10"/>
  <c r="E133" i="10"/>
  <c r="D133" i="10"/>
  <c r="C133" i="10"/>
  <c r="B133" i="10"/>
  <c r="A133" i="10"/>
  <c r="E132" i="10"/>
  <c r="D132" i="10"/>
  <c r="C132" i="10"/>
  <c r="B132" i="10"/>
  <c r="A132" i="10"/>
  <c r="AH131" i="10"/>
  <c r="E131" i="10"/>
  <c r="D131" i="10"/>
  <c r="C131" i="10"/>
  <c r="B131" i="10"/>
  <c r="A131" i="10"/>
  <c r="E130" i="10"/>
  <c r="D130" i="10"/>
  <c r="C130" i="10"/>
  <c r="B130" i="10"/>
  <c r="A130" i="10"/>
  <c r="AH129" i="10"/>
  <c r="E129" i="10"/>
  <c r="D129" i="10"/>
  <c r="C129" i="10"/>
  <c r="B129" i="10"/>
  <c r="A129" i="10"/>
  <c r="E128" i="10"/>
  <c r="D128" i="10"/>
  <c r="C128" i="10"/>
  <c r="B128" i="10"/>
  <c r="A128" i="10"/>
  <c r="E127" i="10"/>
  <c r="D127" i="10"/>
  <c r="C127" i="10"/>
  <c r="B127" i="10"/>
  <c r="A127" i="10"/>
  <c r="AH126" i="10"/>
  <c r="E126" i="10"/>
  <c r="D126" i="10"/>
  <c r="C126" i="10"/>
  <c r="B126" i="10"/>
  <c r="A126" i="10"/>
  <c r="E125" i="10"/>
  <c r="D125" i="10"/>
  <c r="C125" i="10"/>
  <c r="B125" i="10"/>
  <c r="A125" i="10"/>
  <c r="AH124" i="10"/>
  <c r="E124" i="10"/>
  <c r="D124" i="10"/>
  <c r="C124" i="10"/>
  <c r="B124" i="10"/>
  <c r="A124" i="10"/>
  <c r="AH123" i="10"/>
  <c r="E123" i="10"/>
  <c r="D123" i="10"/>
  <c r="C123" i="10"/>
  <c r="B123" i="10"/>
  <c r="A123" i="10"/>
  <c r="AH122" i="10"/>
  <c r="E122" i="10"/>
  <c r="D122" i="10"/>
  <c r="C122" i="10"/>
  <c r="B122" i="10"/>
  <c r="A122" i="10"/>
  <c r="E121" i="10"/>
  <c r="D121" i="10"/>
  <c r="C121" i="10"/>
  <c r="B121" i="10"/>
  <c r="A121" i="10"/>
  <c r="E120" i="10"/>
  <c r="D120" i="10"/>
  <c r="C120" i="10"/>
  <c r="B120" i="10"/>
  <c r="A120" i="10"/>
  <c r="AH119" i="10"/>
  <c r="E119" i="10"/>
  <c r="D119" i="10"/>
  <c r="C119" i="10"/>
  <c r="B119" i="10"/>
  <c r="A119" i="10"/>
  <c r="AH118" i="10"/>
  <c r="E118" i="10"/>
  <c r="D118" i="10"/>
  <c r="C118" i="10"/>
  <c r="B118" i="10"/>
  <c r="A118" i="10"/>
  <c r="AH117" i="10"/>
  <c r="E117" i="10"/>
  <c r="D117" i="10"/>
  <c r="C117" i="10"/>
  <c r="B117" i="10"/>
  <c r="A117" i="10"/>
  <c r="AH116" i="10"/>
  <c r="E116" i="10"/>
  <c r="D116" i="10"/>
  <c r="C116" i="10"/>
  <c r="B116" i="10"/>
  <c r="A116" i="10"/>
  <c r="AH115" i="10"/>
  <c r="E115" i="10"/>
  <c r="D115" i="10"/>
  <c r="C115" i="10"/>
  <c r="B115" i="10"/>
  <c r="A115" i="10"/>
  <c r="AH114" i="10"/>
  <c r="E114" i="10"/>
  <c r="D114" i="10"/>
  <c r="C114" i="10"/>
  <c r="B114" i="10"/>
  <c r="A114" i="10"/>
  <c r="AH113" i="10"/>
  <c r="E113" i="10"/>
  <c r="D113" i="10"/>
  <c r="C113" i="10"/>
  <c r="B113" i="10"/>
  <c r="A113" i="10"/>
  <c r="AH112" i="10"/>
  <c r="E112" i="10"/>
  <c r="D112" i="10"/>
  <c r="C112" i="10"/>
  <c r="B112" i="10"/>
  <c r="A112" i="10"/>
  <c r="AH111" i="10"/>
  <c r="E111" i="10"/>
  <c r="D111" i="10"/>
  <c r="C111" i="10"/>
  <c r="B111" i="10"/>
  <c r="A111" i="10"/>
  <c r="AH110" i="10"/>
  <c r="E110" i="10"/>
  <c r="D110" i="10"/>
  <c r="C110" i="10"/>
  <c r="B110" i="10"/>
  <c r="A110" i="10"/>
  <c r="AH109" i="10"/>
  <c r="E109" i="10"/>
  <c r="D109" i="10"/>
  <c r="C109" i="10"/>
  <c r="B109" i="10"/>
  <c r="A109" i="10"/>
  <c r="AH108" i="10"/>
  <c r="E108" i="10"/>
  <c r="D108" i="10"/>
  <c r="C108" i="10"/>
  <c r="B108" i="10"/>
  <c r="A108" i="10"/>
  <c r="AH107" i="10"/>
  <c r="E107" i="10"/>
  <c r="D107" i="10"/>
  <c r="C107" i="10"/>
  <c r="B107" i="10"/>
  <c r="A107" i="10"/>
  <c r="E106" i="10"/>
  <c r="D106" i="10"/>
  <c r="C106" i="10"/>
  <c r="B106" i="10"/>
  <c r="A106" i="10"/>
  <c r="AH105" i="10"/>
  <c r="E105" i="10"/>
  <c r="D105" i="10"/>
  <c r="C105" i="10"/>
  <c r="B105" i="10"/>
  <c r="A105" i="10"/>
  <c r="AH104" i="10"/>
  <c r="E104" i="10"/>
  <c r="D104" i="10"/>
  <c r="C104" i="10"/>
  <c r="B104" i="10"/>
  <c r="A104" i="10"/>
  <c r="AH103" i="10"/>
  <c r="E103" i="10"/>
  <c r="D103" i="10"/>
  <c r="C103" i="10"/>
  <c r="B103" i="10"/>
  <c r="A103" i="10"/>
  <c r="E102" i="10"/>
  <c r="D102" i="10"/>
  <c r="C102" i="10"/>
  <c r="B102" i="10"/>
  <c r="A102" i="10"/>
  <c r="E101" i="10"/>
  <c r="D101" i="10"/>
  <c r="C101" i="10"/>
  <c r="B101" i="10"/>
  <c r="A101" i="10"/>
  <c r="AH100" i="10"/>
  <c r="E100" i="10"/>
  <c r="D100" i="10"/>
  <c r="C100" i="10"/>
  <c r="B100" i="10"/>
  <c r="A100" i="10"/>
  <c r="AH99" i="10"/>
  <c r="E99" i="10"/>
  <c r="D99" i="10"/>
  <c r="C99" i="10"/>
  <c r="B99" i="10"/>
  <c r="A99" i="10"/>
  <c r="AH98" i="10"/>
  <c r="E98" i="10"/>
  <c r="D98" i="10"/>
  <c r="C98" i="10"/>
  <c r="B98" i="10"/>
  <c r="A98" i="10"/>
  <c r="E97" i="10"/>
  <c r="D97" i="10"/>
  <c r="C97" i="10"/>
  <c r="B97" i="10"/>
  <c r="A97" i="10"/>
  <c r="E96" i="10"/>
  <c r="D96" i="10"/>
  <c r="C96" i="10"/>
  <c r="B96" i="10"/>
  <c r="A96" i="10"/>
  <c r="E95" i="10"/>
  <c r="D95" i="10"/>
  <c r="C95" i="10"/>
  <c r="B95" i="10"/>
  <c r="AH95" i="10" s="1"/>
  <c r="A95" i="10"/>
  <c r="AH94" i="10"/>
  <c r="E94" i="10"/>
  <c r="D94" i="10"/>
  <c r="C94" i="10"/>
  <c r="B94" i="10"/>
  <c r="A94" i="10"/>
  <c r="AH93" i="10"/>
  <c r="E93" i="10"/>
  <c r="D93" i="10"/>
  <c r="C93" i="10"/>
  <c r="B93" i="10"/>
  <c r="A93" i="10"/>
  <c r="E92" i="10"/>
  <c r="D92" i="10"/>
  <c r="C92" i="10"/>
  <c r="B92" i="10"/>
  <c r="A92" i="10"/>
  <c r="AH91" i="10"/>
  <c r="E91" i="10"/>
  <c r="D91" i="10"/>
  <c r="C91" i="10"/>
  <c r="B91" i="10"/>
  <c r="A91" i="10"/>
  <c r="E90" i="10"/>
  <c r="D90" i="10"/>
  <c r="C90" i="10"/>
  <c r="B90" i="10"/>
  <c r="A90" i="10"/>
  <c r="AH89" i="10"/>
  <c r="E89" i="10"/>
  <c r="D89" i="10"/>
  <c r="C89" i="10"/>
  <c r="B89" i="10"/>
  <c r="A89" i="10"/>
  <c r="AH88" i="10"/>
  <c r="E88" i="10"/>
  <c r="D88" i="10"/>
  <c r="C88" i="10"/>
  <c r="B88" i="10"/>
  <c r="A88" i="10"/>
  <c r="AH87" i="10"/>
  <c r="E87" i="10"/>
  <c r="D87" i="10"/>
  <c r="C87" i="10"/>
  <c r="B87" i="10"/>
  <c r="A87" i="10"/>
  <c r="AH86" i="10"/>
  <c r="E86" i="10"/>
  <c r="D86" i="10"/>
  <c r="C86" i="10"/>
  <c r="B86" i="10"/>
  <c r="A86" i="10"/>
  <c r="E85" i="10"/>
  <c r="D85" i="10"/>
  <c r="C85" i="10"/>
  <c r="B85" i="10"/>
  <c r="AH85" i="10" s="1"/>
  <c r="A85" i="10"/>
  <c r="E84" i="10"/>
  <c r="D84" i="10"/>
  <c r="C84" i="10"/>
  <c r="B84" i="10"/>
  <c r="A84" i="10"/>
  <c r="AH83" i="10"/>
  <c r="E83" i="10"/>
  <c r="D83" i="10"/>
  <c r="C83" i="10"/>
  <c r="B83" i="10"/>
  <c r="A83" i="10"/>
  <c r="E82" i="10"/>
  <c r="D82" i="10"/>
  <c r="C82" i="10"/>
  <c r="B82" i="10"/>
  <c r="A82" i="10"/>
  <c r="E81" i="10"/>
  <c r="D81" i="10"/>
  <c r="C81" i="10"/>
  <c r="B81" i="10"/>
  <c r="A81" i="10"/>
  <c r="E80" i="10"/>
  <c r="D80" i="10"/>
  <c r="C80" i="10"/>
  <c r="B80" i="10"/>
  <c r="A80" i="10"/>
  <c r="E79" i="10"/>
  <c r="D79" i="10"/>
  <c r="C79" i="10"/>
  <c r="B79" i="10"/>
  <c r="A79" i="10"/>
  <c r="AH78" i="10"/>
  <c r="E78" i="10"/>
  <c r="D78" i="10"/>
  <c r="C78" i="10"/>
  <c r="B78" i="10"/>
  <c r="A78" i="10"/>
  <c r="AH77" i="10"/>
  <c r="E77" i="10"/>
  <c r="D77" i="10"/>
  <c r="C77" i="10"/>
  <c r="B77" i="10"/>
  <c r="A77" i="10"/>
  <c r="AH76" i="10"/>
  <c r="E76" i="10"/>
  <c r="D76" i="10"/>
  <c r="C76" i="10"/>
  <c r="B76" i="10"/>
  <c r="A76" i="10"/>
  <c r="E75" i="10"/>
  <c r="D75" i="10"/>
  <c r="C75" i="10"/>
  <c r="B75" i="10"/>
  <c r="A75" i="10"/>
  <c r="AH74" i="10"/>
  <c r="E74" i="10"/>
  <c r="D74" i="10"/>
  <c r="C74" i="10"/>
  <c r="B74" i="10"/>
  <c r="A74" i="10"/>
  <c r="E73" i="10"/>
  <c r="D73" i="10"/>
  <c r="C73" i="10"/>
  <c r="B73" i="10"/>
  <c r="A73" i="10"/>
  <c r="AH72" i="10"/>
  <c r="E72" i="10"/>
  <c r="D72" i="10"/>
  <c r="C72" i="10"/>
  <c r="B72" i="10"/>
  <c r="A72" i="10"/>
  <c r="AH71" i="10"/>
  <c r="E71" i="10"/>
  <c r="D71" i="10"/>
  <c r="C71" i="10"/>
  <c r="B71" i="10"/>
  <c r="A71" i="10"/>
  <c r="AH70" i="10"/>
  <c r="E70" i="10"/>
  <c r="D70" i="10"/>
  <c r="C70" i="10"/>
  <c r="B70" i="10"/>
  <c r="A70" i="10"/>
  <c r="E69" i="10"/>
  <c r="D69" i="10"/>
  <c r="C69" i="10"/>
  <c r="B69" i="10"/>
  <c r="A69" i="10"/>
  <c r="E68" i="10"/>
  <c r="D68" i="10"/>
  <c r="C68" i="10"/>
  <c r="B68" i="10"/>
  <c r="A68" i="10"/>
  <c r="E67" i="10"/>
  <c r="D67" i="10"/>
  <c r="C67" i="10"/>
  <c r="B67" i="10"/>
  <c r="A67" i="10"/>
  <c r="E66" i="10"/>
  <c r="D66" i="10"/>
  <c r="C66" i="10"/>
  <c r="B66" i="10"/>
  <c r="A66" i="10"/>
  <c r="AH65" i="10"/>
  <c r="E65" i="10"/>
  <c r="D65" i="10"/>
  <c r="C65" i="10"/>
  <c r="B65" i="10"/>
  <c r="A65" i="10"/>
  <c r="AH64" i="10"/>
  <c r="E64" i="10"/>
  <c r="D64" i="10"/>
  <c r="C64" i="10"/>
  <c r="B64" i="10"/>
  <c r="A64" i="10"/>
  <c r="AH63" i="10"/>
  <c r="E63" i="10"/>
  <c r="D63" i="10"/>
  <c r="C63" i="10"/>
  <c r="B63" i="10"/>
  <c r="A63" i="10"/>
  <c r="AH62" i="10"/>
  <c r="E62" i="10"/>
  <c r="D62" i="10"/>
  <c r="C62" i="10"/>
  <c r="B62" i="10"/>
  <c r="A62" i="10"/>
  <c r="E61" i="10"/>
  <c r="D61" i="10"/>
  <c r="C61" i="10"/>
  <c r="B61" i="10"/>
  <c r="AH61" i="10" s="1"/>
  <c r="A61" i="10"/>
  <c r="E60" i="10"/>
  <c r="D60" i="10"/>
  <c r="C60" i="10"/>
  <c r="B60" i="10"/>
  <c r="AH60" i="10" s="1"/>
  <c r="A60" i="10"/>
  <c r="AH59" i="10"/>
  <c r="E59" i="10"/>
  <c r="D59" i="10"/>
  <c r="C59" i="10"/>
  <c r="B59" i="10"/>
  <c r="A59" i="10"/>
  <c r="AH58" i="10"/>
  <c r="E58" i="10"/>
  <c r="D58" i="10"/>
  <c r="C58" i="10"/>
  <c r="B58" i="10"/>
  <c r="A58" i="10"/>
  <c r="E57" i="10"/>
  <c r="D57" i="10"/>
  <c r="C57" i="10"/>
  <c r="B57" i="10"/>
  <c r="AH57" i="10" s="1"/>
  <c r="A57" i="10"/>
  <c r="E56" i="10"/>
  <c r="D56" i="10"/>
  <c r="C56" i="10"/>
  <c r="B56" i="10"/>
  <c r="A56" i="10"/>
  <c r="E55" i="10"/>
  <c r="D55" i="10"/>
  <c r="C55" i="10"/>
  <c r="B55" i="10"/>
  <c r="A55" i="10"/>
  <c r="AH54" i="10"/>
  <c r="E54" i="10"/>
  <c r="D54" i="10"/>
  <c r="C54" i="10"/>
  <c r="B54" i="10"/>
  <c r="A54" i="10"/>
  <c r="E53" i="10"/>
  <c r="D53" i="10"/>
  <c r="C53" i="10"/>
  <c r="B53" i="10"/>
  <c r="A53" i="10"/>
  <c r="E52" i="10"/>
  <c r="D52" i="10"/>
  <c r="C52" i="10"/>
  <c r="B52" i="10"/>
  <c r="AH52" i="10" s="1"/>
  <c r="A52" i="10"/>
  <c r="AH51" i="10"/>
  <c r="E51" i="10"/>
  <c r="D51" i="10"/>
  <c r="C51" i="10"/>
  <c r="B51" i="10"/>
  <c r="A51" i="10"/>
  <c r="E50" i="10"/>
  <c r="D50" i="10"/>
  <c r="C50" i="10"/>
  <c r="B50" i="10"/>
  <c r="A50" i="10"/>
  <c r="AH49" i="10"/>
  <c r="E49" i="10"/>
  <c r="D49" i="10"/>
  <c r="C49" i="10"/>
  <c r="B49" i="10"/>
  <c r="A49" i="10"/>
  <c r="AH48" i="10"/>
  <c r="E48" i="10"/>
  <c r="D48" i="10"/>
  <c r="C48" i="10"/>
  <c r="B48" i="10"/>
  <c r="A48" i="10"/>
  <c r="E47" i="10"/>
  <c r="D47" i="10"/>
  <c r="C47" i="10"/>
  <c r="B47" i="10"/>
  <c r="A47" i="10"/>
  <c r="AH46" i="10"/>
  <c r="E46" i="10"/>
  <c r="D46" i="10"/>
  <c r="C46" i="10"/>
  <c r="B46" i="10"/>
  <c r="A46" i="10"/>
  <c r="E45" i="10"/>
  <c r="D45" i="10"/>
  <c r="C45" i="10"/>
  <c r="B45" i="10"/>
  <c r="A45" i="10"/>
  <c r="E44" i="10"/>
  <c r="D44" i="10"/>
  <c r="C44" i="10"/>
  <c r="B44" i="10"/>
  <c r="A44" i="10"/>
  <c r="E43" i="10"/>
  <c r="D43" i="10"/>
  <c r="C43" i="10"/>
  <c r="B43" i="10"/>
  <c r="A43" i="10"/>
  <c r="E42" i="10"/>
  <c r="D42" i="10"/>
  <c r="C42" i="10"/>
  <c r="B42" i="10"/>
  <c r="A42" i="10"/>
  <c r="E41" i="10"/>
  <c r="D41" i="10"/>
  <c r="C41" i="10"/>
  <c r="B41" i="10"/>
  <c r="A41" i="10"/>
  <c r="E40" i="10"/>
  <c r="D40" i="10"/>
  <c r="C40" i="10"/>
  <c r="B40" i="10"/>
  <c r="A40" i="10"/>
  <c r="E39" i="10"/>
  <c r="D39" i="10"/>
  <c r="C39" i="10"/>
  <c r="B39" i="10"/>
  <c r="A39" i="10"/>
  <c r="E38" i="10"/>
  <c r="D38" i="10"/>
  <c r="C38" i="10"/>
  <c r="B38" i="10"/>
  <c r="A38" i="10"/>
  <c r="E37" i="10"/>
  <c r="D37" i="10"/>
  <c r="C37" i="10"/>
  <c r="B37" i="10"/>
  <c r="A37" i="10"/>
  <c r="E36" i="10"/>
  <c r="D36" i="10"/>
  <c r="C36" i="10"/>
  <c r="B36" i="10"/>
  <c r="A36" i="10"/>
  <c r="E35" i="10"/>
  <c r="D35" i="10"/>
  <c r="C35" i="10"/>
  <c r="B35" i="10"/>
  <c r="A35" i="10"/>
  <c r="AH34" i="10"/>
  <c r="E34" i="10"/>
  <c r="D34" i="10"/>
  <c r="C34" i="10"/>
  <c r="B34" i="10"/>
  <c r="A34" i="10"/>
  <c r="AH33" i="10"/>
  <c r="E33" i="10"/>
  <c r="D33" i="10"/>
  <c r="C33" i="10"/>
  <c r="B33" i="10"/>
  <c r="A33" i="10"/>
  <c r="AH32" i="10"/>
  <c r="E32" i="10"/>
  <c r="D32" i="10"/>
  <c r="C32" i="10"/>
  <c r="B32" i="10"/>
  <c r="A32" i="10"/>
  <c r="AH31" i="10"/>
  <c r="E31" i="10"/>
  <c r="D31" i="10"/>
  <c r="C31" i="10"/>
  <c r="B31" i="10"/>
  <c r="A31" i="10"/>
  <c r="AH30" i="10"/>
  <c r="E30" i="10"/>
  <c r="D30" i="10"/>
  <c r="C30" i="10"/>
  <c r="B30" i="10"/>
  <c r="A30" i="10"/>
  <c r="AH29" i="10"/>
  <c r="E29" i="10"/>
  <c r="D29" i="10"/>
  <c r="C29" i="10"/>
  <c r="B29" i="10"/>
  <c r="A29" i="10"/>
  <c r="E28" i="10"/>
  <c r="D28" i="10"/>
  <c r="C28" i="10"/>
  <c r="B28" i="10"/>
  <c r="AH28" i="10" s="1"/>
  <c r="A28" i="10"/>
  <c r="AH27" i="10"/>
  <c r="E27" i="10"/>
  <c r="D27" i="10"/>
  <c r="C27" i="10"/>
  <c r="B27" i="10"/>
  <c r="A27" i="10"/>
  <c r="AH26" i="10"/>
  <c r="E26" i="10"/>
  <c r="D26" i="10"/>
  <c r="C26" i="10"/>
  <c r="B26" i="10"/>
  <c r="A26" i="10"/>
  <c r="E25" i="10"/>
  <c r="D25" i="10"/>
  <c r="C25" i="10"/>
  <c r="B25" i="10"/>
  <c r="AH25" i="10" s="1"/>
  <c r="A25" i="10"/>
  <c r="AH24" i="10"/>
  <c r="E24" i="10"/>
  <c r="D24" i="10"/>
  <c r="C24" i="10"/>
  <c r="B24" i="10"/>
  <c r="A24" i="10"/>
  <c r="E23" i="10"/>
  <c r="D23" i="10"/>
  <c r="C23" i="10"/>
  <c r="B23" i="10"/>
  <c r="A23" i="10"/>
  <c r="E22" i="10"/>
  <c r="D22" i="10"/>
  <c r="C22" i="10"/>
  <c r="B22" i="10"/>
  <c r="A22" i="10"/>
  <c r="E21" i="10"/>
  <c r="D21" i="10"/>
  <c r="C21" i="10"/>
  <c r="B21" i="10"/>
  <c r="A21" i="10"/>
  <c r="E20" i="10"/>
  <c r="D20" i="10"/>
  <c r="C20" i="10"/>
  <c r="B20" i="10"/>
  <c r="A20" i="10"/>
  <c r="E19" i="10"/>
  <c r="D19" i="10"/>
  <c r="C19" i="10"/>
  <c r="B19" i="10"/>
  <c r="A19" i="10"/>
  <c r="E18" i="10"/>
  <c r="D18" i="10"/>
  <c r="C18" i="10"/>
  <c r="B18" i="10"/>
  <c r="AH18" i="10" s="1"/>
  <c r="A18" i="10"/>
  <c r="AH17" i="10"/>
  <c r="E17" i="10"/>
  <c r="D17" i="10"/>
  <c r="C17" i="10"/>
  <c r="B17" i="10"/>
  <c r="A17" i="10"/>
  <c r="AH16" i="10"/>
  <c r="E16" i="10"/>
  <c r="D16" i="10"/>
  <c r="C16" i="10"/>
  <c r="B16" i="10"/>
  <c r="A16" i="10"/>
  <c r="E15" i="10"/>
  <c r="D15" i="10"/>
  <c r="C15" i="10"/>
  <c r="B15" i="10"/>
  <c r="A15" i="10"/>
  <c r="AH14" i="10"/>
  <c r="E14" i="10"/>
  <c r="D14" i="10"/>
  <c r="C14" i="10"/>
  <c r="B14" i="10"/>
  <c r="A14" i="10"/>
  <c r="AH13" i="10"/>
  <c r="E13" i="10"/>
  <c r="D13" i="10"/>
  <c r="C13" i="10"/>
  <c r="B13" i="10"/>
  <c r="A13" i="10"/>
  <c r="AH12" i="10"/>
  <c r="E12" i="10"/>
  <c r="D12" i="10"/>
  <c r="C12" i="10"/>
  <c r="B12" i="10"/>
  <c r="A12" i="10"/>
  <c r="E11" i="10"/>
  <c r="D11" i="10"/>
  <c r="C11" i="10"/>
  <c r="B11" i="10"/>
  <c r="A11" i="10"/>
  <c r="AH10" i="10"/>
  <c r="E10" i="10"/>
  <c r="D10" i="10"/>
  <c r="C10" i="10"/>
  <c r="B10" i="10"/>
  <c r="A10" i="10"/>
  <c r="E9" i="10"/>
  <c r="D9" i="10"/>
  <c r="C9" i="10"/>
  <c r="B9" i="10"/>
  <c r="AH9" i="10" s="1"/>
  <c r="A9" i="10"/>
  <c r="E8" i="10"/>
  <c r="D8" i="10"/>
  <c r="C8" i="10"/>
  <c r="B8" i="10"/>
  <c r="A8" i="10"/>
  <c r="E7" i="10"/>
  <c r="D7" i="10"/>
  <c r="C7" i="10"/>
  <c r="B7" i="10"/>
  <c r="A7" i="10"/>
  <c r="AH6" i="10"/>
  <c r="E6" i="10"/>
  <c r="D6" i="10"/>
  <c r="C6" i="10"/>
  <c r="B6" i="10"/>
  <c r="A6" i="10"/>
  <c r="AG4" i="10"/>
  <c r="AF4" i="10"/>
  <c r="AE4" i="10"/>
  <c r="AD4" i="10"/>
  <c r="AC4" i="10"/>
  <c r="AB4" i="10"/>
  <c r="AA4" i="10"/>
  <c r="Z4" i="10"/>
  <c r="Y4" i="10"/>
  <c r="X4" i="10"/>
  <c r="W4" i="10"/>
  <c r="V4" i="10"/>
  <c r="U4" i="10"/>
  <c r="T4" i="10"/>
  <c r="S4" i="10"/>
  <c r="R4" i="10"/>
  <c r="Q4" i="10"/>
  <c r="P4" i="10"/>
  <c r="O4" i="10"/>
  <c r="N4" i="10"/>
  <c r="M4" i="10"/>
  <c r="AG3" i="10"/>
  <c r="AF3" i="10"/>
  <c r="AE3" i="10"/>
  <c r="AD3" i="10"/>
  <c r="AC3" i="10"/>
  <c r="AB3" i="10"/>
  <c r="AA3" i="10"/>
  <c r="Z3" i="10"/>
  <c r="Y3" i="10"/>
  <c r="X3" i="10"/>
  <c r="W3" i="10"/>
  <c r="V3" i="10"/>
  <c r="U3" i="10"/>
  <c r="T3" i="10"/>
  <c r="S3" i="10"/>
  <c r="R3" i="10"/>
  <c r="Q3" i="10"/>
  <c r="P3" i="10"/>
  <c r="O3" i="10"/>
  <c r="N3" i="10"/>
  <c r="M3" i="10"/>
  <c r="C29" i="8"/>
  <c r="C28" i="8"/>
  <c r="C27" i="8"/>
  <c r="C26" i="8"/>
  <c r="C25" i="8"/>
  <c r="C24" i="8"/>
  <c r="E23" i="8"/>
  <c r="C23" i="8"/>
  <c r="E22" i="8"/>
  <c r="C22" i="8"/>
  <c r="C21" i="8"/>
  <c r="E20" i="8"/>
  <c r="C20" i="8"/>
  <c r="C19" i="8"/>
  <c r="E18" i="8"/>
  <c r="C18" i="8"/>
  <c r="C17" i="8"/>
  <c r="C16" i="8"/>
  <c r="C15" i="8"/>
  <c r="E14" i="8"/>
  <c r="C14" i="8"/>
  <c r="C13" i="8"/>
  <c r="E12" i="8"/>
  <c r="C12" i="8"/>
  <c r="C11" i="8"/>
  <c r="E10" i="8"/>
  <c r="C10" i="8"/>
  <c r="E9" i="8"/>
  <c r="C9" i="8"/>
  <c r="C8" i="8"/>
  <c r="C7" i="8"/>
  <c r="C6" i="8"/>
  <c r="C5" i="8"/>
  <c r="C4" i="8"/>
  <c r="C40" i="7"/>
  <c r="D39" i="7"/>
  <c r="B38" i="7"/>
  <c r="D38" i="7" s="1"/>
  <c r="D37" i="7"/>
  <c r="B37" i="7"/>
  <c r="D36" i="7"/>
  <c r="B36" i="7"/>
  <c r="D35" i="7"/>
  <c r="B35" i="7"/>
  <c r="B34" i="7"/>
  <c r="D34" i="7" s="1"/>
  <c r="B33" i="7"/>
  <c r="D33" i="7" s="1"/>
  <c r="B32" i="7"/>
  <c r="D32" i="7" s="1"/>
  <c r="D31" i="7"/>
  <c r="B31" i="7"/>
  <c r="D30" i="7"/>
  <c r="B30" i="7"/>
  <c r="D29" i="7"/>
  <c r="B29" i="7"/>
  <c r="B28" i="7"/>
  <c r="D28" i="7" s="1"/>
  <c r="B27" i="7"/>
  <c r="D27" i="7" s="1"/>
  <c r="D26" i="7"/>
  <c r="B26" i="7"/>
  <c r="B4" i="7"/>
  <c r="F34" i="6"/>
  <c r="E34" i="6"/>
  <c r="F33" i="6"/>
  <c r="E33" i="6"/>
  <c r="F32" i="6"/>
  <c r="E32" i="6"/>
  <c r="F31" i="6"/>
  <c r="E31" i="6"/>
  <c r="F30" i="6"/>
  <c r="E30" i="6"/>
  <c r="E29" i="6"/>
  <c r="F29" i="6" s="1"/>
  <c r="E28" i="6"/>
  <c r="F28" i="6" s="1"/>
  <c r="F27" i="6"/>
  <c r="E27" i="6"/>
  <c r="F26" i="6"/>
  <c r="E26" i="6"/>
  <c r="F25" i="6"/>
  <c r="E25" i="6"/>
  <c r="E24" i="6"/>
  <c r="F24" i="6" s="1"/>
  <c r="E23" i="6"/>
  <c r="F23" i="6" s="1"/>
  <c r="E22" i="6"/>
  <c r="F22" i="6" s="1"/>
  <c r="F21" i="6"/>
  <c r="E21" i="6"/>
  <c r="F20" i="6"/>
  <c r="E20" i="6"/>
  <c r="F19" i="6"/>
  <c r="E19" i="6"/>
  <c r="E18" i="6"/>
  <c r="F18" i="6" s="1"/>
  <c r="E17" i="6"/>
  <c r="F17" i="6" s="1"/>
  <c r="F16" i="6"/>
  <c r="E16" i="6"/>
  <c r="F15" i="6"/>
  <c r="E15" i="6"/>
  <c r="F14" i="6"/>
  <c r="E14" i="6"/>
  <c r="B250" i="4"/>
  <c r="B249" i="4"/>
  <c r="B248" i="4"/>
  <c r="B247" i="4"/>
  <c r="B246" i="4"/>
  <c r="D244" i="4"/>
  <c r="B244" i="4"/>
  <c r="D243" i="4"/>
  <c r="B243" i="4"/>
  <c r="D242" i="4"/>
  <c r="B242" i="4"/>
  <c r="D241" i="4"/>
  <c r="B241" i="4"/>
  <c r="D240" i="4"/>
  <c r="B240" i="4"/>
  <c r="D239" i="4"/>
  <c r="B239" i="4"/>
  <c r="D238" i="4"/>
  <c r="B238" i="4"/>
  <c r="D237" i="4"/>
  <c r="B237" i="4"/>
  <c r="D236" i="4"/>
  <c r="B236" i="4"/>
  <c r="D235" i="4"/>
  <c r="B235" i="4"/>
  <c r="D234" i="4"/>
  <c r="B234" i="4"/>
  <c r="D233" i="4"/>
  <c r="B233" i="4"/>
  <c r="D232" i="4"/>
  <c r="B232" i="4"/>
  <c r="D231" i="4"/>
  <c r="B231" i="4"/>
  <c r="D230" i="4"/>
  <c r="B230" i="4"/>
  <c r="D229" i="4"/>
  <c r="B229" i="4"/>
  <c r="D228" i="4"/>
  <c r="B228" i="4"/>
  <c r="D227" i="4"/>
  <c r="B227" i="4"/>
  <c r="D226" i="4"/>
  <c r="B226" i="4"/>
  <c r="D225" i="4"/>
  <c r="B225" i="4"/>
  <c r="D224" i="4"/>
  <c r="B224" i="4"/>
  <c r="D223" i="4"/>
  <c r="B223" i="4"/>
  <c r="D222" i="4"/>
  <c r="B222" i="4"/>
  <c r="D221" i="4"/>
  <c r="B221" i="4"/>
  <c r="D220" i="4"/>
  <c r="B220" i="4"/>
  <c r="D219" i="4"/>
  <c r="B219" i="4"/>
  <c r="D218" i="4"/>
  <c r="B218" i="4"/>
  <c r="D217" i="4"/>
  <c r="B217" i="4"/>
  <c r="D216" i="4"/>
  <c r="B216" i="4"/>
  <c r="D215" i="4"/>
  <c r="B215" i="4"/>
  <c r="D214" i="4"/>
  <c r="B214" i="4"/>
  <c r="D213" i="4"/>
  <c r="B213" i="4"/>
  <c r="D212" i="4"/>
  <c r="B212" i="4"/>
  <c r="D211" i="4"/>
  <c r="B211" i="4"/>
  <c r="D210" i="4"/>
  <c r="B210" i="4"/>
  <c r="D209" i="4"/>
  <c r="B209" i="4"/>
  <c r="D208" i="4"/>
  <c r="B208" i="4"/>
  <c r="D207" i="4"/>
  <c r="B207" i="4"/>
  <c r="D206" i="4"/>
  <c r="B206" i="4"/>
  <c r="D205" i="4"/>
  <c r="B205" i="4"/>
  <c r="D204" i="4"/>
  <c r="B204" i="4"/>
  <c r="D203" i="4"/>
  <c r="B203" i="4"/>
  <c r="D202" i="4"/>
  <c r="B202" i="4"/>
  <c r="D201" i="4"/>
  <c r="B201" i="4"/>
  <c r="D200" i="4"/>
  <c r="B200" i="4"/>
  <c r="D199" i="4"/>
  <c r="B199" i="4"/>
  <c r="D198" i="4"/>
  <c r="B198" i="4"/>
  <c r="D197" i="4"/>
  <c r="B197" i="4"/>
  <c r="D196" i="4"/>
  <c r="B196" i="4"/>
  <c r="D195" i="4"/>
  <c r="B195" i="4"/>
  <c r="D194" i="4"/>
  <c r="B194" i="4"/>
  <c r="D193" i="4"/>
  <c r="B193" i="4"/>
  <c r="D192" i="4"/>
  <c r="B192" i="4"/>
  <c r="D191" i="4"/>
  <c r="B191" i="4"/>
  <c r="D190" i="4"/>
  <c r="B190" i="4"/>
  <c r="D189" i="4"/>
  <c r="B189" i="4"/>
  <c r="D188" i="4"/>
  <c r="B188" i="4"/>
  <c r="D187" i="4"/>
  <c r="B187" i="4"/>
  <c r="D186" i="4"/>
  <c r="B186" i="4"/>
  <c r="D185" i="4"/>
  <c r="B185" i="4"/>
  <c r="D184" i="4"/>
  <c r="B184" i="4"/>
  <c r="D183" i="4"/>
  <c r="B183" i="4"/>
  <c r="D182" i="4"/>
  <c r="B182" i="4"/>
  <c r="D181" i="4"/>
  <c r="B181" i="4"/>
  <c r="D180" i="4"/>
  <c r="B180" i="4"/>
  <c r="D179" i="4"/>
  <c r="B179" i="4"/>
  <c r="D178" i="4"/>
  <c r="B178" i="4"/>
  <c r="D177" i="4"/>
  <c r="B177" i="4"/>
  <c r="D176" i="4"/>
  <c r="B176" i="4"/>
  <c r="D175" i="4"/>
  <c r="B175" i="4"/>
  <c r="D174" i="4"/>
  <c r="B174" i="4"/>
  <c r="D173" i="4"/>
  <c r="B173" i="4"/>
  <c r="D172" i="4"/>
  <c r="B172" i="4"/>
  <c r="D171" i="4"/>
  <c r="B171" i="4"/>
  <c r="D170" i="4"/>
  <c r="B170" i="4"/>
  <c r="D169" i="4"/>
  <c r="B169" i="4"/>
  <c r="D168" i="4"/>
  <c r="B168" i="4"/>
  <c r="D167" i="4"/>
  <c r="B167" i="4"/>
  <c r="D166" i="4"/>
  <c r="B166" i="4"/>
  <c r="D165" i="4"/>
  <c r="B165" i="4"/>
  <c r="D164" i="4"/>
  <c r="B164" i="4"/>
  <c r="D163" i="4"/>
  <c r="B163" i="4"/>
  <c r="D162" i="4"/>
  <c r="B162" i="4"/>
  <c r="D161" i="4"/>
  <c r="B161" i="4"/>
  <c r="D160" i="4"/>
  <c r="B160" i="4"/>
  <c r="D159" i="4"/>
  <c r="B159" i="4"/>
  <c r="D158" i="4"/>
  <c r="B158" i="4"/>
  <c r="D157" i="4"/>
  <c r="B157" i="4"/>
  <c r="D156" i="4"/>
  <c r="B156" i="4"/>
  <c r="D155" i="4"/>
  <c r="B155" i="4"/>
  <c r="D154" i="4"/>
  <c r="B154" i="4"/>
  <c r="D153" i="4"/>
  <c r="B153" i="4"/>
  <c r="D152" i="4"/>
  <c r="B152" i="4"/>
  <c r="D151" i="4"/>
  <c r="B151" i="4"/>
  <c r="D150" i="4"/>
  <c r="B150" i="4"/>
  <c r="D149" i="4"/>
  <c r="B149" i="4"/>
  <c r="D148" i="4"/>
  <c r="B148" i="4"/>
  <c r="D147" i="4"/>
  <c r="B147" i="4"/>
  <c r="D146" i="4"/>
  <c r="B146" i="4"/>
  <c r="D145" i="4"/>
  <c r="B145" i="4"/>
  <c r="D144" i="4"/>
  <c r="B144" i="4"/>
  <c r="D143" i="4"/>
  <c r="B143" i="4"/>
  <c r="D142" i="4"/>
  <c r="B142" i="4"/>
  <c r="D141" i="4"/>
  <c r="B141" i="4"/>
  <c r="D140" i="4"/>
  <c r="B140" i="4"/>
  <c r="D139" i="4"/>
  <c r="B139" i="4"/>
  <c r="D138" i="4"/>
  <c r="B138" i="4"/>
  <c r="D137" i="4"/>
  <c r="B137" i="4"/>
  <c r="D136" i="4"/>
  <c r="B136" i="4"/>
  <c r="D135" i="4"/>
  <c r="B135" i="4"/>
  <c r="D134" i="4"/>
  <c r="B134" i="4"/>
  <c r="D133" i="4"/>
  <c r="B133" i="4"/>
  <c r="D132" i="4"/>
  <c r="B132" i="4"/>
  <c r="D131" i="4"/>
  <c r="B131" i="4"/>
  <c r="D130" i="4"/>
  <c r="B130" i="4"/>
  <c r="D129" i="4"/>
  <c r="B129" i="4"/>
  <c r="D128" i="4"/>
  <c r="B128" i="4"/>
  <c r="D127" i="4"/>
  <c r="B127" i="4"/>
  <c r="D126" i="4"/>
  <c r="B126" i="4"/>
  <c r="D125" i="4"/>
  <c r="B125" i="4"/>
  <c r="D124" i="4"/>
  <c r="B124" i="4"/>
  <c r="D123" i="4"/>
  <c r="B123" i="4"/>
  <c r="D122" i="4"/>
  <c r="B122" i="4"/>
  <c r="D121" i="4"/>
  <c r="B121" i="4"/>
  <c r="D120" i="4"/>
  <c r="B120" i="4"/>
  <c r="D119" i="4"/>
  <c r="B119" i="4"/>
  <c r="D118" i="4"/>
  <c r="B118" i="4"/>
  <c r="D117" i="4"/>
  <c r="B117" i="4"/>
  <c r="D116" i="4"/>
  <c r="B116" i="4"/>
  <c r="D115" i="4"/>
  <c r="B115" i="4"/>
  <c r="D114" i="4"/>
  <c r="B114" i="4"/>
  <c r="D113" i="4"/>
  <c r="B113" i="4"/>
  <c r="D112" i="4"/>
  <c r="B112" i="4"/>
  <c r="D111" i="4"/>
  <c r="B111" i="4"/>
  <c r="D110" i="4"/>
  <c r="B110" i="4"/>
  <c r="D109" i="4"/>
  <c r="B109" i="4"/>
  <c r="D108" i="4"/>
  <c r="B108" i="4"/>
  <c r="D107" i="4"/>
  <c r="B107" i="4"/>
  <c r="D106" i="4"/>
  <c r="B106" i="4"/>
  <c r="D105" i="4"/>
  <c r="B105" i="4"/>
  <c r="D104" i="4"/>
  <c r="B104" i="4"/>
  <c r="D103" i="4"/>
  <c r="B103" i="4"/>
  <c r="D102" i="4"/>
  <c r="B102" i="4"/>
  <c r="D101" i="4"/>
  <c r="B101" i="4"/>
  <c r="D100" i="4"/>
  <c r="B100" i="4"/>
  <c r="D99" i="4"/>
  <c r="B99" i="4"/>
  <c r="D98" i="4"/>
  <c r="B98" i="4"/>
  <c r="D97" i="4"/>
  <c r="B97" i="4"/>
  <c r="D96" i="4"/>
  <c r="B96" i="4"/>
  <c r="D95" i="4"/>
  <c r="B95" i="4"/>
  <c r="D94" i="4"/>
  <c r="B94" i="4"/>
  <c r="D93" i="4"/>
  <c r="B93" i="4"/>
  <c r="D92" i="4"/>
  <c r="B92" i="4"/>
  <c r="D91" i="4"/>
  <c r="B91" i="4"/>
  <c r="D90" i="4"/>
  <c r="B90" i="4"/>
  <c r="D89" i="4"/>
  <c r="B89" i="4"/>
  <c r="D88" i="4"/>
  <c r="B88" i="4"/>
  <c r="D87" i="4"/>
  <c r="B87" i="4"/>
  <c r="D86" i="4"/>
  <c r="B86" i="4"/>
  <c r="D85" i="4"/>
  <c r="B85" i="4"/>
  <c r="D84" i="4"/>
  <c r="B84" i="4"/>
  <c r="D83" i="4"/>
  <c r="B83" i="4"/>
  <c r="D82" i="4"/>
  <c r="B82" i="4"/>
  <c r="D81" i="4"/>
  <c r="B81" i="4"/>
  <c r="D80" i="4"/>
  <c r="B80" i="4"/>
  <c r="D79" i="4"/>
  <c r="B79" i="4"/>
  <c r="D78" i="4"/>
  <c r="B78" i="4"/>
  <c r="D77" i="4"/>
  <c r="B77" i="4"/>
  <c r="D76" i="4"/>
  <c r="B76" i="4"/>
  <c r="D75" i="4"/>
  <c r="B75" i="4"/>
  <c r="D74" i="4"/>
  <c r="B74" i="4"/>
  <c r="D73" i="4"/>
  <c r="B73" i="4"/>
  <c r="D72" i="4"/>
  <c r="B72" i="4"/>
  <c r="D71" i="4"/>
  <c r="B71" i="4"/>
  <c r="D70" i="4"/>
  <c r="B70" i="4"/>
  <c r="D69" i="4"/>
  <c r="B69" i="4"/>
  <c r="D68" i="4"/>
  <c r="B68" i="4"/>
  <c r="D67" i="4"/>
  <c r="B67" i="4"/>
  <c r="D66" i="4"/>
  <c r="B66" i="4"/>
  <c r="D65" i="4"/>
  <c r="B65" i="4"/>
  <c r="D64" i="4"/>
  <c r="B64" i="4"/>
  <c r="D63" i="4"/>
  <c r="B63" i="4"/>
  <c r="D62" i="4"/>
  <c r="B62" i="4"/>
  <c r="D61" i="4"/>
  <c r="B61" i="4"/>
  <c r="D60" i="4"/>
  <c r="B60" i="4"/>
  <c r="D59" i="4"/>
  <c r="B59" i="4"/>
  <c r="D58" i="4"/>
  <c r="B58" i="4"/>
  <c r="D57" i="4"/>
  <c r="B57" i="4"/>
  <c r="D56" i="4"/>
  <c r="B56" i="4"/>
  <c r="D55" i="4"/>
  <c r="B55" i="4"/>
  <c r="D54" i="4"/>
  <c r="B54" i="4"/>
  <c r="D53" i="4"/>
  <c r="B53" i="4"/>
  <c r="D52" i="4"/>
  <c r="B52" i="4"/>
  <c r="D51" i="4"/>
  <c r="B51" i="4"/>
  <c r="D50" i="4"/>
  <c r="B50" i="4"/>
  <c r="D49" i="4"/>
  <c r="B49" i="4"/>
  <c r="D48" i="4"/>
  <c r="B48" i="4"/>
  <c r="D47" i="4"/>
  <c r="B47" i="4"/>
  <c r="D46" i="4"/>
  <c r="B46" i="4"/>
  <c r="D45" i="4"/>
  <c r="B45" i="4"/>
  <c r="D44" i="4"/>
  <c r="B44" i="4"/>
  <c r="D43" i="4"/>
  <c r="B43" i="4"/>
  <c r="D42" i="4"/>
  <c r="B42" i="4"/>
  <c r="D41" i="4"/>
  <c r="B41" i="4"/>
  <c r="D40" i="4"/>
  <c r="B40" i="4"/>
  <c r="D39" i="4"/>
  <c r="B39" i="4"/>
  <c r="D38" i="4"/>
  <c r="B38" i="4"/>
  <c r="D37" i="4"/>
  <c r="B37" i="4"/>
  <c r="D36" i="4"/>
  <c r="B36" i="4"/>
  <c r="D35" i="4"/>
  <c r="B35" i="4"/>
  <c r="D34" i="4"/>
  <c r="B34" i="4"/>
  <c r="D33" i="4"/>
  <c r="B33" i="4"/>
  <c r="D32" i="4"/>
  <c r="B32" i="4"/>
  <c r="D31" i="4"/>
  <c r="B31" i="4"/>
  <c r="D30" i="4"/>
  <c r="B30" i="4"/>
  <c r="D29" i="4"/>
  <c r="B29" i="4"/>
  <c r="D28" i="4"/>
  <c r="B28" i="4"/>
  <c r="D27" i="4"/>
  <c r="B27" i="4"/>
  <c r="D26" i="4"/>
  <c r="B26" i="4"/>
  <c r="D25" i="4"/>
  <c r="B25" i="4"/>
  <c r="D24" i="4"/>
  <c r="B24" i="4"/>
  <c r="D23" i="4"/>
  <c r="B23" i="4"/>
  <c r="D22" i="4"/>
  <c r="B22" i="4"/>
  <c r="D21" i="4"/>
  <c r="B21" i="4"/>
  <c r="D20" i="4"/>
  <c r="B20" i="4"/>
  <c r="D19" i="4"/>
  <c r="B19" i="4"/>
  <c r="D18" i="4"/>
  <c r="B18" i="4"/>
  <c r="D17" i="4"/>
  <c r="B17" i="4"/>
  <c r="D16" i="4"/>
  <c r="B16" i="4"/>
  <c r="D15" i="4"/>
  <c r="B15" i="4"/>
  <c r="D14" i="4"/>
  <c r="B14" i="4"/>
  <c r="D13" i="4"/>
  <c r="B13" i="4"/>
  <c r="D12" i="4"/>
  <c r="B12" i="4"/>
  <c r="D11" i="4"/>
  <c r="B11" i="4"/>
  <c r="D10" i="4"/>
  <c r="B10" i="4"/>
  <c r="D9" i="4"/>
  <c r="B9" i="4"/>
  <c r="D8" i="4"/>
  <c r="B8" i="4"/>
  <c r="D7" i="4"/>
  <c r="B7" i="4"/>
  <c r="D6" i="4"/>
  <c r="B6" i="4"/>
  <c r="D5" i="4"/>
  <c r="B5" i="4"/>
  <c r="Q167" i="3"/>
  <c r="P167" i="3"/>
  <c r="G167" i="3"/>
  <c r="F167" i="3"/>
  <c r="G208" i="10" s="1"/>
  <c r="Q166" i="3"/>
  <c r="G166" i="3"/>
  <c r="Q165" i="3"/>
  <c r="G165" i="3"/>
  <c r="Q164" i="3"/>
  <c r="G164" i="3"/>
  <c r="Q163" i="3"/>
  <c r="G163" i="3"/>
  <c r="Q162" i="3"/>
  <c r="G162" i="3"/>
  <c r="Q161" i="3"/>
  <c r="G161" i="3"/>
  <c r="Q160" i="3"/>
  <c r="G160" i="3"/>
  <c r="Q159" i="3"/>
  <c r="P159" i="3"/>
  <c r="G159" i="3"/>
  <c r="F159" i="3"/>
  <c r="Q158" i="3"/>
  <c r="G158" i="3"/>
  <c r="Q157" i="3"/>
  <c r="G157" i="3"/>
  <c r="Q156" i="3"/>
  <c r="G156" i="3"/>
  <c r="Q155" i="3"/>
  <c r="G155" i="3"/>
  <c r="Q154" i="3"/>
  <c r="G154" i="3"/>
  <c r="Q153" i="3"/>
  <c r="G153" i="3"/>
  <c r="Q152" i="3"/>
  <c r="G152" i="3"/>
  <c r="Q151" i="3"/>
  <c r="G151" i="3"/>
  <c r="Q150" i="3"/>
  <c r="P150" i="3"/>
  <c r="G150" i="3"/>
  <c r="F150" i="3"/>
  <c r="Q149" i="3"/>
  <c r="G149" i="3"/>
  <c r="Q148" i="3"/>
  <c r="G148" i="3"/>
  <c r="Q147" i="3"/>
  <c r="G147" i="3"/>
  <c r="Q146" i="3"/>
  <c r="G146" i="3"/>
  <c r="Q145" i="3"/>
  <c r="G145" i="3"/>
  <c r="Q144" i="3"/>
  <c r="P144" i="3"/>
  <c r="G144" i="3"/>
  <c r="F144" i="3"/>
  <c r="Q143" i="3"/>
  <c r="G143" i="3"/>
  <c r="Q142" i="3"/>
  <c r="G142" i="3"/>
  <c r="Q141" i="3"/>
  <c r="G141" i="3"/>
  <c r="Q140" i="3"/>
  <c r="G140" i="3"/>
  <c r="Q139" i="3"/>
  <c r="G139" i="3"/>
  <c r="Q138" i="3"/>
  <c r="G138" i="3"/>
  <c r="Q137" i="3"/>
  <c r="G137" i="3"/>
  <c r="Q136" i="3"/>
  <c r="G136" i="3"/>
  <c r="Q135" i="3"/>
  <c r="G135" i="3"/>
  <c r="Q134" i="3"/>
  <c r="G134" i="3"/>
  <c r="Q133" i="3"/>
  <c r="G133" i="3"/>
  <c r="Q132" i="3"/>
  <c r="G132" i="3"/>
  <c r="Q131" i="3"/>
  <c r="G131" i="3"/>
  <c r="Q130" i="3"/>
  <c r="G130" i="3"/>
  <c r="Q129" i="3"/>
  <c r="G129" i="3"/>
  <c r="Q128" i="3"/>
  <c r="G128" i="3"/>
  <c r="Q127" i="3"/>
  <c r="G127" i="3"/>
  <c r="Q126" i="3"/>
  <c r="G126" i="3"/>
  <c r="Q125" i="3"/>
  <c r="G125" i="3"/>
  <c r="Q124" i="3"/>
  <c r="G124" i="3"/>
  <c r="Q123" i="3"/>
  <c r="G123" i="3"/>
  <c r="Q122" i="3"/>
  <c r="G122" i="3"/>
  <c r="Q121" i="3"/>
  <c r="G121" i="3"/>
  <c r="Q120" i="3"/>
  <c r="G120" i="3"/>
  <c r="Q119" i="3"/>
  <c r="G119" i="3"/>
  <c r="Q118" i="3"/>
  <c r="G118" i="3"/>
  <c r="Q117" i="3"/>
  <c r="G117" i="3"/>
  <c r="Q116" i="3"/>
  <c r="G116" i="3"/>
  <c r="Q115" i="3"/>
  <c r="G115" i="3"/>
  <c r="Q114" i="3"/>
  <c r="G114" i="3"/>
  <c r="Q113" i="3"/>
  <c r="G113" i="3"/>
  <c r="Q112" i="3"/>
  <c r="G112" i="3"/>
  <c r="Q111" i="3"/>
  <c r="G111" i="3"/>
  <c r="Q110" i="3"/>
  <c r="G110" i="3"/>
  <c r="Q109" i="3"/>
  <c r="G109" i="3"/>
  <c r="Q108" i="3"/>
  <c r="G108" i="3"/>
  <c r="Q107" i="3"/>
  <c r="G107" i="3"/>
  <c r="Q106" i="3"/>
  <c r="G106" i="3"/>
  <c r="Q105" i="3"/>
  <c r="G105" i="3"/>
  <c r="Q104" i="3"/>
  <c r="G104" i="3"/>
  <c r="Q103" i="3"/>
  <c r="G103" i="3"/>
  <c r="Q102" i="3"/>
  <c r="G102" i="3"/>
  <c r="Q101" i="3"/>
  <c r="G101" i="3"/>
  <c r="Q100" i="3"/>
  <c r="G100" i="3"/>
  <c r="Q99" i="3"/>
  <c r="G99" i="3"/>
  <c r="Q98" i="3"/>
  <c r="G98" i="3"/>
  <c r="Q97" i="3"/>
  <c r="G97" i="3"/>
  <c r="Q96" i="3"/>
  <c r="G96" i="3"/>
  <c r="Q95" i="3"/>
  <c r="G95" i="3"/>
  <c r="Q94" i="3"/>
  <c r="G94" i="3"/>
  <c r="Q93" i="3"/>
  <c r="G93" i="3"/>
  <c r="Q92" i="3"/>
  <c r="G92" i="3"/>
  <c r="Q91" i="3"/>
  <c r="G91" i="3"/>
  <c r="Q90" i="3"/>
  <c r="G90" i="3"/>
  <c r="Q89" i="3"/>
  <c r="G89" i="3"/>
  <c r="Q88" i="3"/>
  <c r="G88" i="3"/>
  <c r="Q87" i="3"/>
  <c r="G87" i="3"/>
  <c r="Q86" i="3"/>
  <c r="G86" i="3"/>
  <c r="Q85" i="3"/>
  <c r="G85" i="3"/>
  <c r="Q84" i="3"/>
  <c r="G84" i="3"/>
  <c r="Q83" i="3"/>
  <c r="G83" i="3"/>
  <c r="Q82" i="3"/>
  <c r="G82" i="3"/>
  <c r="Q81" i="3"/>
  <c r="G81" i="3"/>
  <c r="Q80" i="3"/>
  <c r="G80" i="3"/>
  <c r="Q79" i="3"/>
  <c r="G79" i="3"/>
  <c r="Q78" i="3"/>
  <c r="G78" i="3"/>
  <c r="Q77" i="3"/>
  <c r="G77" i="3"/>
  <c r="Q76" i="3"/>
  <c r="G76" i="3"/>
  <c r="Q75" i="3"/>
  <c r="G75" i="3"/>
  <c r="Q74" i="3"/>
  <c r="G74" i="3"/>
  <c r="Q73" i="3"/>
  <c r="G73" i="3"/>
  <c r="Q72" i="3"/>
  <c r="G72" i="3"/>
  <c r="Q71" i="3"/>
  <c r="G71" i="3"/>
  <c r="Q70" i="3"/>
  <c r="G70" i="3"/>
  <c r="Q69" i="3"/>
  <c r="G69" i="3"/>
  <c r="Q68" i="3"/>
  <c r="G68" i="3"/>
  <c r="Q67" i="3"/>
  <c r="G67" i="3"/>
  <c r="Q66" i="3"/>
  <c r="G66" i="3"/>
  <c r="Q65" i="3"/>
  <c r="G65" i="3"/>
  <c r="Q64" i="3"/>
  <c r="P64" i="3"/>
  <c r="G64" i="3"/>
  <c r="F64" i="3"/>
  <c r="Q63" i="3"/>
  <c r="G63" i="3"/>
  <c r="Q62" i="3"/>
  <c r="P62" i="3"/>
  <c r="G62" i="3"/>
  <c r="F62" i="3"/>
  <c r="G83" i="10" s="1"/>
  <c r="Q61" i="3"/>
  <c r="G61" i="3"/>
  <c r="Q60" i="3"/>
  <c r="G60" i="3"/>
  <c r="Q59" i="3"/>
  <c r="G59" i="3"/>
  <c r="Q58" i="3"/>
  <c r="G58" i="3"/>
  <c r="Q57" i="3"/>
  <c r="G57" i="3"/>
  <c r="Q56" i="3"/>
  <c r="G56" i="3"/>
  <c r="Q55" i="3"/>
  <c r="G55" i="3"/>
  <c r="Q54" i="3"/>
  <c r="G54" i="3"/>
  <c r="Q53" i="3"/>
  <c r="G53" i="3"/>
  <c r="Q52" i="3"/>
  <c r="G52" i="3"/>
  <c r="Q51" i="3"/>
  <c r="G51" i="3"/>
  <c r="Q50" i="3"/>
  <c r="G50" i="3"/>
  <c r="Q49" i="3"/>
  <c r="G49" i="3"/>
  <c r="Q48" i="3"/>
  <c r="G48" i="3"/>
  <c r="Q47" i="3"/>
  <c r="G47" i="3"/>
  <c r="Q46" i="3"/>
  <c r="G46" i="3"/>
  <c r="Q45" i="3"/>
  <c r="G45" i="3"/>
  <c r="Q44" i="3"/>
  <c r="G44" i="3"/>
  <c r="Q43" i="3"/>
  <c r="G43" i="3"/>
  <c r="Q42" i="3"/>
  <c r="G42" i="3"/>
  <c r="Q41" i="3"/>
  <c r="G41" i="3"/>
  <c r="Q40" i="3"/>
  <c r="G40" i="3"/>
  <c r="Q39" i="3"/>
  <c r="G39" i="3"/>
  <c r="Q38" i="3"/>
  <c r="G38" i="3"/>
  <c r="Q37" i="3"/>
  <c r="G37" i="3"/>
  <c r="Q36" i="3"/>
  <c r="G36" i="3"/>
  <c r="Q35" i="3"/>
  <c r="G35" i="3"/>
  <c r="Q34" i="3"/>
  <c r="G34" i="3"/>
  <c r="Q33" i="3"/>
  <c r="G33" i="3"/>
  <c r="Q32" i="3"/>
  <c r="G32" i="3"/>
  <c r="F32" i="3"/>
  <c r="Q31" i="3"/>
  <c r="G31" i="3"/>
  <c r="Q30" i="3"/>
  <c r="G30" i="3"/>
  <c r="Q29" i="3"/>
  <c r="G29" i="3"/>
  <c r="Q28" i="3"/>
  <c r="G28" i="3"/>
  <c r="Q27" i="3"/>
  <c r="G27" i="3"/>
  <c r="Q26" i="3"/>
  <c r="G26" i="3"/>
  <c r="Q25" i="3"/>
  <c r="G25" i="3"/>
  <c r="Q24" i="3"/>
  <c r="G24" i="3"/>
  <c r="Q23" i="3"/>
  <c r="G23" i="3"/>
  <c r="Q22" i="3"/>
  <c r="G22" i="3"/>
  <c r="Q21" i="3"/>
  <c r="G21" i="3"/>
  <c r="Q20" i="3"/>
  <c r="G20" i="3"/>
  <c r="Q19" i="3"/>
  <c r="G19" i="3"/>
  <c r="Q18" i="3"/>
  <c r="G18" i="3"/>
  <c r="Q17" i="3"/>
  <c r="G17" i="3"/>
  <c r="Q16" i="3"/>
  <c r="G16" i="3"/>
  <c r="Q15" i="3"/>
  <c r="G15" i="3"/>
  <c r="Q14" i="3"/>
  <c r="G14" i="3"/>
  <c r="Q13" i="3"/>
  <c r="G13" i="3"/>
  <c r="Q12" i="3"/>
  <c r="G12" i="3"/>
  <c r="Q11" i="3"/>
  <c r="G11" i="3"/>
  <c r="Q10" i="3"/>
  <c r="G10" i="3"/>
  <c r="Q9" i="3"/>
  <c r="G9" i="3"/>
  <c r="Q8" i="3"/>
  <c r="G8" i="3"/>
  <c r="Q7" i="3"/>
  <c r="G7" i="3"/>
  <c r="Q6" i="3"/>
  <c r="P6" i="3"/>
  <c r="G6" i="3"/>
  <c r="F6" i="3"/>
  <c r="Q5" i="3"/>
  <c r="H5" i="3"/>
  <c r="G5" i="3"/>
  <c r="L206" i="2"/>
  <c r="M206" i="2" s="1"/>
  <c r="P166" i="3" s="1"/>
  <c r="K206" i="2"/>
  <c r="F166" i="3" s="1"/>
  <c r="M205" i="2"/>
  <c r="P165" i="3" s="1"/>
  <c r="L205" i="2"/>
  <c r="K205" i="2"/>
  <c r="F165" i="3" s="1"/>
  <c r="M204" i="2"/>
  <c r="P164" i="3" s="1"/>
  <c r="L204" i="2"/>
  <c r="K204" i="2"/>
  <c r="F164" i="3" s="1"/>
  <c r="M203" i="2"/>
  <c r="P163" i="3" s="1"/>
  <c r="L203" i="2"/>
  <c r="K203" i="2"/>
  <c r="F163" i="3" s="1"/>
  <c r="L202" i="2"/>
  <c r="M202" i="2" s="1"/>
  <c r="P160" i="3" s="1"/>
  <c r="K202" i="2"/>
  <c r="F160" i="3" s="1"/>
  <c r="M200" i="2"/>
  <c r="P162" i="3" s="1"/>
  <c r="L200" i="2"/>
  <c r="K200" i="2"/>
  <c r="F162" i="3" s="1"/>
  <c r="M199" i="2"/>
  <c r="P161" i="3" s="1"/>
  <c r="L199" i="2"/>
  <c r="K199" i="2"/>
  <c r="F161" i="3" s="1"/>
  <c r="M198" i="2"/>
  <c r="P157" i="3" s="1"/>
  <c r="L198" i="2"/>
  <c r="K198" i="2"/>
  <c r="F157" i="3" s="1"/>
  <c r="L197" i="2"/>
  <c r="M197" i="2" s="1"/>
  <c r="P154" i="3" s="1"/>
  <c r="K197" i="2"/>
  <c r="F154" i="3" s="1"/>
  <c r="M195" i="2"/>
  <c r="P158" i="3" s="1"/>
  <c r="L195" i="2"/>
  <c r="K195" i="2"/>
  <c r="F158" i="3" s="1"/>
  <c r="M194" i="2"/>
  <c r="P155" i="3" s="1"/>
  <c r="L194" i="2"/>
  <c r="K194" i="2"/>
  <c r="F155" i="3" s="1"/>
  <c r="M192" i="2"/>
  <c r="P156" i="3" s="1"/>
  <c r="L192" i="2"/>
  <c r="K192" i="2"/>
  <c r="F156" i="3" s="1"/>
  <c r="L191" i="2"/>
  <c r="M191" i="2" s="1"/>
  <c r="P149" i="3" s="1"/>
  <c r="K191" i="2"/>
  <c r="F149" i="3" s="1"/>
  <c r="M190" i="2"/>
  <c r="P146" i="3" s="1"/>
  <c r="L190" i="2"/>
  <c r="K190" i="2"/>
  <c r="F146" i="3" s="1"/>
  <c r="M188" i="2"/>
  <c r="P147" i="3" s="1"/>
  <c r="L188" i="2"/>
  <c r="K188" i="2"/>
  <c r="F147" i="3" s="1"/>
  <c r="M186" i="2"/>
  <c r="P153" i="3" s="1"/>
  <c r="L186" i="2"/>
  <c r="K186" i="2"/>
  <c r="F153" i="3" s="1"/>
  <c r="L185" i="2"/>
  <c r="M185" i="2" s="1"/>
  <c r="P151" i="3" s="1"/>
  <c r="K185" i="2"/>
  <c r="F151" i="3" s="1"/>
  <c r="M184" i="2"/>
  <c r="P152" i="3" s="1"/>
  <c r="L184" i="2"/>
  <c r="K184" i="2"/>
  <c r="F152" i="3" s="1"/>
  <c r="M183" i="2"/>
  <c r="P148" i="3" s="1"/>
  <c r="L183" i="2"/>
  <c r="K183" i="2"/>
  <c r="F148" i="3" s="1"/>
  <c r="M182" i="2"/>
  <c r="P145" i="3" s="1"/>
  <c r="L182" i="2"/>
  <c r="K182" i="2"/>
  <c r="F145" i="3" s="1"/>
  <c r="L177" i="2"/>
  <c r="M177" i="2" s="1"/>
  <c r="P143" i="3" s="1"/>
  <c r="K177" i="2"/>
  <c r="F143" i="3" s="1"/>
  <c r="M176" i="2"/>
  <c r="P142" i="3" s="1"/>
  <c r="L176" i="2"/>
  <c r="K176" i="2"/>
  <c r="F142" i="3" s="1"/>
  <c r="M175" i="2"/>
  <c r="P141" i="3" s="1"/>
  <c r="L175" i="2"/>
  <c r="K175" i="2"/>
  <c r="F141" i="3" s="1"/>
  <c r="M174" i="2"/>
  <c r="P140" i="3" s="1"/>
  <c r="L174" i="2"/>
  <c r="K174" i="2"/>
  <c r="F140" i="3" s="1"/>
  <c r="L173" i="2"/>
  <c r="M173" i="2" s="1"/>
  <c r="P138" i="3" s="1"/>
  <c r="K173" i="2"/>
  <c r="F138" i="3" s="1"/>
  <c r="M171" i="2"/>
  <c r="P139" i="3" s="1"/>
  <c r="L171" i="2"/>
  <c r="K171" i="2"/>
  <c r="F139" i="3" s="1"/>
  <c r="M170" i="2"/>
  <c r="P137" i="3" s="1"/>
  <c r="L170" i="2"/>
  <c r="K170" i="2"/>
  <c r="F137" i="3" s="1"/>
  <c r="M169" i="2"/>
  <c r="P136" i="3" s="1"/>
  <c r="L169" i="2"/>
  <c r="K169" i="2"/>
  <c r="F136" i="3" s="1"/>
  <c r="L168" i="2"/>
  <c r="M168" i="2" s="1"/>
  <c r="P134" i="3" s="1"/>
  <c r="K168" i="2"/>
  <c r="F134" i="3" s="1"/>
  <c r="M167" i="2"/>
  <c r="P132" i="3" s="1"/>
  <c r="L167" i="2"/>
  <c r="K167" i="2"/>
  <c r="F132" i="3" s="1"/>
  <c r="M164" i="2"/>
  <c r="P124" i="3" s="1"/>
  <c r="L164" i="2"/>
  <c r="K164" i="2"/>
  <c r="F124" i="3" s="1"/>
  <c r="M163" i="2"/>
  <c r="P130" i="3" s="1"/>
  <c r="L163" i="2"/>
  <c r="K163" i="2"/>
  <c r="F130" i="3" s="1"/>
  <c r="L162" i="2"/>
  <c r="M162" i="2" s="1"/>
  <c r="P126" i="3" s="1"/>
  <c r="K162" i="2"/>
  <c r="F126" i="3" s="1"/>
  <c r="M161" i="2"/>
  <c r="P118" i="3" s="1"/>
  <c r="L161" i="2"/>
  <c r="K161" i="2"/>
  <c r="F118" i="3" s="1"/>
  <c r="M160" i="2"/>
  <c r="P122" i="3" s="1"/>
  <c r="L160" i="2"/>
  <c r="K160" i="2"/>
  <c r="F122" i="3" s="1"/>
  <c r="M159" i="2"/>
  <c r="P121" i="3" s="1"/>
  <c r="L159" i="2"/>
  <c r="K159" i="2"/>
  <c r="F121" i="3" s="1"/>
  <c r="L157" i="2"/>
  <c r="M157" i="2" s="1"/>
  <c r="P123" i="3" s="1"/>
  <c r="K157" i="2"/>
  <c r="F123" i="3" s="1"/>
  <c r="M156" i="2"/>
  <c r="P119" i="3" s="1"/>
  <c r="L156" i="2"/>
  <c r="K156" i="2"/>
  <c r="F119" i="3" s="1"/>
  <c r="M155" i="2"/>
  <c r="P116" i="3" s="1"/>
  <c r="L155" i="2"/>
  <c r="K155" i="2"/>
  <c r="F116" i="3" s="1"/>
  <c r="M154" i="2"/>
  <c r="P113" i="3" s="1"/>
  <c r="L154" i="2"/>
  <c r="K154" i="2"/>
  <c r="F113" i="3" s="1"/>
  <c r="G155" i="10" s="1"/>
  <c r="L153" i="2"/>
  <c r="M153" i="2" s="1"/>
  <c r="P109" i="3" s="1"/>
  <c r="K153" i="2"/>
  <c r="F109" i="3" s="1"/>
  <c r="M151" i="2"/>
  <c r="P131" i="3" s="1"/>
  <c r="L151" i="2"/>
  <c r="K151" i="2"/>
  <c r="F131" i="3" s="1"/>
  <c r="M150" i="2"/>
  <c r="P135" i="3" s="1"/>
  <c r="L150" i="2"/>
  <c r="K150" i="2"/>
  <c r="F135" i="3" s="1"/>
  <c r="G151" i="10" s="1"/>
  <c r="M149" i="2"/>
  <c r="P133" i="3" s="1"/>
  <c r="L149" i="2"/>
  <c r="K149" i="2"/>
  <c r="F133" i="3" s="1"/>
  <c r="L148" i="2"/>
  <c r="M148" i="2" s="1"/>
  <c r="P127" i="3" s="1"/>
  <c r="K148" i="2"/>
  <c r="F127" i="3" s="1"/>
  <c r="M147" i="2"/>
  <c r="P120" i="3" s="1"/>
  <c r="L147" i="2"/>
  <c r="K147" i="2"/>
  <c r="F120" i="3" s="1"/>
  <c r="M146" i="2"/>
  <c r="P115" i="3" s="1"/>
  <c r="L146" i="2"/>
  <c r="K146" i="2"/>
  <c r="F115" i="3" s="1"/>
  <c r="M145" i="2"/>
  <c r="P114" i="3" s="1"/>
  <c r="L145" i="2"/>
  <c r="K145" i="2"/>
  <c r="F114" i="3" s="1"/>
  <c r="L144" i="2"/>
  <c r="M144" i="2" s="1"/>
  <c r="P110" i="3" s="1"/>
  <c r="K144" i="2"/>
  <c r="F110" i="3" s="1"/>
  <c r="M141" i="2"/>
  <c r="P85" i="3" s="1"/>
  <c r="L141" i="2"/>
  <c r="K141" i="2"/>
  <c r="F85" i="3" s="1"/>
  <c r="M140" i="2"/>
  <c r="P98" i="3" s="1"/>
  <c r="L140" i="2"/>
  <c r="K140" i="2"/>
  <c r="F98" i="3" s="1"/>
  <c r="M139" i="2"/>
  <c r="P97" i="3" s="1"/>
  <c r="L139" i="2"/>
  <c r="K139" i="2"/>
  <c r="F97" i="3" s="1"/>
  <c r="L138" i="2"/>
  <c r="M138" i="2" s="1"/>
  <c r="P94" i="3" s="1"/>
  <c r="K138" i="2"/>
  <c r="F94" i="3" s="1"/>
  <c r="M137" i="2"/>
  <c r="P86" i="3" s="1"/>
  <c r="L137" i="2"/>
  <c r="K137" i="2"/>
  <c r="F86" i="3" s="1"/>
  <c r="M136" i="2"/>
  <c r="P80" i="3" s="1"/>
  <c r="L136" i="2"/>
  <c r="K136" i="2"/>
  <c r="F80" i="3" s="1"/>
  <c r="M135" i="2"/>
  <c r="P74" i="3" s="1"/>
  <c r="L135" i="2"/>
  <c r="K135" i="2"/>
  <c r="F74" i="3" s="1"/>
  <c r="L133" i="2"/>
  <c r="M133" i="2" s="1"/>
  <c r="P129" i="3" s="1"/>
  <c r="K133" i="2"/>
  <c r="F129" i="3" s="1"/>
  <c r="M132" i="2"/>
  <c r="P128" i="3" s="1"/>
  <c r="L132" i="2"/>
  <c r="K132" i="2"/>
  <c r="F128" i="3" s="1"/>
  <c r="M131" i="2"/>
  <c r="P125" i="3" s="1"/>
  <c r="L131" i="2"/>
  <c r="K131" i="2"/>
  <c r="F125" i="3" s="1"/>
  <c r="M130" i="2"/>
  <c r="P117" i="3" s="1"/>
  <c r="L130" i="2"/>
  <c r="K130" i="2"/>
  <c r="F117" i="3" s="1"/>
  <c r="L129" i="2"/>
  <c r="M129" i="2" s="1"/>
  <c r="P112" i="3" s="1"/>
  <c r="K129" i="2"/>
  <c r="F112" i="3" s="1"/>
  <c r="M128" i="2"/>
  <c r="P111" i="3" s="1"/>
  <c r="L128" i="2"/>
  <c r="K128" i="2"/>
  <c r="F111" i="3" s="1"/>
  <c r="M126" i="2"/>
  <c r="P108" i="3" s="1"/>
  <c r="L126" i="2"/>
  <c r="K126" i="2"/>
  <c r="F108" i="3" s="1"/>
  <c r="M125" i="2"/>
  <c r="P106" i="3" s="1"/>
  <c r="L125" i="2"/>
  <c r="K125" i="2"/>
  <c r="F106" i="3" s="1"/>
  <c r="L124" i="2"/>
  <c r="M124" i="2" s="1"/>
  <c r="P104" i="3" s="1"/>
  <c r="K124" i="2"/>
  <c r="F104" i="3" s="1"/>
  <c r="M123" i="2"/>
  <c r="P107" i="3" s="1"/>
  <c r="L123" i="2"/>
  <c r="K123" i="2"/>
  <c r="F107" i="3" s="1"/>
  <c r="M122" i="2"/>
  <c r="P105" i="3" s="1"/>
  <c r="L122" i="2"/>
  <c r="K122" i="2"/>
  <c r="F105" i="3" s="1"/>
  <c r="M121" i="2"/>
  <c r="P103" i="3" s="1"/>
  <c r="L121" i="2"/>
  <c r="K121" i="2"/>
  <c r="F103" i="3" s="1"/>
  <c r="L120" i="2"/>
  <c r="M120" i="2" s="1"/>
  <c r="P102" i="3" s="1"/>
  <c r="K120" i="2"/>
  <c r="F102" i="3" s="1"/>
  <c r="M119" i="2"/>
  <c r="P101" i="3" s="1"/>
  <c r="L119" i="2"/>
  <c r="K119" i="2"/>
  <c r="F101" i="3" s="1"/>
  <c r="M118" i="2"/>
  <c r="P100" i="3" s="1"/>
  <c r="L118" i="2"/>
  <c r="K118" i="2"/>
  <c r="F100" i="3" s="1"/>
  <c r="M117" i="2"/>
  <c r="P99" i="3" s="1"/>
  <c r="L117" i="2"/>
  <c r="K117" i="2"/>
  <c r="F99" i="3" s="1"/>
  <c r="L114" i="2"/>
  <c r="M114" i="2" s="1"/>
  <c r="P89" i="3" s="1"/>
  <c r="K114" i="2"/>
  <c r="F89" i="3" s="1"/>
  <c r="M113" i="2"/>
  <c r="P90" i="3" s="1"/>
  <c r="L113" i="2"/>
  <c r="K113" i="2"/>
  <c r="F90" i="3" s="1"/>
  <c r="M112" i="2"/>
  <c r="P91" i="3" s="1"/>
  <c r="L112" i="2"/>
  <c r="K112" i="2"/>
  <c r="F91" i="3" s="1"/>
  <c r="M111" i="2"/>
  <c r="P87" i="3" s="1"/>
  <c r="L111" i="2"/>
  <c r="K111" i="2"/>
  <c r="F87" i="3" s="1"/>
  <c r="L110" i="2"/>
  <c r="M110" i="2" s="1"/>
  <c r="P81" i="3" s="1"/>
  <c r="K110" i="2"/>
  <c r="F81" i="3" s="1"/>
  <c r="M109" i="2"/>
  <c r="P82" i="3" s="1"/>
  <c r="L109" i="2"/>
  <c r="K109" i="2"/>
  <c r="F82" i="3" s="1"/>
  <c r="M108" i="2"/>
  <c r="P76" i="3" s="1"/>
  <c r="L108" i="2"/>
  <c r="K108" i="2"/>
  <c r="F76" i="3" s="1"/>
  <c r="M107" i="2"/>
  <c r="P71" i="3" s="1"/>
  <c r="L107" i="2"/>
  <c r="K107" i="2"/>
  <c r="F71" i="3" s="1"/>
  <c r="G108" i="10" s="1"/>
  <c r="L105" i="2"/>
  <c r="M105" i="2" s="1"/>
  <c r="P88" i="3" s="1"/>
  <c r="K105" i="2"/>
  <c r="F88" i="3" s="1"/>
  <c r="M104" i="2"/>
  <c r="P75" i="3" s="1"/>
  <c r="L104" i="2"/>
  <c r="K104" i="2"/>
  <c r="F75" i="3" s="1"/>
  <c r="M103" i="2"/>
  <c r="P92" i="3" s="1"/>
  <c r="L103" i="2"/>
  <c r="K103" i="2"/>
  <c r="F92" i="3" s="1"/>
  <c r="M102" i="2"/>
  <c r="P83" i="3" s="1"/>
  <c r="L102" i="2"/>
  <c r="K102" i="2"/>
  <c r="F83" i="3" s="1"/>
  <c r="L101" i="2"/>
  <c r="M101" i="2" s="1"/>
  <c r="P77" i="3" s="1"/>
  <c r="K101" i="2"/>
  <c r="F77" i="3" s="1"/>
  <c r="M100" i="2"/>
  <c r="P96" i="3" s="1"/>
  <c r="L100" i="2"/>
  <c r="K100" i="2"/>
  <c r="F96" i="3" s="1"/>
  <c r="M99" i="2"/>
  <c r="P95" i="3" s="1"/>
  <c r="L99" i="2"/>
  <c r="K99" i="2"/>
  <c r="F95" i="3" s="1"/>
  <c r="M98" i="2"/>
  <c r="P93" i="3" s="1"/>
  <c r="L98" i="2"/>
  <c r="K98" i="2"/>
  <c r="F93" i="3" s="1"/>
  <c r="L97" i="2"/>
  <c r="M97" i="2" s="1"/>
  <c r="P78" i="3" s="1"/>
  <c r="K97" i="2"/>
  <c r="F78" i="3" s="1"/>
  <c r="M96" i="2"/>
  <c r="P73" i="3" s="1"/>
  <c r="L96" i="2"/>
  <c r="K96" i="2"/>
  <c r="F73" i="3" s="1"/>
  <c r="M95" i="2"/>
  <c r="P84" i="3" s="1"/>
  <c r="L95" i="2"/>
  <c r="K95" i="2"/>
  <c r="F84" i="3" s="1"/>
  <c r="M94" i="2"/>
  <c r="P79" i="3" s="1"/>
  <c r="L94" i="2"/>
  <c r="K94" i="2"/>
  <c r="F79" i="3" s="1"/>
  <c r="L93" i="2"/>
  <c r="M93" i="2" s="1"/>
  <c r="P72" i="3" s="1"/>
  <c r="K93" i="2"/>
  <c r="F72" i="3" s="1"/>
  <c r="M92" i="2"/>
  <c r="P70" i="3" s="1"/>
  <c r="L92" i="2"/>
  <c r="K92" i="2"/>
  <c r="F70" i="3" s="1"/>
  <c r="M91" i="2"/>
  <c r="P69" i="3" s="1"/>
  <c r="L91" i="2"/>
  <c r="K91" i="2"/>
  <c r="F69" i="3" s="1"/>
  <c r="M90" i="2"/>
  <c r="P68" i="3" s="1"/>
  <c r="L90" i="2"/>
  <c r="K90" i="2"/>
  <c r="F68" i="3" s="1"/>
  <c r="L89" i="2"/>
  <c r="M89" i="2" s="1"/>
  <c r="P67" i="3" s="1"/>
  <c r="K89" i="2"/>
  <c r="F67" i="3" s="1"/>
  <c r="M88" i="2"/>
  <c r="P66" i="3" s="1"/>
  <c r="L88" i="2"/>
  <c r="K88" i="2"/>
  <c r="F66" i="3" s="1"/>
  <c r="G89" i="10" s="1"/>
  <c r="M87" i="2"/>
  <c r="P65" i="3" s="1"/>
  <c r="L87" i="2"/>
  <c r="K87" i="2"/>
  <c r="F65" i="3" s="1"/>
  <c r="M81" i="2"/>
  <c r="P63" i="3" s="1"/>
  <c r="L81" i="2"/>
  <c r="K81" i="2"/>
  <c r="F63" i="3" s="1"/>
  <c r="L80" i="2"/>
  <c r="M80" i="2" s="1"/>
  <c r="P60" i="3" s="1"/>
  <c r="K80" i="2"/>
  <c r="F60" i="3" s="1"/>
  <c r="M79" i="2"/>
  <c r="P58" i="3" s="1"/>
  <c r="L79" i="2"/>
  <c r="K79" i="2"/>
  <c r="F58" i="3" s="1"/>
  <c r="M78" i="2"/>
  <c r="P57" i="3" s="1"/>
  <c r="L78" i="2"/>
  <c r="K78" i="2"/>
  <c r="F57" i="3" s="1"/>
  <c r="M77" i="2"/>
  <c r="P55" i="3" s="1"/>
  <c r="L77" i="2"/>
  <c r="K77" i="2"/>
  <c r="F55" i="3" s="1"/>
  <c r="L76" i="2"/>
  <c r="M76" i="2" s="1"/>
  <c r="P51" i="3" s="1"/>
  <c r="K76" i="2"/>
  <c r="F51" i="3" s="1"/>
  <c r="M74" i="2"/>
  <c r="P61" i="3" s="1"/>
  <c r="L74" i="2"/>
  <c r="K74" i="2"/>
  <c r="F61" i="3" s="1"/>
  <c r="M73" i="2"/>
  <c r="P59" i="3" s="1"/>
  <c r="L73" i="2"/>
  <c r="K73" i="2"/>
  <c r="F59" i="3" s="1"/>
  <c r="M72" i="2"/>
  <c r="P56" i="3" s="1"/>
  <c r="L72" i="2"/>
  <c r="K72" i="2"/>
  <c r="F56" i="3" s="1"/>
  <c r="L71" i="2"/>
  <c r="M71" i="2" s="1"/>
  <c r="P54" i="3" s="1"/>
  <c r="K71" i="2"/>
  <c r="F54" i="3" s="1"/>
  <c r="M70" i="2"/>
  <c r="P53" i="3" s="1"/>
  <c r="L70" i="2"/>
  <c r="K70" i="2"/>
  <c r="F53" i="3" s="1"/>
  <c r="M68" i="2"/>
  <c r="P50" i="3" s="1"/>
  <c r="L68" i="2"/>
  <c r="K68" i="2"/>
  <c r="F50" i="3" s="1"/>
  <c r="M67" i="2"/>
  <c r="P49" i="3" s="1"/>
  <c r="L67" i="2"/>
  <c r="K67" i="2"/>
  <c r="F49" i="3" s="1"/>
  <c r="L66" i="2"/>
  <c r="M66" i="2" s="1"/>
  <c r="P48" i="3" s="1"/>
  <c r="K66" i="2"/>
  <c r="F48" i="3" s="1"/>
  <c r="M65" i="2"/>
  <c r="P45" i="3" s="1"/>
  <c r="L65" i="2"/>
  <c r="K65" i="2"/>
  <c r="F45" i="3" s="1"/>
  <c r="M64" i="2"/>
  <c r="P43" i="3" s="1"/>
  <c r="L64" i="2"/>
  <c r="K64" i="2"/>
  <c r="F43" i="3" s="1"/>
  <c r="M61" i="2"/>
  <c r="P52" i="3" s="1"/>
  <c r="L61" i="2"/>
  <c r="K61" i="2"/>
  <c r="F52" i="3" s="1"/>
  <c r="L60" i="2"/>
  <c r="M60" i="2" s="1"/>
  <c r="P46" i="3" s="1"/>
  <c r="K60" i="2"/>
  <c r="F46" i="3" s="1"/>
  <c r="M59" i="2"/>
  <c r="P47" i="3" s="1"/>
  <c r="L59" i="2"/>
  <c r="K59" i="2"/>
  <c r="F47" i="3" s="1"/>
  <c r="M58" i="2"/>
  <c r="P44" i="3" s="1"/>
  <c r="L58" i="2"/>
  <c r="K58" i="2"/>
  <c r="F44" i="3" s="1"/>
  <c r="M57" i="2"/>
  <c r="P42" i="3" s="1"/>
  <c r="L57" i="2"/>
  <c r="K57" i="2"/>
  <c r="F42" i="3" s="1"/>
  <c r="L55" i="2"/>
  <c r="M55" i="2" s="1"/>
  <c r="P38" i="3" s="1"/>
  <c r="K55" i="2"/>
  <c r="F38" i="3" s="1"/>
  <c r="M54" i="2"/>
  <c r="P40" i="3" s="1"/>
  <c r="L54" i="2"/>
  <c r="K54" i="2"/>
  <c r="F40" i="3" s="1"/>
  <c r="M53" i="2"/>
  <c r="P41" i="3" s="1"/>
  <c r="L53" i="2"/>
  <c r="K53" i="2"/>
  <c r="F41" i="3" s="1"/>
  <c r="M52" i="2"/>
  <c r="P39" i="3" s="1"/>
  <c r="L52" i="2"/>
  <c r="K52" i="2"/>
  <c r="F39" i="3" s="1"/>
  <c r="L51" i="2"/>
  <c r="M51" i="2" s="1"/>
  <c r="P37" i="3" s="1"/>
  <c r="K51" i="2"/>
  <c r="F37" i="3" s="1"/>
  <c r="M46" i="2"/>
  <c r="P18" i="3" s="1"/>
  <c r="L46" i="2"/>
  <c r="K46" i="2"/>
  <c r="F18" i="3" s="1"/>
  <c r="M45" i="2"/>
  <c r="P16" i="3" s="1"/>
  <c r="L45" i="2"/>
  <c r="K45" i="2"/>
  <c r="F16" i="3" s="1"/>
  <c r="M44" i="2"/>
  <c r="P13" i="3" s="1"/>
  <c r="L44" i="2"/>
  <c r="K44" i="2"/>
  <c r="F13" i="3" s="1"/>
  <c r="L43" i="2"/>
  <c r="M43" i="2" s="1"/>
  <c r="P8" i="3" s="1"/>
  <c r="K43" i="2"/>
  <c r="F8" i="3" s="1"/>
  <c r="M41" i="2"/>
  <c r="P30" i="3" s="1"/>
  <c r="L41" i="2"/>
  <c r="K41" i="2"/>
  <c r="F30" i="3" s="1"/>
  <c r="M40" i="2"/>
  <c r="P22" i="3" s="1"/>
  <c r="L40" i="2"/>
  <c r="K40" i="2"/>
  <c r="F22" i="3" s="1"/>
  <c r="M39" i="2"/>
  <c r="P15" i="3" s="1"/>
  <c r="L39" i="2"/>
  <c r="K39" i="2"/>
  <c r="F15" i="3" s="1"/>
  <c r="G40" i="10" s="1"/>
  <c r="L38" i="2"/>
  <c r="M38" i="2" s="1"/>
  <c r="P9" i="3" s="1"/>
  <c r="K38" i="2"/>
  <c r="F9" i="3" s="1"/>
  <c r="M36" i="2"/>
  <c r="P35" i="3" s="1"/>
  <c r="L36" i="2"/>
  <c r="K36" i="2"/>
  <c r="F35" i="3" s="1"/>
  <c r="M35" i="2"/>
  <c r="P34" i="3" s="1"/>
  <c r="L35" i="2"/>
  <c r="K35" i="2"/>
  <c r="F34" i="3" s="1"/>
  <c r="M34" i="2"/>
  <c r="P23" i="3" s="1"/>
  <c r="L34" i="2"/>
  <c r="K34" i="2"/>
  <c r="F23" i="3" s="1"/>
  <c r="L33" i="2"/>
  <c r="M33" i="2" s="1"/>
  <c r="P12" i="3" s="1"/>
  <c r="K33" i="2"/>
  <c r="F12" i="3" s="1"/>
  <c r="G34" i="10" s="1"/>
  <c r="M31" i="2"/>
  <c r="P29" i="3" s="1"/>
  <c r="L31" i="2"/>
  <c r="K31" i="2"/>
  <c r="F29" i="3" s="1"/>
  <c r="M30" i="2"/>
  <c r="P28" i="3" s="1"/>
  <c r="L30" i="2"/>
  <c r="K30" i="2"/>
  <c r="F28" i="3" s="1"/>
  <c r="G31" i="10" s="1"/>
  <c r="M29" i="2"/>
  <c r="P17" i="3" s="1"/>
  <c r="L29" i="2"/>
  <c r="K29" i="2"/>
  <c r="F17" i="3" s="1"/>
  <c r="L28" i="2"/>
  <c r="M28" i="2" s="1"/>
  <c r="P10" i="3" s="1"/>
  <c r="K28" i="2"/>
  <c r="F10" i="3" s="1"/>
  <c r="G29" i="10" s="1"/>
  <c r="M25" i="2"/>
  <c r="P25" i="3" s="1"/>
  <c r="L25" i="2"/>
  <c r="K25" i="2"/>
  <c r="F25" i="3" s="1"/>
  <c r="M24" i="2"/>
  <c r="P24" i="3" s="1"/>
  <c r="L24" i="2"/>
  <c r="K24" i="2"/>
  <c r="F24" i="3" s="1"/>
  <c r="M23" i="2"/>
  <c r="P21" i="3" s="1"/>
  <c r="L23" i="2"/>
  <c r="K23" i="2"/>
  <c r="F21" i="3" s="1"/>
  <c r="G24" i="10" s="1"/>
  <c r="L22" i="2"/>
  <c r="M22" i="2" s="1"/>
  <c r="P14" i="3" s="1"/>
  <c r="K22" i="2"/>
  <c r="F14" i="3" s="1"/>
  <c r="M21" i="2"/>
  <c r="P7" i="3" s="1"/>
  <c r="L21" i="2"/>
  <c r="K21" i="2"/>
  <c r="F7" i="3" s="1"/>
  <c r="M19" i="2"/>
  <c r="P27" i="3" s="1"/>
  <c r="L19" i="2"/>
  <c r="K19" i="2"/>
  <c r="F27" i="3" s="1"/>
  <c r="G20" i="10" s="1"/>
  <c r="M18" i="2"/>
  <c r="P31" i="3" s="1"/>
  <c r="L18" i="2"/>
  <c r="K18" i="2"/>
  <c r="F31" i="3" s="1"/>
  <c r="L17" i="2"/>
  <c r="M17" i="2" s="1"/>
  <c r="P26" i="3" s="1"/>
  <c r="K17" i="2"/>
  <c r="F26" i="3" s="1"/>
  <c r="M16" i="2"/>
  <c r="P19" i="3" s="1"/>
  <c r="L16" i="2"/>
  <c r="K16" i="2"/>
  <c r="F19" i="3" s="1"/>
  <c r="M14" i="2"/>
  <c r="P36" i="3" s="1"/>
  <c r="L14" i="2"/>
  <c r="K14" i="2"/>
  <c r="F36" i="3" s="1"/>
  <c r="M13" i="2"/>
  <c r="P32" i="3" s="1"/>
  <c r="L13" i="2"/>
  <c r="K13" i="2"/>
  <c r="L12" i="2"/>
  <c r="M12" i="2" s="1"/>
  <c r="P33" i="3" s="1"/>
  <c r="K12" i="2"/>
  <c r="F33" i="3" s="1"/>
  <c r="M11" i="2"/>
  <c r="P20" i="3" s="1"/>
  <c r="L11" i="2"/>
  <c r="K11" i="2"/>
  <c r="F20" i="3" s="1"/>
  <c r="M10" i="2"/>
  <c r="P11" i="3" s="1"/>
  <c r="L10" i="2"/>
  <c r="K10" i="2"/>
  <c r="F11" i="3" s="1"/>
  <c r="M7" i="2"/>
  <c r="P5" i="3" s="1"/>
  <c r="L7" i="2"/>
  <c r="K7" i="2"/>
  <c r="F5" i="3" s="1"/>
  <c r="B12" i="1"/>
  <c r="C11" i="1"/>
  <c r="C10" i="1"/>
  <c r="C9" i="1"/>
  <c r="E8" i="1"/>
  <c r="D9" i="1" s="1"/>
  <c r="E9" i="1" s="1"/>
  <c r="D10" i="1" s="1"/>
  <c r="E10" i="1" s="1"/>
  <c r="D8" i="1"/>
  <c r="C8" i="1"/>
  <c r="B4" i="1"/>
  <c r="B16" i="1" s="1"/>
  <c r="B18" i="12" l="1"/>
  <c r="D18" i="12" s="1"/>
  <c r="E12" i="12"/>
  <c r="E8" i="12"/>
  <c r="D8" i="12"/>
  <c r="E15" i="12"/>
  <c r="E11" i="12"/>
  <c r="E7" i="12"/>
  <c r="E14" i="12"/>
  <c r="E10" i="12"/>
  <c r="E6" i="12"/>
  <c r="E17" i="12"/>
  <c r="E13" i="12"/>
  <c r="E5" i="12"/>
  <c r="G147" i="10"/>
  <c r="G111" i="10"/>
  <c r="G39" i="10"/>
  <c r="G26" i="10"/>
  <c r="G17" i="10"/>
  <c r="G65" i="10"/>
  <c r="G58" i="10"/>
  <c r="G59" i="10"/>
  <c r="G119" i="10"/>
  <c r="G32" i="10"/>
  <c r="C12" i="1"/>
  <c r="D30" i="12" s="1"/>
  <c r="G145" i="10"/>
  <c r="B14" i="1"/>
  <c r="D11" i="1"/>
  <c r="E11" i="1" s="1"/>
  <c r="G30" i="10"/>
  <c r="G25" i="10"/>
  <c r="B5" i="7"/>
  <c r="B6" i="7"/>
  <c r="G41" i="10"/>
  <c r="D29" i="12"/>
  <c r="E21" i="7"/>
  <c r="G109" i="10"/>
  <c r="G184" i="10"/>
  <c r="G195" i="10"/>
  <c r="G200" i="10"/>
  <c r="G205" i="10"/>
  <c r="I5" i="3"/>
  <c r="G114" i="10"/>
  <c r="G148" i="10"/>
  <c r="G152" i="10"/>
  <c r="G162" i="10"/>
  <c r="G185" i="10"/>
  <c r="G196" i="10"/>
  <c r="G201" i="10"/>
  <c r="G206" i="10"/>
  <c r="G127" i="10"/>
  <c r="G71" i="10"/>
  <c r="G105" i="10"/>
  <c r="G110" i="10"/>
  <c r="G129" i="10"/>
  <c r="G157" i="10"/>
  <c r="G35" i="10"/>
  <c r="AH35" i="10"/>
  <c r="G161" i="10"/>
  <c r="G113" i="10"/>
  <c r="G171" i="10"/>
  <c r="D27" i="12"/>
  <c r="E19" i="7"/>
  <c r="G93" i="10"/>
  <c r="G67" i="10"/>
  <c r="G106" i="10"/>
  <c r="G130" i="10"/>
  <c r="G149" i="10"/>
  <c r="G163" i="10"/>
  <c r="G198" i="10"/>
  <c r="G203" i="10"/>
  <c r="G207" i="10"/>
  <c r="G100" i="10"/>
  <c r="G165" i="10"/>
  <c r="D28" i="12"/>
  <c r="E20" i="7"/>
  <c r="G77" i="10"/>
  <c r="G94" i="10"/>
  <c r="G158" i="10"/>
  <c r="G174" i="10"/>
  <c r="G186" i="10"/>
  <c r="G74" i="10"/>
  <c r="G18" i="10"/>
  <c r="G81" i="10"/>
  <c r="G98" i="10"/>
  <c r="G115" i="10"/>
  <c r="G134" i="10"/>
  <c r="B26" i="12"/>
  <c r="B7" i="13"/>
  <c r="G18" i="7"/>
  <c r="G60" i="10"/>
  <c r="G91" i="10"/>
  <c r="G118" i="10"/>
  <c r="G131" i="10"/>
  <c r="G150" i="10"/>
  <c r="G160" i="10"/>
  <c r="G183" i="10"/>
  <c r="G199" i="10"/>
  <c r="G204" i="10"/>
  <c r="G84" i="10"/>
  <c r="G88" i="10"/>
  <c r="D26" i="12"/>
  <c r="E18" i="7"/>
  <c r="G99" i="10"/>
  <c r="G103" i="10"/>
  <c r="G112" i="10"/>
  <c r="G146" i="10"/>
  <c r="G164" i="10"/>
  <c r="G175" i="10"/>
  <c r="G187" i="10"/>
  <c r="B27" i="12"/>
  <c r="G19" i="7"/>
  <c r="AH19" i="10"/>
  <c r="G19" i="10"/>
  <c r="B28" i="12"/>
  <c r="G20" i="7"/>
  <c r="AH37" i="10"/>
  <c r="G37" i="10"/>
  <c r="AH96" i="10"/>
  <c r="G96" i="10"/>
  <c r="G66" i="10"/>
  <c r="AH66" i="10"/>
  <c r="AH80" i="10"/>
  <c r="G80" i="10"/>
  <c r="AH11" i="10"/>
  <c r="G11" i="10"/>
  <c r="AH22" i="10"/>
  <c r="G22" i="10"/>
  <c r="B36" i="6"/>
  <c r="G45" i="10"/>
  <c r="AH45" i="10"/>
  <c r="G56" i="10"/>
  <c r="AH56" i="10"/>
  <c r="AH68" i="10"/>
  <c r="G68" i="10"/>
  <c r="G15" i="10"/>
  <c r="AH21" i="10"/>
  <c r="G53" i="10"/>
  <c r="B29" i="12"/>
  <c r="G21" i="7"/>
  <c r="H8" i="10"/>
  <c r="G8" i="10"/>
  <c r="AH8" i="10"/>
  <c r="G55" i="10"/>
  <c r="AH55" i="10"/>
  <c r="G62" i="10"/>
  <c r="G102" i="10"/>
  <c r="AH102" i="10"/>
  <c r="B40" i="7"/>
  <c r="B42" i="7" s="1"/>
  <c r="G14" i="10"/>
  <c r="AH36" i="10"/>
  <c r="G48" i="10"/>
  <c r="AH67" i="10"/>
  <c r="AH73" i="10"/>
  <c r="G73" i="10"/>
  <c r="AH97" i="10"/>
  <c r="G97" i="10"/>
  <c r="AH23" i="10"/>
  <c r="G23" i="10"/>
  <c r="AH42" i="10"/>
  <c r="G42" i="10"/>
  <c r="AH43" i="10"/>
  <c r="AH69" i="10"/>
  <c r="G69" i="10"/>
  <c r="AH75" i="10"/>
  <c r="G75" i="10"/>
  <c r="AH7" i="10"/>
  <c r="AH20" i="10"/>
  <c r="G61" i="10"/>
  <c r="AH121" i="10"/>
  <c r="G121" i="10"/>
  <c r="AH125" i="10"/>
  <c r="G125" i="10"/>
  <c r="I8" i="10"/>
  <c r="AH15" i="10"/>
  <c r="AH38" i="10"/>
  <c r="G44" i="10"/>
  <c r="AH44" i="10"/>
  <c r="G47" i="10"/>
  <c r="AH47" i="10"/>
  <c r="AH53" i="10"/>
  <c r="G92" i="10"/>
  <c r="AH92" i="10"/>
  <c r="AH106" i="10"/>
  <c r="G12" i="10"/>
  <c r="G36" i="10"/>
  <c r="G132" i="10"/>
  <c r="AH135" i="10"/>
  <c r="G54" i="10"/>
  <c r="AH84" i="10"/>
  <c r="G137" i="10"/>
  <c r="AH137" i="10"/>
  <c r="AH79" i="10"/>
  <c r="G79" i="10"/>
  <c r="AH120" i="10"/>
  <c r="G120" i="10"/>
  <c r="G139" i="10"/>
  <c r="AH139" i="10"/>
  <c r="G13" i="10"/>
  <c r="AH41" i="10"/>
  <c r="AH82" i="10"/>
  <c r="G90" i="10"/>
  <c r="AH90" i="10"/>
  <c r="G101" i="10"/>
  <c r="G52" i="10"/>
  <c r="G104" i="10"/>
  <c r="AH132" i="10"/>
  <c r="G136" i="10"/>
  <c r="AH40" i="10"/>
  <c r="G95" i="10"/>
  <c r="G123" i="10"/>
  <c r="AH182" i="10"/>
  <c r="G46" i="10"/>
  <c r="AH50" i="10"/>
  <c r="AH81" i="10"/>
  <c r="G126" i="10"/>
  <c r="AH39" i="10"/>
  <c r="G72" i="10"/>
  <c r="G78" i="10"/>
  <c r="G82" i="10"/>
  <c r="AH101" i="10"/>
  <c r="AH168" i="10"/>
  <c r="G168" i="10"/>
  <c r="AH172" i="10"/>
  <c r="G172" i="10"/>
  <c r="AH179" i="10"/>
  <c r="G179" i="10"/>
  <c r="AH130" i="10"/>
  <c r="AH159" i="10"/>
  <c r="AH167" i="10"/>
  <c r="AH169" i="10"/>
  <c r="G122" i="10"/>
  <c r="G124" i="10"/>
  <c r="AH127" i="10"/>
  <c r="G169" i="10"/>
  <c r="G190" i="10"/>
  <c r="G192" i="10"/>
  <c r="AH192" i="10"/>
  <c r="G140" i="10"/>
  <c r="AH155" i="10"/>
  <c r="G194" i="10"/>
  <c r="G133" i="10"/>
  <c r="G138" i="10"/>
  <c r="G156" i="10"/>
  <c r="AH170" i="10"/>
  <c r="G178" i="10"/>
  <c r="G191" i="10"/>
  <c r="AH191" i="10"/>
  <c r="C44" i="12"/>
  <c r="C46" i="12" s="1"/>
  <c r="AH194" i="10"/>
  <c r="G141" i="10"/>
  <c r="AH141" i="10"/>
  <c r="G154" i="10"/>
  <c r="G170" i="10"/>
  <c r="G176" i="10"/>
  <c r="G193" i="10"/>
  <c r="AH193" i="10"/>
  <c r="G177" i="10"/>
  <c r="AH181" i="10"/>
  <c r="AH185" i="10"/>
  <c r="AH190" i="10"/>
  <c r="G142" i="10"/>
  <c r="G189" i="10"/>
  <c r="E11" i="13"/>
  <c r="D39" i="12"/>
  <c r="AH128" i="10"/>
  <c r="AH183" i="10"/>
  <c r="E9" i="12" l="1"/>
  <c r="E16" i="12"/>
  <c r="B20" i="12"/>
  <c r="D20" i="12"/>
  <c r="B22" i="12"/>
  <c r="D42" i="12"/>
  <c r="C28" i="12"/>
  <c r="E28" i="12"/>
  <c r="G22" i="7"/>
  <c r="D40" i="7"/>
  <c r="D38" i="12"/>
  <c r="D36" i="12"/>
  <c r="D35" i="12"/>
  <c r="B30" i="12"/>
  <c r="E30" i="12" s="1"/>
  <c r="E26" i="12"/>
  <c r="C26" i="12"/>
  <c r="F11" i="13"/>
  <c r="G11" i="13" s="1"/>
  <c r="F12" i="13"/>
  <c r="G12" i="13" s="1"/>
  <c r="D41" i="12"/>
  <c r="B14" i="7"/>
  <c r="B3" i="1"/>
  <c r="D37" i="12"/>
  <c r="H7" i="3"/>
  <c r="H12" i="3"/>
  <c r="H8" i="3"/>
  <c r="H9" i="3"/>
  <c r="H10" i="3"/>
  <c r="H6" i="3"/>
  <c r="H11" i="3"/>
  <c r="E29" i="12"/>
  <c r="C29" i="12"/>
  <c r="E27" i="12"/>
  <c r="C27" i="12"/>
  <c r="D40" i="12"/>
  <c r="D43" i="12"/>
  <c r="D34" i="12"/>
  <c r="I6" i="3" l="1"/>
  <c r="H48" i="10"/>
  <c r="H29" i="10"/>
  <c r="I10" i="3"/>
  <c r="I9" i="3"/>
  <c r="H39" i="10"/>
  <c r="B33" i="13"/>
  <c r="B29" i="13"/>
  <c r="B25" i="13"/>
  <c r="B21" i="13"/>
  <c r="B17" i="13"/>
  <c r="B13" i="13"/>
  <c r="B30" i="13"/>
  <c r="B26" i="13"/>
  <c r="B22" i="13"/>
  <c r="B18" i="13"/>
  <c r="B14" i="13"/>
  <c r="B31" i="13"/>
  <c r="B27" i="13"/>
  <c r="B23" i="13"/>
  <c r="B19" i="13"/>
  <c r="B15" i="13"/>
  <c r="B11" i="13"/>
  <c r="B24" i="13"/>
  <c r="B28" i="13"/>
  <c r="B12" i="13"/>
  <c r="B32" i="13"/>
  <c r="B16" i="13"/>
  <c r="B20" i="13"/>
  <c r="J29" i="10"/>
  <c r="AD5" i="10"/>
  <c r="R5" i="10"/>
  <c r="B11" i="7"/>
  <c r="AC5" i="10"/>
  <c r="Q5" i="10"/>
  <c r="AB5" i="10"/>
  <c r="P5" i="10"/>
  <c r="Z5" i="10"/>
  <c r="N5" i="10"/>
  <c r="W5" i="10"/>
  <c r="J39" i="10"/>
  <c r="J8" i="10"/>
  <c r="O5" i="10"/>
  <c r="M5" i="10"/>
  <c r="AG5" i="10"/>
  <c r="AF5" i="10"/>
  <c r="AE5" i="10"/>
  <c r="AA5" i="10"/>
  <c r="X5" i="10"/>
  <c r="J44" i="10"/>
  <c r="V5" i="10"/>
  <c r="Y5" i="10"/>
  <c r="U5" i="10"/>
  <c r="T5" i="10"/>
  <c r="S5" i="10"/>
  <c r="F11" i="1"/>
  <c r="K8" i="10"/>
  <c r="N9" i="3"/>
  <c r="G10" i="1"/>
  <c r="B12" i="7" s="1"/>
  <c r="F10" i="1"/>
  <c r="O10" i="3"/>
  <c r="N10" i="3"/>
  <c r="G12" i="1"/>
  <c r="O5" i="3"/>
  <c r="G9" i="1"/>
  <c r="O6" i="3"/>
  <c r="N5" i="3"/>
  <c r="F12" i="1"/>
  <c r="N11" i="3"/>
  <c r="N6" i="3"/>
  <c r="F9" i="1"/>
  <c r="O9" i="3"/>
  <c r="O12" i="3"/>
  <c r="N7" i="3"/>
  <c r="G11" i="1"/>
  <c r="F8" i="1"/>
  <c r="N12" i="3"/>
  <c r="O8" i="3"/>
  <c r="G8" i="1"/>
  <c r="N8" i="3"/>
  <c r="I12" i="3"/>
  <c r="H34" i="10"/>
  <c r="J34" i="10" s="1"/>
  <c r="H22" i="10"/>
  <c r="J22" i="10" s="1"/>
  <c r="I7" i="3"/>
  <c r="H44" i="10"/>
  <c r="I8" i="3"/>
  <c r="H11" i="10"/>
  <c r="J11" i="10" s="1"/>
  <c r="I11" i="3"/>
  <c r="O11" i="3" s="1"/>
  <c r="H13" i="3" l="1"/>
  <c r="I44" i="10"/>
  <c r="K44" i="10" s="1"/>
  <c r="H20" i="3"/>
  <c r="H19" i="3"/>
  <c r="I11" i="10"/>
  <c r="K11" i="10" s="1"/>
  <c r="H14" i="3"/>
  <c r="I22" i="10"/>
  <c r="K22" i="10" s="1"/>
  <c r="O7" i="3"/>
  <c r="H15" i="3"/>
  <c r="I39" i="10"/>
  <c r="K39" i="10" s="1"/>
  <c r="H23" i="3"/>
  <c r="I34" i="10"/>
  <c r="K34" i="10" s="1"/>
  <c r="H17" i="3"/>
  <c r="I29" i="10"/>
  <c r="K29" i="10" s="1"/>
  <c r="C4" i="5"/>
  <c r="D4" i="5" s="1"/>
  <c r="I48" i="10"/>
  <c r="H23" i="10" l="1"/>
  <c r="J23" i="10" s="1"/>
  <c r="I14" i="3"/>
  <c r="N14" i="3"/>
  <c r="X48" i="10"/>
  <c r="AE48" i="10"/>
  <c r="S48" i="10"/>
  <c r="W48" i="10"/>
  <c r="V48" i="10"/>
  <c r="U48" i="10"/>
  <c r="AG48" i="10"/>
  <c r="R48" i="10"/>
  <c r="AC48" i="10"/>
  <c r="O48" i="10"/>
  <c r="AF48" i="10"/>
  <c r="AD48" i="10"/>
  <c r="AB48" i="10"/>
  <c r="AA48" i="10"/>
  <c r="Z48" i="10"/>
  <c r="Y48" i="10"/>
  <c r="Q48" i="10"/>
  <c r="P48" i="10"/>
  <c r="N48" i="10"/>
  <c r="M48" i="10"/>
  <c r="T48" i="10"/>
  <c r="K48" i="10"/>
  <c r="J48" i="10"/>
  <c r="I15" i="3"/>
  <c r="H40" i="10"/>
  <c r="J40" i="10" s="1"/>
  <c r="N15" i="3"/>
  <c r="I19" i="3"/>
  <c r="H17" i="10"/>
  <c r="J17" i="10" s="1"/>
  <c r="N19" i="3"/>
  <c r="H12" i="10"/>
  <c r="J12" i="10" s="1"/>
  <c r="I20" i="3"/>
  <c r="N20" i="3"/>
  <c r="H30" i="10"/>
  <c r="J30" i="10" s="1"/>
  <c r="I17" i="3"/>
  <c r="N17" i="3"/>
  <c r="I13" i="3"/>
  <c r="H45" i="10"/>
  <c r="J45" i="10" s="1"/>
  <c r="N13" i="3"/>
  <c r="I23" i="3"/>
  <c r="H35" i="10"/>
  <c r="J35" i="10" s="1"/>
  <c r="N23" i="3"/>
  <c r="I12" i="10" l="1"/>
  <c r="K12" i="10" s="1"/>
  <c r="H33" i="3"/>
  <c r="H32" i="3"/>
  <c r="O20" i="3"/>
  <c r="I17" i="10"/>
  <c r="K17" i="10" s="1"/>
  <c r="H26" i="3"/>
  <c r="O19" i="3"/>
  <c r="H34" i="3"/>
  <c r="I35" i="10"/>
  <c r="K35" i="10" s="1"/>
  <c r="O23" i="3"/>
  <c r="H16" i="3"/>
  <c r="I45" i="10"/>
  <c r="K45" i="10" s="1"/>
  <c r="O13" i="3"/>
  <c r="I40" i="10"/>
  <c r="K40" i="10" s="1"/>
  <c r="H22" i="3"/>
  <c r="O15" i="3"/>
  <c r="H21" i="3"/>
  <c r="I23" i="10"/>
  <c r="K23" i="10" s="1"/>
  <c r="O14" i="3"/>
  <c r="I30" i="10"/>
  <c r="K30" i="10" s="1"/>
  <c r="H29" i="3"/>
  <c r="H28" i="3"/>
  <c r="O17" i="3"/>
  <c r="H46" i="10" l="1"/>
  <c r="J46" i="10" s="1"/>
  <c r="I16" i="3"/>
  <c r="N16" i="3"/>
  <c r="H35" i="3"/>
  <c r="I34" i="3"/>
  <c r="H36" i="10"/>
  <c r="J36" i="10" s="1"/>
  <c r="N34" i="3"/>
  <c r="H32" i="10"/>
  <c r="J32" i="10" s="1"/>
  <c r="I29" i="3"/>
  <c r="N29" i="3"/>
  <c r="I21" i="3"/>
  <c r="H24" i="10"/>
  <c r="J24" i="10" s="1"/>
  <c r="N21" i="3"/>
  <c r="I22" i="3"/>
  <c r="H41" i="10"/>
  <c r="J41" i="10" s="1"/>
  <c r="N22" i="3"/>
  <c r="H27" i="3"/>
  <c r="I26" i="3"/>
  <c r="H18" i="10"/>
  <c r="J18" i="10" s="1"/>
  <c r="N26" i="3"/>
  <c r="I32" i="3"/>
  <c r="H14" i="10"/>
  <c r="J14" i="10" s="1"/>
  <c r="N32" i="3"/>
  <c r="H13" i="10"/>
  <c r="J13" i="10" s="1"/>
  <c r="I33" i="3"/>
  <c r="N33" i="3"/>
  <c r="H31" i="10"/>
  <c r="J31" i="10" s="1"/>
  <c r="I28" i="3"/>
  <c r="N28" i="3"/>
  <c r="I32" i="10" l="1"/>
  <c r="K32" i="10" s="1"/>
  <c r="O29" i="3"/>
  <c r="I24" i="10"/>
  <c r="K24" i="10" s="1"/>
  <c r="H25" i="3"/>
  <c r="H24" i="3"/>
  <c r="O21" i="3"/>
  <c r="I18" i="10"/>
  <c r="K18" i="10" s="1"/>
  <c r="H31" i="3"/>
  <c r="O26" i="3"/>
  <c r="I31" i="10"/>
  <c r="K31" i="10" s="1"/>
  <c r="O28" i="3"/>
  <c r="I27" i="3"/>
  <c r="H20" i="10"/>
  <c r="J20" i="10" s="1"/>
  <c r="N27" i="3"/>
  <c r="I36" i="10"/>
  <c r="K36" i="10" s="1"/>
  <c r="O34" i="3"/>
  <c r="I35" i="3"/>
  <c r="H37" i="10"/>
  <c r="J37" i="10" s="1"/>
  <c r="N35" i="3"/>
  <c r="H36" i="3"/>
  <c r="I13" i="10"/>
  <c r="K13" i="10" s="1"/>
  <c r="O33" i="3"/>
  <c r="H30" i="3"/>
  <c r="I41" i="10"/>
  <c r="K41" i="10" s="1"/>
  <c r="O22" i="3"/>
  <c r="I14" i="10"/>
  <c r="K14" i="10" s="1"/>
  <c r="O32" i="3"/>
  <c r="I46" i="10"/>
  <c r="K46" i="10" s="1"/>
  <c r="H18" i="3"/>
  <c r="O16" i="3"/>
  <c r="I30" i="3" l="1"/>
  <c r="H42" i="10"/>
  <c r="J42" i="10" s="1"/>
  <c r="N30" i="3"/>
  <c r="I36" i="3"/>
  <c r="H15" i="10"/>
  <c r="J15" i="10" s="1"/>
  <c r="N36" i="3"/>
  <c r="I31" i="3"/>
  <c r="H19" i="10"/>
  <c r="J19" i="10" s="1"/>
  <c r="N31" i="3"/>
  <c r="H47" i="10"/>
  <c r="J47" i="10" s="1"/>
  <c r="I18" i="3"/>
  <c r="N18" i="3"/>
  <c r="I37" i="10"/>
  <c r="K37" i="10" s="1"/>
  <c r="O35" i="3"/>
  <c r="H25" i="10"/>
  <c r="J25" i="10" s="1"/>
  <c r="I24" i="3"/>
  <c r="N24" i="3"/>
  <c r="H26" i="10"/>
  <c r="J26" i="10" s="1"/>
  <c r="I25" i="3"/>
  <c r="N25" i="3"/>
  <c r="I20" i="10"/>
  <c r="K20" i="10" s="1"/>
  <c r="O27" i="3"/>
  <c r="I47" i="10" l="1"/>
  <c r="K47" i="10" s="1"/>
  <c r="O18" i="3"/>
  <c r="I26" i="10"/>
  <c r="K26" i="10" s="1"/>
  <c r="O25" i="3"/>
  <c r="I19" i="10"/>
  <c r="K19" i="10" s="1"/>
  <c r="O31" i="3"/>
  <c r="I25" i="10"/>
  <c r="K25" i="10" s="1"/>
  <c r="O24" i="3"/>
  <c r="H37" i="3"/>
  <c r="I15" i="10"/>
  <c r="K15" i="10" s="1"/>
  <c r="O36" i="3"/>
  <c r="I42" i="10"/>
  <c r="K42" i="10" s="1"/>
  <c r="O30" i="3"/>
  <c r="H52" i="10" l="1"/>
  <c r="J52" i="10" s="1"/>
  <c r="I37" i="3"/>
  <c r="N37" i="3"/>
  <c r="H39" i="3" l="1"/>
  <c r="H38" i="3"/>
  <c r="I52" i="10"/>
  <c r="K52" i="10" s="1"/>
  <c r="O37" i="3"/>
  <c r="I38" i="3" l="1"/>
  <c r="H56" i="10"/>
  <c r="J56" i="10" s="1"/>
  <c r="N38" i="3"/>
  <c r="I39" i="3"/>
  <c r="H53" i="10"/>
  <c r="J53" i="10" s="1"/>
  <c r="N39" i="3"/>
  <c r="H41" i="3" l="1"/>
  <c r="H40" i="3"/>
  <c r="I53" i="10"/>
  <c r="K53" i="10" s="1"/>
  <c r="O39" i="3"/>
  <c r="I56" i="10"/>
  <c r="K56" i="10" s="1"/>
  <c r="O38" i="3"/>
  <c r="I40" i="3" l="1"/>
  <c r="H55" i="10"/>
  <c r="J55" i="10" s="1"/>
  <c r="N40" i="3"/>
  <c r="H54" i="10"/>
  <c r="J54" i="10" s="1"/>
  <c r="I41" i="3"/>
  <c r="N41" i="3"/>
  <c r="H43" i="3" l="1"/>
  <c r="H42" i="3"/>
  <c r="I54" i="10"/>
  <c r="K54" i="10" s="1"/>
  <c r="O41" i="3"/>
  <c r="I55" i="10"/>
  <c r="K55" i="10" s="1"/>
  <c r="O40" i="3"/>
  <c r="H58" i="10" l="1"/>
  <c r="J58" i="10" s="1"/>
  <c r="I42" i="3"/>
  <c r="N42" i="3"/>
  <c r="I43" i="3"/>
  <c r="H65" i="10"/>
  <c r="J65" i="10" s="1"/>
  <c r="N43" i="3"/>
  <c r="I58" i="10" l="1"/>
  <c r="K58" i="10" s="1"/>
  <c r="H44" i="3"/>
  <c r="O42" i="3"/>
  <c r="H45" i="3"/>
  <c r="I65" i="10"/>
  <c r="K65" i="10" s="1"/>
  <c r="O43" i="3"/>
  <c r="I45" i="3" l="1"/>
  <c r="H66" i="10"/>
  <c r="J66" i="10" s="1"/>
  <c r="N45" i="3"/>
  <c r="H59" i="10"/>
  <c r="J59" i="10" s="1"/>
  <c r="I44" i="3"/>
  <c r="N44" i="3"/>
  <c r="I59" i="10" l="1"/>
  <c r="K59" i="10" s="1"/>
  <c r="H47" i="3"/>
  <c r="H46" i="3"/>
  <c r="O44" i="3"/>
  <c r="H49" i="3"/>
  <c r="H48" i="3"/>
  <c r="I66" i="10"/>
  <c r="K66" i="10" s="1"/>
  <c r="O45" i="3"/>
  <c r="I48" i="3" l="1"/>
  <c r="H67" i="10"/>
  <c r="J67" i="10" s="1"/>
  <c r="N48" i="3"/>
  <c r="I49" i="3"/>
  <c r="H68" i="10"/>
  <c r="J68" i="10" s="1"/>
  <c r="N49" i="3"/>
  <c r="I46" i="3"/>
  <c r="H61" i="10"/>
  <c r="J61" i="10" s="1"/>
  <c r="N46" i="3"/>
  <c r="H60" i="10"/>
  <c r="J60" i="10" s="1"/>
  <c r="I47" i="3"/>
  <c r="N47" i="3"/>
  <c r="I61" i="10" l="1"/>
  <c r="K61" i="10" s="1"/>
  <c r="O46" i="3"/>
  <c r="I68" i="10"/>
  <c r="K68" i="10" s="1"/>
  <c r="O49" i="3"/>
  <c r="I60" i="10"/>
  <c r="K60" i="10" s="1"/>
  <c r="H54" i="3"/>
  <c r="H53" i="3"/>
  <c r="H52" i="3"/>
  <c r="O47" i="3"/>
  <c r="H51" i="3"/>
  <c r="H50" i="3"/>
  <c r="I67" i="10"/>
  <c r="K67" i="10" s="1"/>
  <c r="O48" i="3"/>
  <c r="H72" i="10" l="1"/>
  <c r="J72" i="10" s="1"/>
  <c r="I54" i="3"/>
  <c r="N54" i="3"/>
  <c r="H71" i="10"/>
  <c r="J71" i="10" s="1"/>
  <c r="I53" i="3"/>
  <c r="N53" i="3"/>
  <c r="H69" i="10"/>
  <c r="J69" i="10" s="1"/>
  <c r="I50" i="3"/>
  <c r="N50" i="3"/>
  <c r="I52" i="3"/>
  <c r="H62" i="10"/>
  <c r="J62" i="10" s="1"/>
  <c r="N52" i="3"/>
  <c r="H77" i="10"/>
  <c r="J77" i="10" s="1"/>
  <c r="I51" i="3"/>
  <c r="N51" i="3"/>
  <c r="I69" i="10" l="1"/>
  <c r="K69" i="10" s="1"/>
  <c r="O50" i="3"/>
  <c r="I72" i="10"/>
  <c r="K72" i="10" s="1"/>
  <c r="O54" i="3"/>
  <c r="I62" i="10"/>
  <c r="K62" i="10" s="1"/>
  <c r="O52" i="3"/>
  <c r="I77" i="10"/>
  <c r="K77" i="10" s="1"/>
  <c r="H55" i="3"/>
  <c r="O51" i="3"/>
  <c r="I71" i="10"/>
  <c r="K71" i="10" s="1"/>
  <c r="H56" i="3"/>
  <c r="O53" i="3"/>
  <c r="H78" i="10" l="1"/>
  <c r="J78" i="10" s="1"/>
  <c r="I55" i="3"/>
  <c r="N55" i="3"/>
  <c r="I56" i="3"/>
  <c r="H73" i="10"/>
  <c r="J73" i="10" s="1"/>
  <c r="N56" i="3"/>
  <c r="H57" i="3" l="1"/>
  <c r="I78" i="10"/>
  <c r="K78" i="10" s="1"/>
  <c r="O55" i="3"/>
  <c r="H59" i="3"/>
  <c r="I73" i="10"/>
  <c r="K73" i="10" s="1"/>
  <c r="O56" i="3"/>
  <c r="I59" i="3" l="1"/>
  <c r="H74" i="10"/>
  <c r="J74" i="10" s="1"/>
  <c r="N59" i="3"/>
  <c r="I57" i="3"/>
  <c r="H79" i="10"/>
  <c r="J79" i="10" s="1"/>
  <c r="N57" i="3"/>
  <c r="H58" i="3" l="1"/>
  <c r="I79" i="10"/>
  <c r="K79" i="10" s="1"/>
  <c r="O57" i="3"/>
  <c r="I74" i="10"/>
  <c r="K74" i="10" s="1"/>
  <c r="H61" i="3"/>
  <c r="O59" i="3"/>
  <c r="H75" i="10" l="1"/>
  <c r="J75" i="10" s="1"/>
  <c r="I61" i="3"/>
  <c r="N61" i="3"/>
  <c r="I58" i="3"/>
  <c r="H80" i="10"/>
  <c r="J80" i="10" s="1"/>
  <c r="N58" i="3"/>
  <c r="H60" i="3" l="1"/>
  <c r="I80" i="10"/>
  <c r="K80" i="10" s="1"/>
  <c r="O58" i="3"/>
  <c r="I75" i="10"/>
  <c r="K75" i="10" s="1"/>
  <c r="O61" i="3"/>
  <c r="H62" i="3"/>
  <c r="H83" i="10" l="1"/>
  <c r="I62" i="3"/>
  <c r="H81" i="10"/>
  <c r="J81" i="10" s="1"/>
  <c r="I60" i="3"/>
  <c r="N60" i="3"/>
  <c r="I81" i="10" l="1"/>
  <c r="K81" i="10" s="1"/>
  <c r="O60" i="3"/>
  <c r="I83" i="10"/>
  <c r="C5" i="5"/>
  <c r="D5" i="5" s="1"/>
  <c r="O62" i="3"/>
  <c r="N62" i="3"/>
  <c r="H63" i="3"/>
  <c r="Y83" i="10" l="1"/>
  <c r="M83" i="10"/>
  <c r="AC83" i="10"/>
  <c r="P83" i="10"/>
  <c r="AB83" i="10"/>
  <c r="N83" i="10"/>
  <c r="Z83" i="10"/>
  <c r="T83" i="10"/>
  <c r="AE83" i="10"/>
  <c r="AD83" i="10"/>
  <c r="AA83" i="10"/>
  <c r="X83" i="10"/>
  <c r="W83" i="10"/>
  <c r="U83" i="10"/>
  <c r="S83" i="10"/>
  <c r="AG83" i="10"/>
  <c r="AF83" i="10"/>
  <c r="V83" i="10"/>
  <c r="R83" i="10"/>
  <c r="Q83" i="10"/>
  <c r="O83" i="10"/>
  <c r="K83" i="10"/>
  <c r="J83" i="10"/>
  <c r="H82" i="10"/>
  <c r="J82" i="10" s="1"/>
  <c r="I63" i="3"/>
  <c r="N63" i="3"/>
  <c r="I82" i="10" l="1"/>
  <c r="K82" i="10" s="1"/>
  <c r="H65" i="3"/>
  <c r="H64" i="3"/>
  <c r="O63" i="3"/>
  <c r="I64" i="3" l="1"/>
  <c r="H84" i="10"/>
  <c r="H88" i="10"/>
  <c r="J88" i="10" s="1"/>
  <c r="I65" i="3"/>
  <c r="N65" i="3"/>
  <c r="I88" i="10" l="1"/>
  <c r="K88" i="10" s="1"/>
  <c r="H66" i="3"/>
  <c r="O65" i="3"/>
  <c r="C6" i="5"/>
  <c r="D6" i="5" s="1"/>
  <c r="I84" i="10"/>
  <c r="O64" i="3"/>
  <c r="N64" i="3"/>
  <c r="AB84" i="10" l="1"/>
  <c r="P84" i="10"/>
  <c r="U84" i="10"/>
  <c r="W84" i="10"/>
  <c r="T84" i="10"/>
  <c r="AC84" i="10"/>
  <c r="N84" i="10"/>
  <c r="AE84" i="10"/>
  <c r="AD84" i="10"/>
  <c r="AA84" i="10"/>
  <c r="Z84" i="10"/>
  <c r="Y84" i="10"/>
  <c r="V84" i="10"/>
  <c r="S84" i="10"/>
  <c r="AG84" i="10"/>
  <c r="AF84" i="10"/>
  <c r="X84" i="10"/>
  <c r="R84" i="10"/>
  <c r="Q84" i="10"/>
  <c r="O84" i="10"/>
  <c r="M84" i="10"/>
  <c r="J84" i="10"/>
  <c r="K84" i="10"/>
  <c r="H89" i="10"/>
  <c r="J89" i="10" s="1"/>
  <c r="I66" i="3"/>
  <c r="N66" i="3"/>
  <c r="I89" i="10" l="1"/>
  <c r="K89" i="10" s="1"/>
  <c r="H67" i="3"/>
  <c r="O66" i="3"/>
  <c r="H90" i="10" l="1"/>
  <c r="J90" i="10" s="1"/>
  <c r="I67" i="3"/>
  <c r="N67" i="3"/>
  <c r="I90" i="10" l="1"/>
  <c r="K90" i="10" s="1"/>
  <c r="H68" i="3"/>
  <c r="O67" i="3"/>
  <c r="I68" i="3" l="1"/>
  <c r="H91" i="10"/>
  <c r="J91" i="10" s="1"/>
  <c r="N68" i="3"/>
  <c r="H69" i="3" l="1"/>
  <c r="I91" i="10"/>
  <c r="K91" i="10" s="1"/>
  <c r="O68" i="3"/>
  <c r="H92" i="10" l="1"/>
  <c r="J92" i="10" s="1"/>
  <c r="I69" i="3"/>
  <c r="N69" i="3"/>
  <c r="H71" i="3" l="1"/>
  <c r="H72" i="3"/>
  <c r="H73" i="3"/>
  <c r="H74" i="3"/>
  <c r="H70" i="3"/>
  <c r="I92" i="10"/>
  <c r="K92" i="10" s="1"/>
  <c r="O69" i="3"/>
  <c r="H75" i="3" l="1"/>
  <c r="I70" i="3"/>
  <c r="H93" i="10"/>
  <c r="J93" i="10" s="1"/>
  <c r="N70" i="3"/>
  <c r="I74" i="3"/>
  <c r="H136" i="10"/>
  <c r="J136" i="10" s="1"/>
  <c r="N74" i="3"/>
  <c r="I73" i="3"/>
  <c r="H97" i="10"/>
  <c r="J97" i="10" s="1"/>
  <c r="N73" i="3"/>
  <c r="H94" i="10"/>
  <c r="J94" i="10" s="1"/>
  <c r="I72" i="3"/>
  <c r="N72" i="3"/>
  <c r="H108" i="10"/>
  <c r="J108" i="10" s="1"/>
  <c r="I71" i="3"/>
  <c r="N71" i="3"/>
  <c r="I136" i="10" l="1"/>
  <c r="K136" i="10" s="1"/>
  <c r="H80" i="3"/>
  <c r="O74" i="3"/>
  <c r="H79" i="3"/>
  <c r="H77" i="3"/>
  <c r="I94" i="10"/>
  <c r="K94" i="10" s="1"/>
  <c r="O72" i="3"/>
  <c r="I108" i="10"/>
  <c r="K108" i="10" s="1"/>
  <c r="H76" i="3"/>
  <c r="O71" i="3"/>
  <c r="I93" i="10"/>
  <c r="K93" i="10" s="1"/>
  <c r="O70" i="3"/>
  <c r="H78" i="3"/>
  <c r="I97" i="10"/>
  <c r="K97" i="10" s="1"/>
  <c r="O73" i="3"/>
  <c r="I75" i="3"/>
  <c r="H105" i="10"/>
  <c r="J105" i="10" s="1"/>
  <c r="N75" i="3"/>
  <c r="I105" i="10" l="1"/>
  <c r="K105" i="10" s="1"/>
  <c r="O75" i="3"/>
  <c r="H109" i="10"/>
  <c r="J109" i="10" s="1"/>
  <c r="I76" i="3"/>
  <c r="N76" i="3"/>
  <c r="I78" i="3"/>
  <c r="H98" i="10"/>
  <c r="J98" i="10" s="1"/>
  <c r="N78" i="3"/>
  <c r="H137" i="10"/>
  <c r="J137" i="10" s="1"/>
  <c r="I80" i="3"/>
  <c r="N80" i="3"/>
  <c r="I77" i="3"/>
  <c r="H102" i="10"/>
  <c r="J102" i="10" s="1"/>
  <c r="N77" i="3"/>
  <c r="I79" i="3"/>
  <c r="H95" i="10"/>
  <c r="J95" i="10" s="1"/>
  <c r="N79" i="3"/>
  <c r="H83" i="3" l="1"/>
  <c r="H84" i="3"/>
  <c r="I95" i="10"/>
  <c r="K95" i="10" s="1"/>
  <c r="O79" i="3"/>
  <c r="H86" i="3"/>
  <c r="H85" i="3"/>
  <c r="I137" i="10"/>
  <c r="K137" i="10" s="1"/>
  <c r="O80" i="3"/>
  <c r="I98" i="10"/>
  <c r="K98" i="10" s="1"/>
  <c r="O78" i="3"/>
  <c r="I109" i="10"/>
  <c r="K109" i="10" s="1"/>
  <c r="H81" i="3"/>
  <c r="H82" i="3"/>
  <c r="O76" i="3"/>
  <c r="I102" i="10"/>
  <c r="K102" i="10" s="1"/>
  <c r="O77" i="3"/>
  <c r="I83" i="3" l="1"/>
  <c r="H103" i="10"/>
  <c r="J103" i="10" s="1"/>
  <c r="N83" i="3"/>
  <c r="H110" i="10"/>
  <c r="J110" i="10" s="1"/>
  <c r="I82" i="3"/>
  <c r="N82" i="3"/>
  <c r="H142" i="10"/>
  <c r="J142" i="10" s="1"/>
  <c r="I85" i="3"/>
  <c r="N85" i="3"/>
  <c r="H111" i="10"/>
  <c r="J111" i="10" s="1"/>
  <c r="I81" i="3"/>
  <c r="N81" i="3"/>
  <c r="I86" i="3"/>
  <c r="H138" i="10"/>
  <c r="J138" i="10" s="1"/>
  <c r="N86" i="3"/>
  <c r="I84" i="3"/>
  <c r="H96" i="10"/>
  <c r="J96" i="10" s="1"/>
  <c r="N84" i="3"/>
  <c r="I142" i="10" l="1"/>
  <c r="K142" i="10" s="1"/>
  <c r="O85" i="3"/>
  <c r="I110" i="10"/>
  <c r="K110" i="10" s="1"/>
  <c r="H87" i="3"/>
  <c r="O82" i="3"/>
  <c r="H92" i="3"/>
  <c r="H88" i="3"/>
  <c r="H93" i="3"/>
  <c r="I96" i="10"/>
  <c r="K96" i="10" s="1"/>
  <c r="O84" i="3"/>
  <c r="I138" i="10"/>
  <c r="K138" i="10" s="1"/>
  <c r="H94" i="3"/>
  <c r="O86" i="3"/>
  <c r="I111" i="10"/>
  <c r="K111" i="10" s="1"/>
  <c r="O81" i="3"/>
  <c r="I103" i="10"/>
  <c r="K103" i="10" s="1"/>
  <c r="O83" i="3"/>
  <c r="H99" i="10" l="1"/>
  <c r="J99" i="10" s="1"/>
  <c r="I93" i="3"/>
  <c r="N93" i="3"/>
  <c r="I88" i="3"/>
  <c r="H106" i="10"/>
  <c r="J106" i="10" s="1"/>
  <c r="N88" i="3"/>
  <c r="H104" i="10"/>
  <c r="J104" i="10" s="1"/>
  <c r="I92" i="3"/>
  <c r="N92" i="3"/>
  <c r="H112" i="10"/>
  <c r="J112" i="10" s="1"/>
  <c r="I87" i="3"/>
  <c r="N87" i="3"/>
  <c r="I94" i="3"/>
  <c r="H139" i="10"/>
  <c r="J139" i="10" s="1"/>
  <c r="N94" i="3"/>
  <c r="I112" i="10" l="1"/>
  <c r="K112" i="10" s="1"/>
  <c r="H91" i="3"/>
  <c r="H89" i="3"/>
  <c r="H90" i="3"/>
  <c r="O87" i="3"/>
  <c r="I104" i="10"/>
  <c r="K104" i="10" s="1"/>
  <c r="O92" i="3"/>
  <c r="H97" i="3"/>
  <c r="H98" i="3"/>
  <c r="I139" i="10"/>
  <c r="K139" i="10" s="1"/>
  <c r="O94" i="3"/>
  <c r="I106" i="10"/>
  <c r="K106" i="10" s="1"/>
  <c r="O88" i="3"/>
  <c r="H95" i="3"/>
  <c r="I99" i="10"/>
  <c r="K99" i="10" s="1"/>
  <c r="O93" i="3"/>
  <c r="H141" i="10" l="1"/>
  <c r="J141" i="10" s="1"/>
  <c r="I98" i="3"/>
  <c r="N98" i="3"/>
  <c r="H140" i="10"/>
  <c r="J140" i="10" s="1"/>
  <c r="I97" i="3"/>
  <c r="N97" i="3"/>
  <c r="H114" i="10"/>
  <c r="J114" i="10" s="1"/>
  <c r="I90" i="3"/>
  <c r="N90" i="3"/>
  <c r="H115" i="10"/>
  <c r="J115" i="10" s="1"/>
  <c r="I89" i="3"/>
  <c r="N89" i="3"/>
  <c r="H100" i="10"/>
  <c r="J100" i="10" s="1"/>
  <c r="I95" i="3"/>
  <c r="N95" i="3"/>
  <c r="H113" i="10"/>
  <c r="J113" i="10" s="1"/>
  <c r="I91" i="3"/>
  <c r="N91" i="3"/>
  <c r="I115" i="10" l="1"/>
  <c r="K115" i="10" s="1"/>
  <c r="O89" i="3"/>
  <c r="I114" i="10"/>
  <c r="K114" i="10" s="1"/>
  <c r="O90" i="3"/>
  <c r="I140" i="10"/>
  <c r="K140" i="10" s="1"/>
  <c r="O97" i="3"/>
  <c r="I141" i="10"/>
  <c r="K141" i="10" s="1"/>
  <c r="O98" i="3"/>
  <c r="I113" i="10"/>
  <c r="K113" i="10" s="1"/>
  <c r="O91" i="3"/>
  <c r="I100" i="10"/>
  <c r="K100" i="10" s="1"/>
  <c r="H96" i="3"/>
  <c r="O95" i="3"/>
  <c r="I96" i="3" l="1"/>
  <c r="H101" i="10"/>
  <c r="J101" i="10" s="1"/>
  <c r="N96" i="3"/>
  <c r="H99" i="3" l="1"/>
  <c r="I101" i="10"/>
  <c r="K101" i="10" s="1"/>
  <c r="O96" i="3"/>
  <c r="H118" i="10" l="1"/>
  <c r="J118" i="10" s="1"/>
  <c r="I99" i="3"/>
  <c r="N99" i="3"/>
  <c r="H100" i="3" l="1"/>
  <c r="H101" i="3"/>
  <c r="I118" i="10"/>
  <c r="K118" i="10" s="1"/>
  <c r="O99" i="3"/>
  <c r="I101" i="3" l="1"/>
  <c r="H120" i="10"/>
  <c r="J120" i="10" s="1"/>
  <c r="N101" i="3"/>
  <c r="H119" i="10"/>
  <c r="J119" i="10" s="1"/>
  <c r="I100" i="3"/>
  <c r="N100" i="3"/>
  <c r="I119" i="10" l="1"/>
  <c r="K119" i="10" s="1"/>
  <c r="O100" i="3"/>
  <c r="H103" i="3"/>
  <c r="H102" i="3"/>
  <c r="I120" i="10"/>
  <c r="K120" i="10" s="1"/>
  <c r="O101" i="3"/>
  <c r="I102" i="3" l="1"/>
  <c r="H121" i="10"/>
  <c r="J121" i="10" s="1"/>
  <c r="N102" i="3"/>
  <c r="H122" i="10"/>
  <c r="J122" i="10" s="1"/>
  <c r="I103" i="3"/>
  <c r="N103" i="3"/>
  <c r="H105" i="3" l="1"/>
  <c r="I122" i="10"/>
  <c r="K122" i="10" s="1"/>
  <c r="O103" i="3"/>
  <c r="H104" i="3"/>
  <c r="I121" i="10"/>
  <c r="K121" i="10" s="1"/>
  <c r="O102" i="3"/>
  <c r="I104" i="3" l="1"/>
  <c r="H125" i="10"/>
  <c r="J125" i="10" s="1"/>
  <c r="N104" i="3"/>
  <c r="I105" i="3"/>
  <c r="H123" i="10"/>
  <c r="J123" i="10" s="1"/>
  <c r="N105" i="3"/>
  <c r="H107" i="3" l="1"/>
  <c r="H108" i="3"/>
  <c r="H110" i="3"/>
  <c r="H109" i="3"/>
  <c r="I123" i="10"/>
  <c r="K123" i="10" s="1"/>
  <c r="O105" i="3"/>
  <c r="H106" i="3"/>
  <c r="I125" i="10"/>
  <c r="K125" i="10" s="1"/>
  <c r="O104" i="3"/>
  <c r="I106" i="3" l="1"/>
  <c r="H126" i="10"/>
  <c r="J126" i="10" s="1"/>
  <c r="N106" i="3"/>
  <c r="H154" i="10"/>
  <c r="J154" i="10" s="1"/>
  <c r="I109" i="3"/>
  <c r="N109" i="3"/>
  <c r="H145" i="10"/>
  <c r="J145" i="10" s="1"/>
  <c r="I110" i="3"/>
  <c r="N110" i="3"/>
  <c r="H127" i="10"/>
  <c r="J127" i="10" s="1"/>
  <c r="I108" i="3"/>
  <c r="N108" i="3"/>
  <c r="H124" i="10"/>
  <c r="J124" i="10" s="1"/>
  <c r="I107" i="3"/>
  <c r="N107" i="3"/>
  <c r="I145" i="10" l="1"/>
  <c r="K145" i="10" s="1"/>
  <c r="H115" i="3"/>
  <c r="H114" i="3"/>
  <c r="O110" i="3"/>
  <c r="H111" i="3"/>
  <c r="I124" i="10"/>
  <c r="K124" i="10" s="1"/>
  <c r="O107" i="3"/>
  <c r="H113" i="3"/>
  <c r="I154" i="10"/>
  <c r="K154" i="10" s="1"/>
  <c r="O109" i="3"/>
  <c r="I127" i="10"/>
  <c r="K127" i="10" s="1"/>
  <c r="O108" i="3"/>
  <c r="I126" i="10"/>
  <c r="K126" i="10" s="1"/>
  <c r="O106" i="3"/>
  <c r="H155" i="10" l="1"/>
  <c r="J155" i="10" s="1"/>
  <c r="I113" i="3"/>
  <c r="N113" i="3"/>
  <c r="I111" i="3"/>
  <c r="H129" i="10"/>
  <c r="J129" i="10" s="1"/>
  <c r="N111" i="3"/>
  <c r="H146" i="10"/>
  <c r="J146" i="10" s="1"/>
  <c r="I114" i="3"/>
  <c r="N114" i="3"/>
  <c r="H147" i="10"/>
  <c r="J147" i="10" s="1"/>
  <c r="I115" i="3"/>
  <c r="N115" i="3"/>
  <c r="I147" i="10" l="1"/>
  <c r="K147" i="10" s="1"/>
  <c r="H120" i="3"/>
  <c r="H122" i="3"/>
  <c r="H121" i="3"/>
  <c r="O115" i="3"/>
  <c r="I146" i="10"/>
  <c r="K146" i="10" s="1"/>
  <c r="O114" i="3"/>
  <c r="I129" i="10"/>
  <c r="K129" i="10" s="1"/>
  <c r="H112" i="3"/>
  <c r="O111" i="3"/>
  <c r="H116" i="3"/>
  <c r="I155" i="10"/>
  <c r="K155" i="10" s="1"/>
  <c r="O113" i="3"/>
  <c r="I112" i="3" l="1"/>
  <c r="H130" i="10"/>
  <c r="J130" i="10" s="1"/>
  <c r="N112" i="3"/>
  <c r="I116" i="3"/>
  <c r="H156" i="10"/>
  <c r="J156" i="10" s="1"/>
  <c r="N116" i="3"/>
  <c r="H160" i="10"/>
  <c r="J160" i="10" s="1"/>
  <c r="I121" i="3"/>
  <c r="N121" i="3"/>
  <c r="H161" i="10"/>
  <c r="J161" i="10" s="1"/>
  <c r="I122" i="3"/>
  <c r="H126" i="3"/>
  <c r="N122" i="3"/>
  <c r="H148" i="10"/>
  <c r="J148" i="10" s="1"/>
  <c r="I120" i="3"/>
  <c r="N120" i="3"/>
  <c r="H163" i="10" l="1"/>
  <c r="J163" i="10" s="1"/>
  <c r="I126" i="3"/>
  <c r="N126" i="3"/>
  <c r="I161" i="10"/>
  <c r="K161" i="10" s="1"/>
  <c r="H130" i="3"/>
  <c r="O122" i="3"/>
  <c r="I160" i="10"/>
  <c r="K160" i="10" s="1"/>
  <c r="O121" i="3"/>
  <c r="I156" i="10"/>
  <c r="K156" i="10" s="1"/>
  <c r="H119" i="3"/>
  <c r="O116" i="3"/>
  <c r="I130" i="10"/>
  <c r="K130" i="10" s="1"/>
  <c r="H117" i="3"/>
  <c r="H118" i="3"/>
  <c r="O112" i="3"/>
  <c r="I148" i="10"/>
  <c r="K148" i="10" s="1"/>
  <c r="H127" i="3"/>
  <c r="O120" i="3"/>
  <c r="H149" i="10" l="1"/>
  <c r="J149" i="10" s="1"/>
  <c r="I127" i="3"/>
  <c r="N127" i="3"/>
  <c r="H162" i="10"/>
  <c r="J162" i="10" s="1"/>
  <c r="I118" i="3"/>
  <c r="N118" i="3"/>
  <c r="I117" i="3"/>
  <c r="H131" i="10"/>
  <c r="J131" i="10" s="1"/>
  <c r="N117" i="3"/>
  <c r="H164" i="10"/>
  <c r="J164" i="10" s="1"/>
  <c r="I130" i="3"/>
  <c r="N130" i="3"/>
  <c r="I163" i="10"/>
  <c r="K163" i="10" s="1"/>
  <c r="O126" i="3"/>
  <c r="H157" i="10"/>
  <c r="J157" i="10" s="1"/>
  <c r="I119" i="3"/>
  <c r="N119" i="3"/>
  <c r="I131" i="10" l="1"/>
  <c r="K131" i="10" s="1"/>
  <c r="H125" i="3"/>
  <c r="O117" i="3"/>
  <c r="I164" i="10"/>
  <c r="K164" i="10" s="1"/>
  <c r="O130" i="3"/>
  <c r="I162" i="10"/>
  <c r="K162" i="10" s="1"/>
  <c r="H124" i="3"/>
  <c r="O118" i="3"/>
  <c r="I149" i="10"/>
  <c r="K149" i="10" s="1"/>
  <c r="H131" i="3"/>
  <c r="H133" i="3"/>
  <c r="O127" i="3"/>
  <c r="I157" i="10"/>
  <c r="K157" i="10" s="1"/>
  <c r="H123" i="3"/>
  <c r="O119" i="3"/>
  <c r="H150" i="10" l="1"/>
  <c r="J150" i="10" s="1"/>
  <c r="I133" i="3"/>
  <c r="N133" i="3"/>
  <c r="H165" i="10"/>
  <c r="J165" i="10" s="1"/>
  <c r="I124" i="3"/>
  <c r="N124" i="3"/>
  <c r="H158" i="10"/>
  <c r="J158" i="10" s="1"/>
  <c r="I123" i="3"/>
  <c r="N123" i="3"/>
  <c r="I125" i="3"/>
  <c r="H132" i="10"/>
  <c r="J132" i="10" s="1"/>
  <c r="N125" i="3"/>
  <c r="H152" i="10"/>
  <c r="J152" i="10" s="1"/>
  <c r="I131" i="3"/>
  <c r="N131" i="3"/>
  <c r="I152" i="10" l="1"/>
  <c r="K152" i="10" s="1"/>
  <c r="O131" i="3"/>
  <c r="I165" i="10"/>
  <c r="K165" i="10" s="1"/>
  <c r="O124" i="3"/>
  <c r="I158" i="10"/>
  <c r="K158" i="10" s="1"/>
  <c r="O123" i="3"/>
  <c r="I132" i="10"/>
  <c r="K132" i="10" s="1"/>
  <c r="H132" i="3"/>
  <c r="H129" i="3"/>
  <c r="H128" i="3"/>
  <c r="O125" i="3"/>
  <c r="I150" i="10"/>
  <c r="K150" i="10" s="1"/>
  <c r="H135" i="3"/>
  <c r="O133" i="3"/>
  <c r="I128" i="3" l="1"/>
  <c r="H133" i="10"/>
  <c r="J133" i="10" s="1"/>
  <c r="N128" i="3"/>
  <c r="I129" i="3"/>
  <c r="H134" i="10"/>
  <c r="J134" i="10" s="1"/>
  <c r="N129" i="3"/>
  <c r="H151" i="10"/>
  <c r="J151" i="10" s="1"/>
  <c r="I135" i="3"/>
  <c r="N135" i="3"/>
  <c r="I132" i="3"/>
  <c r="H168" i="10"/>
  <c r="J168" i="10" s="1"/>
  <c r="N132" i="3"/>
  <c r="H134" i="3" l="1"/>
  <c r="I168" i="10"/>
  <c r="K168" i="10" s="1"/>
  <c r="O132" i="3"/>
  <c r="I151" i="10"/>
  <c r="K151" i="10" s="1"/>
  <c r="O135" i="3"/>
  <c r="I134" i="10"/>
  <c r="K134" i="10" s="1"/>
  <c r="O129" i="3"/>
  <c r="I133" i="10"/>
  <c r="K133" i="10" s="1"/>
  <c r="O128" i="3"/>
  <c r="I134" i="3" l="1"/>
  <c r="H169" i="10"/>
  <c r="J169" i="10" s="1"/>
  <c r="N134" i="3"/>
  <c r="I169" i="10" l="1"/>
  <c r="K169" i="10" s="1"/>
  <c r="H136" i="3"/>
  <c r="H138" i="3"/>
  <c r="H137" i="3"/>
  <c r="O134" i="3"/>
  <c r="H171" i="10" l="1"/>
  <c r="J171" i="10" s="1"/>
  <c r="I137" i="3"/>
  <c r="N137" i="3"/>
  <c r="H174" i="10"/>
  <c r="J174" i="10" s="1"/>
  <c r="I138" i="3"/>
  <c r="N138" i="3"/>
  <c r="H170" i="10"/>
  <c r="J170" i="10" s="1"/>
  <c r="I136" i="3"/>
  <c r="N136" i="3"/>
  <c r="H139" i="3" l="1"/>
  <c r="I170" i="10"/>
  <c r="K170" i="10" s="1"/>
  <c r="O136" i="3"/>
  <c r="I174" i="10"/>
  <c r="K174" i="10" s="1"/>
  <c r="H140" i="3"/>
  <c r="O138" i="3"/>
  <c r="I171" i="10"/>
  <c r="K171" i="10" s="1"/>
  <c r="O137" i="3"/>
  <c r="H175" i="10" l="1"/>
  <c r="J175" i="10" s="1"/>
  <c r="I140" i="3"/>
  <c r="N140" i="3"/>
  <c r="I139" i="3"/>
  <c r="H172" i="10"/>
  <c r="J172" i="10" s="1"/>
  <c r="N139" i="3"/>
  <c r="I172" i="10" l="1"/>
  <c r="K172" i="10" s="1"/>
  <c r="O139" i="3"/>
  <c r="I175" i="10"/>
  <c r="K175" i="10" s="1"/>
  <c r="H141" i="3"/>
  <c r="H142" i="3"/>
  <c r="O140" i="3"/>
  <c r="I142" i="3" l="1"/>
  <c r="H177" i="10"/>
  <c r="J177" i="10" s="1"/>
  <c r="N142" i="3"/>
  <c r="H176" i="10"/>
  <c r="J176" i="10" s="1"/>
  <c r="I141" i="3"/>
  <c r="N141" i="3"/>
  <c r="I176" i="10" l="1"/>
  <c r="K176" i="10" s="1"/>
  <c r="O141" i="3"/>
  <c r="I177" i="10"/>
  <c r="K177" i="10" s="1"/>
  <c r="H143" i="3"/>
  <c r="O142" i="3"/>
  <c r="H178" i="10" l="1"/>
  <c r="J178" i="10" s="1"/>
  <c r="I143" i="3"/>
  <c r="N143" i="3"/>
  <c r="I178" i="10" l="1"/>
  <c r="K178" i="10" s="1"/>
  <c r="O143" i="3"/>
  <c r="H144" i="3"/>
  <c r="I144" i="3" l="1"/>
  <c r="H179" i="10"/>
  <c r="H147" i="3" l="1"/>
  <c r="C7" i="5"/>
  <c r="D7" i="5" s="1"/>
  <c r="H146" i="3"/>
  <c r="H145" i="3"/>
  <c r="I179" i="10"/>
  <c r="O144" i="3"/>
  <c r="N144" i="3"/>
  <c r="X179" i="10" l="1"/>
  <c r="U179" i="10"/>
  <c r="AG179" i="10"/>
  <c r="T179" i="10"/>
  <c r="W179" i="10"/>
  <c r="R179" i="10"/>
  <c r="AF179" i="10"/>
  <c r="P179" i="10"/>
  <c r="AE179" i="10"/>
  <c r="O179" i="10"/>
  <c r="AD179" i="10"/>
  <c r="N179" i="10"/>
  <c r="AB179" i="10"/>
  <c r="AA179" i="10"/>
  <c r="Z179" i="10"/>
  <c r="Y179" i="10"/>
  <c r="AC179" i="10"/>
  <c r="S179" i="10"/>
  <c r="Q179" i="10"/>
  <c r="M179" i="10"/>
  <c r="V179" i="10"/>
  <c r="K179" i="10"/>
  <c r="J179" i="10"/>
  <c r="H183" i="10"/>
  <c r="J183" i="10" s="1"/>
  <c r="I145" i="3"/>
  <c r="N145" i="3"/>
  <c r="I146" i="3"/>
  <c r="H191" i="10"/>
  <c r="J191" i="10" s="1"/>
  <c r="N146" i="3"/>
  <c r="I147" i="3"/>
  <c r="H189" i="10"/>
  <c r="J189" i="10" s="1"/>
  <c r="N147" i="3"/>
  <c r="I189" i="10" l="1"/>
  <c r="K189" i="10" s="1"/>
  <c r="H150" i="3"/>
  <c r="O147" i="3"/>
  <c r="H149" i="3"/>
  <c r="I191" i="10"/>
  <c r="K191" i="10" s="1"/>
  <c r="O146" i="3"/>
  <c r="I183" i="10"/>
  <c r="K183" i="10" s="1"/>
  <c r="H148" i="3"/>
  <c r="O145" i="3"/>
  <c r="I150" i="3" l="1"/>
  <c r="H190" i="10"/>
  <c r="I149" i="3"/>
  <c r="H192" i="10"/>
  <c r="J192" i="10" s="1"/>
  <c r="N149" i="3"/>
  <c r="H184" i="10"/>
  <c r="J184" i="10" s="1"/>
  <c r="I148" i="3"/>
  <c r="N148" i="3"/>
  <c r="H155" i="3" l="1"/>
  <c r="I192" i="10"/>
  <c r="K192" i="10" s="1"/>
  <c r="O149" i="3"/>
  <c r="I184" i="10"/>
  <c r="K184" i="10" s="1"/>
  <c r="H151" i="3"/>
  <c r="H152" i="3"/>
  <c r="H154" i="3"/>
  <c r="H153" i="3"/>
  <c r="O148" i="3"/>
  <c r="C8" i="5"/>
  <c r="D8" i="5" s="1"/>
  <c r="I190" i="10"/>
  <c r="O150" i="3"/>
  <c r="N150" i="3"/>
  <c r="W190" i="10" l="1"/>
  <c r="AF190" i="10"/>
  <c r="S190" i="10"/>
  <c r="AE190" i="10"/>
  <c r="R190" i="10"/>
  <c r="AD190" i="10"/>
  <c r="Q190" i="10"/>
  <c r="AB190" i="10"/>
  <c r="O190" i="10"/>
  <c r="V190" i="10"/>
  <c r="U190" i="10"/>
  <c r="Y190" i="10"/>
  <c r="X190" i="10"/>
  <c r="T190" i="10"/>
  <c r="P190" i="10"/>
  <c r="N190" i="10"/>
  <c r="M190" i="10"/>
  <c r="AG190" i="10"/>
  <c r="AC190" i="10"/>
  <c r="Z190" i="10"/>
  <c r="AA190" i="10"/>
  <c r="J190" i="10"/>
  <c r="K190" i="10"/>
  <c r="H187" i="10"/>
  <c r="J187" i="10" s="1"/>
  <c r="I153" i="3"/>
  <c r="N153" i="3"/>
  <c r="H198" i="10"/>
  <c r="J198" i="10" s="1"/>
  <c r="I154" i="3"/>
  <c r="N154" i="3"/>
  <c r="H185" i="10"/>
  <c r="J185" i="10" s="1"/>
  <c r="I152" i="3"/>
  <c r="N152" i="3"/>
  <c r="H186" i="10"/>
  <c r="J186" i="10" s="1"/>
  <c r="I151" i="3"/>
  <c r="N151" i="3"/>
  <c r="H195" i="10"/>
  <c r="J195" i="10" s="1"/>
  <c r="I155" i="3"/>
  <c r="N155" i="3"/>
  <c r="I195" i="10" l="1"/>
  <c r="K195" i="10" s="1"/>
  <c r="H158" i="3"/>
  <c r="O155" i="3"/>
  <c r="I185" i="10"/>
  <c r="K185" i="10" s="1"/>
  <c r="O152" i="3"/>
  <c r="H156" i="3"/>
  <c r="I198" i="10"/>
  <c r="K198" i="10" s="1"/>
  <c r="H157" i="3"/>
  <c r="O154" i="3"/>
  <c r="I186" i="10"/>
  <c r="K186" i="10" s="1"/>
  <c r="O151" i="3"/>
  <c r="I187" i="10"/>
  <c r="K187" i="10" s="1"/>
  <c r="O153" i="3"/>
  <c r="H199" i="10" l="1"/>
  <c r="J199" i="10" s="1"/>
  <c r="I157" i="3"/>
  <c r="N157" i="3"/>
  <c r="H196" i="10"/>
  <c r="J196" i="10" s="1"/>
  <c r="I158" i="3"/>
  <c r="N158" i="3"/>
  <c r="H193" i="10"/>
  <c r="J193" i="10" s="1"/>
  <c r="I156" i="3"/>
  <c r="N156" i="3"/>
  <c r="I199" i="10" l="1"/>
  <c r="K199" i="10" s="1"/>
  <c r="H161" i="3"/>
  <c r="H162" i="3"/>
  <c r="O157" i="3"/>
  <c r="H159" i="3"/>
  <c r="H160" i="3"/>
  <c r="I193" i="10"/>
  <c r="K193" i="10" s="1"/>
  <c r="O156" i="3"/>
  <c r="I196" i="10"/>
  <c r="K196" i="10" s="1"/>
  <c r="O158" i="3"/>
  <c r="H203" i="10" l="1"/>
  <c r="J203" i="10" s="1"/>
  <c r="I160" i="3"/>
  <c r="N160" i="3"/>
  <c r="I159" i="3"/>
  <c r="H194" i="10"/>
  <c r="H201" i="10"/>
  <c r="J201" i="10" s="1"/>
  <c r="I162" i="3"/>
  <c r="N162" i="3"/>
  <c r="H200" i="10"/>
  <c r="J200" i="10" s="1"/>
  <c r="I161" i="3"/>
  <c r="N161" i="3"/>
  <c r="I200" i="10" l="1"/>
  <c r="K200" i="10" s="1"/>
  <c r="O161" i="3"/>
  <c r="I201" i="10"/>
  <c r="K201" i="10" s="1"/>
  <c r="O162" i="3"/>
  <c r="C9" i="5"/>
  <c r="D9" i="5" s="1"/>
  <c r="I194" i="10"/>
  <c r="O159" i="3"/>
  <c r="N159" i="3"/>
  <c r="I203" i="10"/>
  <c r="K203" i="10" s="1"/>
  <c r="H163" i="3"/>
  <c r="O160" i="3"/>
  <c r="Z194" i="10" l="1"/>
  <c r="N194" i="10"/>
  <c r="X194" i="10"/>
  <c r="W194" i="10"/>
  <c r="V194" i="10"/>
  <c r="AG194" i="10"/>
  <c r="T194" i="10"/>
  <c r="AB194" i="10"/>
  <c r="O194" i="10"/>
  <c r="AA194" i="10"/>
  <c r="M194" i="10"/>
  <c r="S194" i="10"/>
  <c r="R194" i="10"/>
  <c r="Q194" i="10"/>
  <c r="P194" i="10"/>
  <c r="AF194" i="10"/>
  <c r="AE194" i="10"/>
  <c r="AD194" i="10"/>
  <c r="AC194" i="10"/>
  <c r="Y194" i="10"/>
  <c r="U194" i="10"/>
  <c r="J194" i="10"/>
  <c r="K194" i="10"/>
  <c r="H204" i="10"/>
  <c r="J204" i="10" s="1"/>
  <c r="I163" i="3"/>
  <c r="N163" i="3"/>
  <c r="I204" i="10" l="1"/>
  <c r="K204" i="10" s="1"/>
  <c r="H165" i="3"/>
  <c r="H166" i="3"/>
  <c r="O163" i="3"/>
  <c r="H164" i="3"/>
  <c r="H205" i="10" l="1"/>
  <c r="J205" i="10" s="1"/>
  <c r="I164" i="3"/>
  <c r="N164" i="3"/>
  <c r="H207" i="10"/>
  <c r="J207" i="10" s="1"/>
  <c r="I166" i="3"/>
  <c r="N166" i="3"/>
  <c r="H206" i="10"/>
  <c r="J206" i="10" s="1"/>
  <c r="I165" i="3"/>
  <c r="N165" i="3"/>
  <c r="I206" i="10" l="1"/>
  <c r="K206" i="10" s="1"/>
  <c r="O165" i="3"/>
  <c r="I207" i="10"/>
  <c r="K207" i="10" s="1"/>
  <c r="O166" i="3"/>
  <c r="I205" i="10"/>
  <c r="K205" i="10" s="1"/>
  <c r="H167" i="3"/>
  <c r="O164" i="3"/>
  <c r="O211" i="10" l="1" a="1"/>
  <c r="O211" i="10" s="1"/>
  <c r="C13" i="13" s="1"/>
  <c r="D13" i="13" s="1"/>
  <c r="E15" i="13" s="1"/>
  <c r="Y211" i="10" a="1"/>
  <c r="Y211" i="10" s="1"/>
  <c r="C23" i="13" s="1"/>
  <c r="D23" i="13" s="1"/>
  <c r="E25" i="13" s="1"/>
  <c r="V211" i="10" a="1"/>
  <c r="V211" i="10" s="1"/>
  <c r="C20" i="13" s="1"/>
  <c r="D20" i="13" s="1"/>
  <c r="E22" i="13" s="1"/>
  <c r="W211" i="10" a="1"/>
  <c r="W211" i="10" s="1"/>
  <c r="C21" i="13" s="1"/>
  <c r="D21" i="13" s="1"/>
  <c r="E23" i="13" s="1"/>
  <c r="H208" i="10"/>
  <c r="I167" i="3"/>
  <c r="H64" i="10" a="1"/>
  <c r="H64" i="10" s="1"/>
  <c r="J64" i="10" s="1"/>
  <c r="H43" i="10" a="1"/>
  <c r="H43" i="10" s="1"/>
  <c r="J43" i="10" s="1"/>
  <c r="H181" i="10" a="1"/>
  <c r="H181" i="10" s="1"/>
  <c r="J181" i="10" s="1"/>
  <c r="H182" i="10" a="1"/>
  <c r="H182" i="10" s="1"/>
  <c r="J182" i="10" s="1"/>
  <c r="H107" i="10" a="1"/>
  <c r="H107" i="10" s="1"/>
  <c r="J107" i="10" s="1"/>
  <c r="H197" i="10" a="1"/>
  <c r="H197" i="10" s="1"/>
  <c r="J197" i="10" s="1"/>
  <c r="H50" i="10" a="1"/>
  <c r="H50" i="10" s="1"/>
  <c r="J50" i="10" s="1"/>
  <c r="H70" i="10" a="1"/>
  <c r="H70" i="10" s="1"/>
  <c r="J70" i="10" s="1"/>
  <c r="H86" i="10" a="1"/>
  <c r="H86" i="10" s="1"/>
  <c r="J86" i="10" s="1"/>
  <c r="H135" i="10" a="1"/>
  <c r="H135" i="10" s="1"/>
  <c r="J135" i="10" s="1"/>
  <c r="H63" i="10" a="1"/>
  <c r="H63" i="10" s="1"/>
  <c r="J63" i="10" s="1"/>
  <c r="H166" i="10" a="1"/>
  <c r="H166" i="10" s="1"/>
  <c r="J166" i="10" s="1"/>
  <c r="H27" i="10" a="1"/>
  <c r="H27" i="10" s="1"/>
  <c r="J27" i="10" s="1"/>
  <c r="H21" i="10" a="1"/>
  <c r="H21" i="10" s="1"/>
  <c r="J21" i="10" s="1"/>
  <c r="H51" i="10" a="1"/>
  <c r="H51" i="10" s="1"/>
  <c r="J51" i="10" s="1"/>
  <c r="H28" i="10" a="1"/>
  <c r="H28" i="10" s="1"/>
  <c r="J28" i="10" s="1"/>
  <c r="H128" i="10" a="1"/>
  <c r="H128" i="10" s="1"/>
  <c r="J128" i="10" s="1"/>
  <c r="H159" i="10" a="1"/>
  <c r="H159" i="10" s="1"/>
  <c r="J159" i="10" s="1"/>
  <c r="H76" i="10" a="1"/>
  <c r="H76" i="10" s="1"/>
  <c r="J76" i="10" s="1"/>
  <c r="H144" i="10" a="1"/>
  <c r="H144" i="10" s="1"/>
  <c r="J144" i="10" s="1"/>
  <c r="M211" i="10" a="1"/>
  <c r="M211" i="10" s="1"/>
  <c r="H33" i="10" a="1"/>
  <c r="H33" i="10" s="1"/>
  <c r="J33" i="10" s="1"/>
  <c r="H57" i="10" a="1"/>
  <c r="H57" i="10" s="1"/>
  <c r="J57" i="10" s="1"/>
  <c r="Z211" i="10" a="1"/>
  <c r="Z211" i="10" s="1"/>
  <c r="C24" i="13" s="1"/>
  <c r="D24" i="13" s="1"/>
  <c r="E26" i="13" s="1"/>
  <c r="H16" i="10" a="1"/>
  <c r="H16" i="10" s="1"/>
  <c r="J16" i="10" s="1"/>
  <c r="H87" i="10" a="1"/>
  <c r="H87" i="10" s="1"/>
  <c r="J87" i="10" s="1"/>
  <c r="H10" i="10" a="1"/>
  <c r="H10" i="10" s="1"/>
  <c r="J10" i="10" s="1"/>
  <c r="B21" i="7" a="1"/>
  <c r="B21" i="7" s="1"/>
  <c r="H49" i="10" a="1"/>
  <c r="H49" i="10" s="1"/>
  <c r="H180" i="10" a="1"/>
  <c r="H180" i="10" s="1"/>
  <c r="B19" i="7" a="1"/>
  <c r="B19" i="7" s="1"/>
  <c r="H38" i="10" a="1"/>
  <c r="H38" i="10" s="1"/>
  <c r="J38" i="10" s="1"/>
  <c r="H202" i="10" a="1"/>
  <c r="H202" i="10" s="1"/>
  <c r="J202" i="10" s="1"/>
  <c r="B18" i="7" a="1"/>
  <c r="B18" i="7" s="1"/>
  <c r="H7" i="10" a="1"/>
  <c r="H7" i="10" s="1"/>
  <c r="H85" i="10" a="1"/>
  <c r="H85" i="10" s="1"/>
  <c r="H116" i="10" a="1"/>
  <c r="H116" i="10" s="1"/>
  <c r="J116" i="10" s="1"/>
  <c r="H6" i="10" a="1"/>
  <c r="H6" i="10" s="1"/>
  <c r="J6" i="10" s="1"/>
  <c r="H188" i="10" a="1"/>
  <c r="H188" i="10" s="1"/>
  <c r="J188" i="10" s="1"/>
  <c r="H143" i="10" a="1"/>
  <c r="H143" i="10" s="1"/>
  <c r="J143" i="10" s="1"/>
  <c r="H173" i="10" a="1"/>
  <c r="H173" i="10" s="1"/>
  <c r="J173" i="10" s="1"/>
  <c r="H117" i="10" a="1"/>
  <c r="H117" i="10" s="1"/>
  <c r="J117" i="10" s="1"/>
  <c r="H167" i="10" a="1"/>
  <c r="H167" i="10" s="1"/>
  <c r="J167" i="10" s="1"/>
  <c r="B20" i="7" a="1"/>
  <c r="B20" i="7" s="1"/>
  <c r="H153" i="10" a="1"/>
  <c r="H153" i="10" s="1"/>
  <c r="J153" i="10" s="1"/>
  <c r="H9" i="10" a="1"/>
  <c r="H9" i="10" s="1"/>
  <c r="J9" i="10" s="1"/>
  <c r="P211" i="10" a="1"/>
  <c r="P211" i="10" s="1"/>
  <c r="C14" i="13" s="1"/>
  <c r="D14" i="13" s="1"/>
  <c r="E16" i="13" s="1"/>
  <c r="AG211" i="10" a="1"/>
  <c r="AG211" i="10" s="1"/>
  <c r="C31" i="13" s="1"/>
  <c r="D31" i="13" s="1"/>
  <c r="E33" i="13" s="1"/>
  <c r="Q211" i="10" a="1"/>
  <c r="Q211" i="10" s="1"/>
  <c r="C15" i="13" s="1"/>
  <c r="D15" i="13" s="1"/>
  <c r="E17" i="13" s="1"/>
  <c r="AF211" i="10" a="1"/>
  <c r="AF211" i="10" s="1"/>
  <c r="C30" i="13" s="1"/>
  <c r="D30" i="13" s="1"/>
  <c r="E32" i="13" s="1"/>
  <c r="AA211" i="10" a="1"/>
  <c r="AA211" i="10" s="1"/>
  <c r="C25" i="13" s="1"/>
  <c r="D25" i="13" s="1"/>
  <c r="E27" i="13" s="1"/>
  <c r="N211" i="10" a="1"/>
  <c r="N211" i="10" s="1"/>
  <c r="C12" i="13" s="1"/>
  <c r="D12" i="13" s="1"/>
  <c r="E14" i="13" s="1"/>
  <c r="AC211" i="10" a="1"/>
  <c r="AC211" i="10" s="1"/>
  <c r="C27" i="13" s="1"/>
  <c r="D27" i="13" s="1"/>
  <c r="E29" i="13" s="1"/>
  <c r="AD211" i="10" a="1"/>
  <c r="AD211" i="10" s="1"/>
  <c r="C28" i="13" s="1"/>
  <c r="D28" i="13" s="1"/>
  <c r="E30" i="13" s="1"/>
  <c r="R211" i="10" a="1"/>
  <c r="R211" i="10" s="1"/>
  <c r="C16" i="13" s="1"/>
  <c r="D16" i="13" s="1"/>
  <c r="E18" i="13" s="1"/>
  <c r="S211" i="10" a="1"/>
  <c r="S211" i="10" s="1"/>
  <c r="C17" i="13" s="1"/>
  <c r="D17" i="13" s="1"/>
  <c r="E19" i="13" s="1"/>
  <c r="T211" i="10" a="1"/>
  <c r="T211" i="10" s="1"/>
  <c r="C18" i="13" s="1"/>
  <c r="D18" i="13" s="1"/>
  <c r="E20" i="13" s="1"/>
  <c r="X211" i="10" a="1"/>
  <c r="X211" i="10" s="1"/>
  <c r="C22" i="13" s="1"/>
  <c r="D22" i="13" s="1"/>
  <c r="E24" i="13" s="1"/>
  <c r="B43" i="11" l="1"/>
  <c r="J49" i="10"/>
  <c r="B44" i="11"/>
  <c r="J85" i="10"/>
  <c r="I208" i="10"/>
  <c r="C10" i="5"/>
  <c r="D10" i="5" s="1"/>
  <c r="O167" i="3"/>
  <c r="N167" i="3"/>
  <c r="T1" i="3"/>
  <c r="B8" i="7"/>
  <c r="I181" i="10" a="1"/>
  <c r="I181" i="10" s="1"/>
  <c r="U211" i="10" a="1"/>
  <c r="U211" i="10" s="1"/>
  <c r="C19" i="13" s="1"/>
  <c r="D19" i="13" s="1"/>
  <c r="E21" i="13" s="1"/>
  <c r="I197" i="10" a="1"/>
  <c r="I197" i="10" s="1"/>
  <c r="I144" i="10" a="1"/>
  <c r="I144" i="10" s="1"/>
  <c r="I166" i="10" a="1"/>
  <c r="I166" i="10" s="1"/>
  <c r="I143" i="10" a="1"/>
  <c r="I143" i="10" s="1"/>
  <c r="I16" i="10" a="1"/>
  <c r="I16" i="10" s="1"/>
  <c r="I180" i="10" a="1"/>
  <c r="I180" i="10" s="1"/>
  <c r="I51" i="10" a="1"/>
  <c r="I51" i="10" s="1"/>
  <c r="I202" i="10" a="1"/>
  <c r="I202" i="10" s="1"/>
  <c r="I70" i="10" a="1"/>
  <c r="I70" i="10" s="1"/>
  <c r="I63" i="10" a="1"/>
  <c r="I63" i="10" s="1"/>
  <c r="I21" i="10" a="1"/>
  <c r="I21" i="10" s="1"/>
  <c r="I49" i="10" a="1"/>
  <c r="I49" i="10" s="1"/>
  <c r="I86" i="10" a="1"/>
  <c r="I86" i="10" s="1"/>
  <c r="I33" i="10" a="1"/>
  <c r="I33" i="10" s="1"/>
  <c r="C19" i="7" a="1"/>
  <c r="C19" i="7" s="1"/>
  <c r="D19" i="7" s="1"/>
  <c r="F19" i="7" s="1"/>
  <c r="I7" i="10" a="1"/>
  <c r="I7" i="10" s="1"/>
  <c r="I28" i="10" a="1"/>
  <c r="I28" i="10" s="1"/>
  <c r="I128" i="10" a="1"/>
  <c r="I128" i="10" s="1"/>
  <c r="I116" i="10" a="1"/>
  <c r="I116" i="10" s="1"/>
  <c r="C21" i="7" a="1"/>
  <c r="C21" i="7" s="1"/>
  <c r="D21" i="7" s="1"/>
  <c r="F21" i="7" s="1"/>
  <c r="I38" i="10" a="1"/>
  <c r="I38" i="10" s="1"/>
  <c r="I188" i="10" a="1"/>
  <c r="I188" i="10" s="1"/>
  <c r="I10" i="10" a="1"/>
  <c r="I10" i="10" s="1"/>
  <c r="AE211" i="10" a="1"/>
  <c r="AE211" i="10" s="1"/>
  <c r="C29" i="13" s="1"/>
  <c r="D29" i="13" s="1"/>
  <c r="E31" i="13" s="1"/>
  <c r="I87" i="10" a="1"/>
  <c r="I87" i="10" s="1"/>
  <c r="I117" i="10" a="1"/>
  <c r="I117" i="10" s="1"/>
  <c r="I50" i="10" a="1"/>
  <c r="I50" i="10" s="1"/>
  <c r="I107" i="10" a="1"/>
  <c r="I107" i="10" s="1"/>
  <c r="AB211" i="10" a="1"/>
  <c r="AB211" i="10" s="1"/>
  <c r="C26" i="13" s="1"/>
  <c r="D26" i="13" s="1"/>
  <c r="E28" i="13" s="1"/>
  <c r="I159" i="10" a="1"/>
  <c r="I159" i="10" s="1"/>
  <c r="I27" i="10" a="1"/>
  <c r="I27" i="10" s="1"/>
  <c r="I182" i="10" a="1"/>
  <c r="I182" i="10" s="1"/>
  <c r="I167" i="10" a="1"/>
  <c r="I167" i="10" s="1"/>
  <c r="I57" i="10" a="1"/>
  <c r="I57" i="10" s="1"/>
  <c r="I6" i="10" a="1"/>
  <c r="I6" i="10" s="1"/>
  <c r="I135" i="10" a="1"/>
  <c r="I135" i="10" s="1"/>
  <c r="C20" i="7" a="1"/>
  <c r="C20" i="7" s="1"/>
  <c r="D20" i="7" s="1"/>
  <c r="F20" i="7" s="1"/>
  <c r="I153" i="10" a="1"/>
  <c r="I153" i="10" s="1"/>
  <c r="C18" i="7" a="1"/>
  <c r="C18" i="7" s="1"/>
  <c r="D18" i="7" s="1"/>
  <c r="I85" i="10" a="1"/>
  <c r="I85" i="10" s="1"/>
  <c r="I64" i="10" a="1"/>
  <c r="I64" i="10" s="1"/>
  <c r="I173" i="10" a="1"/>
  <c r="I173" i="10" s="1"/>
  <c r="I76" i="10" a="1"/>
  <c r="I76" i="10" s="1"/>
  <c r="I43" i="10" a="1"/>
  <c r="I43" i="10" s="1"/>
  <c r="I9" i="10" a="1"/>
  <c r="I9" i="10" s="1"/>
  <c r="B45" i="11"/>
  <c r="J180" i="10"/>
  <c r="B42" i="11"/>
  <c r="J7" i="10"/>
  <c r="N212" i="10"/>
  <c r="N213" i="10" s="1"/>
  <c r="T212" i="10"/>
  <c r="T213" i="10" s="1"/>
  <c r="S212" i="10"/>
  <c r="S213" i="10" s="1"/>
  <c r="R212" i="10"/>
  <c r="R213" i="10" s="1"/>
  <c r="Q212" i="10"/>
  <c r="Q213" i="10" s="1"/>
  <c r="P212" i="10"/>
  <c r="P213" i="10" s="1"/>
  <c r="O212" i="10"/>
  <c r="O213" i="10" s="1"/>
  <c r="M212" i="10"/>
  <c r="M213" i="10" s="1"/>
  <c r="C11" i="13"/>
  <c r="U212" i="10" l="1"/>
  <c r="U213" i="10" s="1"/>
  <c r="Y212" i="10"/>
  <c r="Y213" i="10" s="1"/>
  <c r="V212" i="10"/>
  <c r="V213" i="10" s="1"/>
  <c r="X212" i="10"/>
  <c r="X213" i="10" s="1"/>
  <c r="AA212" i="10"/>
  <c r="AA213" i="10" s="1"/>
  <c r="W212" i="10"/>
  <c r="W213" i="10" s="1"/>
  <c r="Z212" i="10"/>
  <c r="Z213" i="10" s="1"/>
  <c r="G49" i="10"/>
  <c r="C43" i="11" s="1"/>
  <c r="K49" i="10"/>
  <c r="G135" i="10"/>
  <c r="K135" i="10"/>
  <c r="H31" i="13"/>
  <c r="H27" i="13"/>
  <c r="H23" i="13"/>
  <c r="H19" i="13"/>
  <c r="H15" i="13"/>
  <c r="H11" i="13"/>
  <c r="I11" i="13" s="1"/>
  <c r="H32" i="13"/>
  <c r="H28" i="13"/>
  <c r="H24" i="13"/>
  <c r="H20" i="13"/>
  <c r="H16" i="13"/>
  <c r="H12" i="13"/>
  <c r="I12" i="13" s="1"/>
  <c r="C34" i="13"/>
  <c r="C36" i="13" s="1"/>
  <c r="D11" i="13"/>
  <c r="H33" i="13"/>
  <c r="H29" i="13"/>
  <c r="H25" i="13"/>
  <c r="H21" i="13"/>
  <c r="H17" i="13"/>
  <c r="H13" i="13"/>
  <c r="H18" i="13"/>
  <c r="H22" i="13"/>
  <c r="H26" i="13"/>
  <c r="H30" i="13"/>
  <c r="H14" i="13"/>
  <c r="G10" i="10"/>
  <c r="K10" i="10"/>
  <c r="G21" i="10"/>
  <c r="K21" i="10"/>
  <c r="G181" i="10"/>
  <c r="K181" i="10"/>
  <c r="G6" i="10"/>
  <c r="K6" i="10"/>
  <c r="AB212" i="10"/>
  <c r="AB213" i="10" s="1"/>
  <c r="G57" i="10"/>
  <c r="K57" i="10"/>
  <c r="G188" i="10"/>
  <c r="K188" i="10"/>
  <c r="G63" i="10"/>
  <c r="K63" i="10"/>
  <c r="B9" i="7"/>
  <c r="B13" i="7"/>
  <c r="G9" i="10"/>
  <c r="K9" i="10"/>
  <c r="G167" i="10"/>
  <c r="K167" i="10"/>
  <c r="G38" i="10"/>
  <c r="K38" i="10"/>
  <c r="G70" i="10"/>
  <c r="K70" i="10"/>
  <c r="J167" i="3"/>
  <c r="J150" i="3"/>
  <c r="J159" i="3"/>
  <c r="J6" i="3"/>
  <c r="J64" i="3"/>
  <c r="AF212" i="10"/>
  <c r="AF213" i="10" s="1"/>
  <c r="AC212" i="10"/>
  <c r="AC213" i="10" s="1"/>
  <c r="G43" i="10"/>
  <c r="K43" i="10"/>
  <c r="G182" i="10"/>
  <c r="K182" i="10"/>
  <c r="G202" i="10"/>
  <c r="K202" i="10"/>
  <c r="G76" i="10"/>
  <c r="K76" i="10"/>
  <c r="G27" i="10"/>
  <c r="K27" i="10"/>
  <c r="G116" i="10"/>
  <c r="K116" i="10"/>
  <c r="G51" i="10"/>
  <c r="K51" i="10"/>
  <c r="G173" i="10"/>
  <c r="K173" i="10"/>
  <c r="G159" i="10"/>
  <c r="K159" i="10"/>
  <c r="G128" i="10"/>
  <c r="K128" i="10"/>
  <c r="G180" i="10"/>
  <c r="C45" i="11" s="1"/>
  <c r="K180" i="10"/>
  <c r="G28" i="10"/>
  <c r="K28" i="10"/>
  <c r="G16" i="10"/>
  <c r="K16" i="10"/>
  <c r="AA208" i="10"/>
  <c r="O208" i="10"/>
  <c r="X208" i="10"/>
  <c r="AD208" i="10"/>
  <c r="P208" i="10"/>
  <c r="AC208" i="10"/>
  <c r="N208" i="10"/>
  <c r="AB208" i="10"/>
  <c r="M208" i="10"/>
  <c r="Z208" i="10"/>
  <c r="Y208" i="10"/>
  <c r="W208" i="10"/>
  <c r="V208" i="10"/>
  <c r="U208" i="10"/>
  <c r="T208" i="10"/>
  <c r="AG208" i="10"/>
  <c r="S208" i="10"/>
  <c r="AF208" i="10"/>
  <c r="R208" i="10"/>
  <c r="AE208" i="10"/>
  <c r="Q208" i="10"/>
  <c r="K208" i="10"/>
  <c r="J208" i="10"/>
  <c r="G85" i="10"/>
  <c r="C44" i="11" s="1"/>
  <c r="K85" i="10"/>
  <c r="G107" i="10"/>
  <c r="K107" i="10"/>
  <c r="G7" i="10"/>
  <c r="C42" i="11" s="1"/>
  <c r="K7" i="10"/>
  <c r="G143" i="10"/>
  <c r="K143" i="10"/>
  <c r="G64" i="10"/>
  <c r="K64" i="10"/>
  <c r="AE212" i="10"/>
  <c r="AE213" i="10" s="1"/>
  <c r="D22" i="7"/>
  <c r="F18" i="7"/>
  <c r="G50" i="10"/>
  <c r="K50" i="10"/>
  <c r="G166" i="10"/>
  <c r="K166" i="10"/>
  <c r="AD212" i="10"/>
  <c r="AD213" i="10" s="1"/>
  <c r="G153" i="10"/>
  <c r="K153" i="10"/>
  <c r="G117" i="10"/>
  <c r="K117" i="10"/>
  <c r="G33" i="10"/>
  <c r="K33" i="10"/>
  <c r="G144" i="10"/>
  <c r="K144" i="10"/>
  <c r="AG212" i="10"/>
  <c r="AG213" i="10" s="1"/>
  <c r="G87" i="10"/>
  <c r="K87" i="10"/>
  <c r="G86" i="10"/>
  <c r="K86" i="10"/>
  <c r="G197" i="10"/>
  <c r="K197" i="10"/>
  <c r="L64" i="3" l="1"/>
  <c r="M64" i="3" s="1"/>
  <c r="L84" i="10" s="1"/>
  <c r="K64" i="3"/>
  <c r="K167" i="3"/>
  <c r="L167" i="3"/>
  <c r="M167" i="3" s="1"/>
  <c r="L208" i="10" s="1"/>
  <c r="J164" i="3"/>
  <c r="J162" i="3"/>
  <c r="J151" i="3"/>
  <c r="J165" i="3"/>
  <c r="J161" i="3"/>
  <c r="J166" i="3"/>
  <c r="J153" i="3"/>
  <c r="J158" i="3"/>
  <c r="K150" i="3"/>
  <c r="L150" i="3"/>
  <c r="M150" i="3" s="1"/>
  <c r="L190" i="10" s="1"/>
  <c r="D34" i="13"/>
  <c r="E13" i="13"/>
  <c r="K159" i="3"/>
  <c r="L159" i="3"/>
  <c r="M159" i="3" s="1"/>
  <c r="L194" i="10" s="1"/>
  <c r="L6" i="3"/>
  <c r="M6" i="3" s="1"/>
  <c r="L48" i="10" s="1"/>
  <c r="K6" i="3"/>
  <c r="K164" i="3" l="1"/>
  <c r="L164" i="3"/>
  <c r="M164" i="3" s="1"/>
  <c r="L205" i="10" s="1"/>
  <c r="J163" i="3"/>
  <c r="K158" i="3"/>
  <c r="L158" i="3"/>
  <c r="M158" i="3" s="1"/>
  <c r="L196" i="10" s="1"/>
  <c r="J155" i="3"/>
  <c r="K166" i="3"/>
  <c r="L166" i="3"/>
  <c r="M166" i="3" s="1"/>
  <c r="L207" i="10" s="1"/>
  <c r="K162" i="3"/>
  <c r="L162" i="3"/>
  <c r="M162" i="3" s="1"/>
  <c r="L201" i="10" s="1"/>
  <c r="K153" i="3"/>
  <c r="L153" i="3"/>
  <c r="M153" i="3" s="1"/>
  <c r="L187" i="10" s="1"/>
  <c r="K161" i="3"/>
  <c r="L161" i="3"/>
  <c r="M161" i="3" s="1"/>
  <c r="L200" i="10" s="1"/>
  <c r="J157" i="3"/>
  <c r="K165" i="3"/>
  <c r="L165" i="3"/>
  <c r="M165" i="3" s="1"/>
  <c r="L206" i="10" s="1"/>
  <c r="F31" i="13"/>
  <c r="F33" i="13"/>
  <c r="F27" i="13"/>
  <c r="F29" i="13"/>
  <c r="F23" i="13"/>
  <c r="F25" i="13"/>
  <c r="F19" i="13"/>
  <c r="F21" i="13"/>
  <c r="F15" i="13"/>
  <c r="F17" i="13"/>
  <c r="F13" i="13"/>
  <c r="F30" i="13"/>
  <c r="F32" i="13"/>
  <c r="F22" i="13"/>
  <c r="F24" i="13"/>
  <c r="F26" i="13"/>
  <c r="F28" i="13"/>
  <c r="F18" i="13"/>
  <c r="F20" i="13"/>
  <c r="F14" i="13"/>
  <c r="F16" i="13"/>
  <c r="E34" i="13"/>
  <c r="K151" i="3"/>
  <c r="L151" i="3"/>
  <c r="M151" i="3" s="1"/>
  <c r="L186" i="10" s="1"/>
  <c r="G25" i="13" l="1"/>
  <c r="I25" i="13"/>
  <c r="K155" i="3"/>
  <c r="L155" i="3"/>
  <c r="M155" i="3" s="1"/>
  <c r="L195" i="10" s="1"/>
  <c r="G19" i="13"/>
  <c r="I19" i="13"/>
  <c r="G18" i="13"/>
  <c r="I18" i="13"/>
  <c r="G28" i="13"/>
  <c r="I28" i="13"/>
  <c r="G26" i="13"/>
  <c r="I26" i="13"/>
  <c r="G29" i="13"/>
  <c r="I29" i="13"/>
  <c r="G27" i="13"/>
  <c r="I27" i="13"/>
  <c r="G22" i="13"/>
  <c r="I22" i="13"/>
  <c r="G30" i="13"/>
  <c r="I30" i="13"/>
  <c r="G13" i="13"/>
  <c r="I13" i="13"/>
  <c r="C38" i="13"/>
  <c r="C35" i="13"/>
  <c r="G17" i="13"/>
  <c r="I17" i="13"/>
  <c r="K157" i="3"/>
  <c r="L157" i="3"/>
  <c r="M157" i="3" s="1"/>
  <c r="L199" i="10" s="1"/>
  <c r="J154" i="3"/>
  <c r="K163" i="3"/>
  <c r="L163" i="3"/>
  <c r="M163" i="3" s="1"/>
  <c r="L204" i="10" s="1"/>
  <c r="J160" i="3"/>
  <c r="G23" i="13"/>
  <c r="I23" i="13"/>
  <c r="G24" i="13"/>
  <c r="I24" i="13"/>
  <c r="G33" i="13"/>
  <c r="I33" i="13"/>
  <c r="G32" i="13"/>
  <c r="I32" i="13"/>
  <c r="G31" i="13"/>
  <c r="I31" i="13"/>
  <c r="G16" i="13"/>
  <c r="I16" i="13"/>
  <c r="G20" i="13"/>
  <c r="I20" i="13"/>
  <c r="G15" i="13"/>
  <c r="I15" i="13"/>
  <c r="G14" i="13"/>
  <c r="I14" i="13"/>
  <c r="G21" i="13"/>
  <c r="I21" i="13"/>
  <c r="K160" i="3" l="1"/>
  <c r="L160" i="3"/>
  <c r="M160" i="3" s="1"/>
  <c r="L203" i="10" s="1"/>
  <c r="J156" i="3"/>
  <c r="K154" i="3"/>
  <c r="L154" i="3"/>
  <c r="M154" i="3" s="1"/>
  <c r="L198" i="10" l="1"/>
  <c r="E29" i="8"/>
  <c r="K156" i="3"/>
  <c r="L156" i="3"/>
  <c r="M156" i="3" s="1"/>
  <c r="L193" i="10" s="1"/>
  <c r="J149" i="3"/>
  <c r="J152" i="3"/>
  <c r="J147" i="3"/>
  <c r="K147" i="3" l="1"/>
  <c r="L147" i="3"/>
  <c r="M147" i="3" s="1"/>
  <c r="L189" i="10" s="1"/>
  <c r="K152" i="3"/>
  <c r="L152" i="3"/>
  <c r="M152" i="3" s="1"/>
  <c r="L185" i="10" s="1"/>
  <c r="J148" i="3"/>
  <c r="K149" i="3"/>
  <c r="L149" i="3"/>
  <c r="M149" i="3" s="1"/>
  <c r="L192" i="10" s="1"/>
  <c r="J146" i="3"/>
  <c r="K148" i="3" l="1"/>
  <c r="L148" i="3"/>
  <c r="M148" i="3" s="1"/>
  <c r="L184" i="10" s="1"/>
  <c r="J145" i="3"/>
  <c r="K146" i="3"/>
  <c r="L146" i="3"/>
  <c r="M146" i="3" s="1"/>
  <c r="L191" i="10" s="1"/>
  <c r="K145" i="3" l="1"/>
  <c r="L145" i="3"/>
  <c r="M145" i="3" s="1"/>
  <c r="J144" i="3"/>
  <c r="K144" i="3" l="1"/>
  <c r="L144" i="3"/>
  <c r="M144" i="3" s="1"/>
  <c r="L179" i="10" s="1"/>
  <c r="J139" i="3"/>
  <c r="J77" i="3"/>
  <c r="J129" i="3"/>
  <c r="J137" i="3"/>
  <c r="J121" i="3"/>
  <c r="J106" i="3"/>
  <c r="J128" i="3"/>
  <c r="J135" i="3"/>
  <c r="J141" i="3"/>
  <c r="J126" i="3"/>
  <c r="J124" i="3"/>
  <c r="J123" i="3"/>
  <c r="J131" i="3"/>
  <c r="J85" i="3"/>
  <c r="J143" i="3"/>
  <c r="J30" i="3"/>
  <c r="J92" i="3"/>
  <c r="J108" i="3"/>
  <c r="J130" i="3"/>
  <c r="J98" i="3"/>
  <c r="J97" i="3"/>
  <c r="J88" i="3"/>
  <c r="J89" i="3"/>
  <c r="J83" i="3"/>
  <c r="J90" i="3"/>
  <c r="J75" i="3"/>
  <c r="E28" i="8"/>
  <c r="L183" i="10"/>
  <c r="K128" i="3" l="1"/>
  <c r="L128" i="3"/>
  <c r="M128" i="3" s="1"/>
  <c r="L133" i="10" s="1"/>
  <c r="K126" i="3"/>
  <c r="L126" i="3"/>
  <c r="M126" i="3" s="1"/>
  <c r="L163" i="10" s="1"/>
  <c r="J122" i="3"/>
  <c r="K141" i="3"/>
  <c r="L141" i="3"/>
  <c r="M141" i="3" s="1"/>
  <c r="L176" i="10" s="1"/>
  <c r="J140" i="3"/>
  <c r="K135" i="3"/>
  <c r="L135" i="3"/>
  <c r="M135" i="3" s="1"/>
  <c r="L151" i="10" s="1"/>
  <c r="J133" i="3"/>
  <c r="K106" i="3"/>
  <c r="L106" i="3"/>
  <c r="M106" i="3" s="1"/>
  <c r="L126" i="10" s="1"/>
  <c r="J104" i="3"/>
  <c r="K92" i="3"/>
  <c r="L92" i="3"/>
  <c r="M92" i="3" s="1"/>
  <c r="L104" i="10" s="1"/>
  <c r="K30" i="3"/>
  <c r="L30" i="3"/>
  <c r="M30" i="3" s="1"/>
  <c r="L42" i="10" s="1"/>
  <c r="J22" i="3"/>
  <c r="K88" i="3"/>
  <c r="L88" i="3"/>
  <c r="M88" i="3" s="1"/>
  <c r="L106" i="10" s="1"/>
  <c r="K97" i="3"/>
  <c r="L97" i="3"/>
  <c r="M97" i="3" s="1"/>
  <c r="L140" i="10" s="1"/>
  <c r="J94" i="3"/>
  <c r="K130" i="3"/>
  <c r="L130" i="3"/>
  <c r="M130" i="3" s="1"/>
  <c r="L164" i="10" s="1"/>
  <c r="K137" i="3"/>
  <c r="L137" i="3"/>
  <c r="M137" i="3" s="1"/>
  <c r="L171" i="10" s="1"/>
  <c r="K75" i="3"/>
  <c r="L75" i="3"/>
  <c r="M75" i="3" s="1"/>
  <c r="L105" i="10" s="1"/>
  <c r="K98" i="3"/>
  <c r="L98" i="3"/>
  <c r="M98" i="3" s="1"/>
  <c r="L141" i="10" s="1"/>
  <c r="K108" i="3"/>
  <c r="L108" i="3"/>
  <c r="M108" i="3" s="1"/>
  <c r="L127" i="10" s="1"/>
  <c r="K121" i="3"/>
  <c r="L121" i="3"/>
  <c r="M121" i="3" s="1"/>
  <c r="L160" i="10" s="1"/>
  <c r="K143" i="3"/>
  <c r="L143" i="3"/>
  <c r="M143" i="3" s="1"/>
  <c r="L178" i="10" s="1"/>
  <c r="J142" i="3"/>
  <c r="K129" i="3"/>
  <c r="L129" i="3"/>
  <c r="M129" i="3" s="1"/>
  <c r="L134" i="10" s="1"/>
  <c r="K85" i="3"/>
  <c r="L85" i="3"/>
  <c r="M85" i="3" s="1"/>
  <c r="L142" i="10" s="1"/>
  <c r="K77" i="3"/>
  <c r="L77" i="3"/>
  <c r="M77" i="3" s="1"/>
  <c r="L102" i="10" s="1"/>
  <c r="K90" i="3"/>
  <c r="L90" i="3"/>
  <c r="M90" i="3" s="1"/>
  <c r="L114" i="10" s="1"/>
  <c r="K131" i="3"/>
  <c r="L131" i="3"/>
  <c r="M131" i="3" s="1"/>
  <c r="L152" i="10" s="1"/>
  <c r="K139" i="3"/>
  <c r="L139" i="3"/>
  <c r="M139" i="3" s="1"/>
  <c r="L172" i="10" s="1"/>
  <c r="J136" i="3"/>
  <c r="K83" i="3"/>
  <c r="L83" i="3"/>
  <c r="M83" i="3" s="1"/>
  <c r="L103" i="10" s="1"/>
  <c r="K123" i="3"/>
  <c r="L123" i="3"/>
  <c r="M123" i="3" s="1"/>
  <c r="L158" i="10" s="1"/>
  <c r="J119" i="3"/>
  <c r="K89" i="3"/>
  <c r="L89" i="3"/>
  <c r="M89" i="3" s="1"/>
  <c r="L115" i="10" s="1"/>
  <c r="K124" i="3"/>
  <c r="L124" i="3"/>
  <c r="M124" i="3" s="1"/>
  <c r="L165" i="10" s="1"/>
  <c r="J118" i="3"/>
  <c r="K140" i="3" l="1"/>
  <c r="L140" i="3"/>
  <c r="M140" i="3" s="1"/>
  <c r="L175" i="10" s="1"/>
  <c r="J138" i="3"/>
  <c r="K136" i="3"/>
  <c r="L136" i="3"/>
  <c r="M136" i="3" s="1"/>
  <c r="L170" i="10" s="1"/>
  <c r="J134" i="3"/>
  <c r="K122" i="3"/>
  <c r="L122" i="3"/>
  <c r="M122" i="3" s="1"/>
  <c r="L161" i="10" s="1"/>
  <c r="K133" i="3"/>
  <c r="L133" i="3"/>
  <c r="M133" i="3" s="1"/>
  <c r="L150" i="10" s="1"/>
  <c r="L22" i="3"/>
  <c r="M22" i="3" s="1"/>
  <c r="L41" i="10" s="1"/>
  <c r="K22" i="3"/>
  <c r="J15" i="3"/>
  <c r="K142" i="3"/>
  <c r="L142" i="3"/>
  <c r="M142" i="3" s="1"/>
  <c r="L177" i="10" s="1"/>
  <c r="K118" i="3"/>
  <c r="L118" i="3"/>
  <c r="M118" i="3" s="1"/>
  <c r="L162" i="10" s="1"/>
  <c r="K104" i="3"/>
  <c r="L104" i="3"/>
  <c r="M104" i="3" s="1"/>
  <c r="L125" i="10" s="1"/>
  <c r="K119" i="3"/>
  <c r="L119" i="3"/>
  <c r="M119" i="3" s="1"/>
  <c r="L157" i="10" s="1"/>
  <c r="K94" i="3"/>
  <c r="L94" i="3"/>
  <c r="M94" i="3" s="1"/>
  <c r="L139" i="10" s="1"/>
  <c r="J86" i="3"/>
  <c r="K138" i="3" l="1"/>
  <c r="L138" i="3"/>
  <c r="M138" i="3" s="1"/>
  <c r="K134" i="3"/>
  <c r="L134" i="3"/>
  <c r="M134" i="3" s="1"/>
  <c r="L169" i="10" s="1"/>
  <c r="J132" i="3"/>
  <c r="K86" i="3"/>
  <c r="L86" i="3"/>
  <c r="M86" i="3" s="1"/>
  <c r="L138" i="10" s="1"/>
  <c r="J80" i="3"/>
  <c r="K15" i="3"/>
  <c r="L15" i="3"/>
  <c r="M15" i="3" s="1"/>
  <c r="L40" i="10" s="1"/>
  <c r="J9" i="3"/>
  <c r="K9" i="3" l="1"/>
  <c r="L9" i="3"/>
  <c r="M9" i="3" s="1"/>
  <c r="K80" i="3"/>
  <c r="L80" i="3"/>
  <c r="M80" i="3" s="1"/>
  <c r="L137" i="10" s="1"/>
  <c r="J74" i="3"/>
  <c r="K132" i="3"/>
  <c r="L132" i="3"/>
  <c r="M132" i="3" s="1"/>
  <c r="J125" i="3"/>
  <c r="J116" i="3"/>
  <c r="J127" i="3"/>
  <c r="E27" i="8"/>
  <c r="L174" i="10"/>
  <c r="K116" i="3" l="1"/>
  <c r="L116" i="3"/>
  <c r="M116" i="3" s="1"/>
  <c r="L156" i="10" s="1"/>
  <c r="J113" i="3"/>
  <c r="K127" i="3"/>
  <c r="L127" i="3"/>
  <c r="M127" i="3" s="1"/>
  <c r="L149" i="10" s="1"/>
  <c r="J120" i="3"/>
  <c r="K125" i="3"/>
  <c r="L125" i="3"/>
  <c r="M125" i="3" s="1"/>
  <c r="L132" i="10" s="1"/>
  <c r="J117" i="3"/>
  <c r="E26" i="8"/>
  <c r="L168" i="10"/>
  <c r="K74" i="3"/>
  <c r="L74" i="3"/>
  <c r="M74" i="3" s="1"/>
  <c r="L136" i="10" s="1"/>
  <c r="E8" i="8"/>
  <c r="L39" i="10"/>
  <c r="K113" i="3" l="1"/>
  <c r="L113" i="3"/>
  <c r="M113" i="3" s="1"/>
  <c r="L155" i="10" s="1"/>
  <c r="J109" i="3"/>
  <c r="K117" i="3"/>
  <c r="L117" i="3"/>
  <c r="M117" i="3" s="1"/>
  <c r="L131" i="10" s="1"/>
  <c r="J112" i="3"/>
  <c r="K120" i="3"/>
  <c r="L120" i="3"/>
  <c r="M120" i="3" s="1"/>
  <c r="L148" i="10" s="1"/>
  <c r="J115" i="3"/>
  <c r="J114" i="3"/>
  <c r="K114" i="3" l="1"/>
  <c r="L114" i="3"/>
  <c r="M114" i="3" s="1"/>
  <c r="L146" i="10" s="1"/>
  <c r="J110" i="3"/>
  <c r="K115" i="3"/>
  <c r="L115" i="3"/>
  <c r="M115" i="3" s="1"/>
  <c r="L147" i="10" s="1"/>
  <c r="K112" i="3"/>
  <c r="L112" i="3"/>
  <c r="M112" i="3" s="1"/>
  <c r="L130" i="10" s="1"/>
  <c r="J111" i="3"/>
  <c r="K109" i="3"/>
  <c r="L109" i="3"/>
  <c r="M109" i="3" s="1"/>
  <c r="K110" i="3" l="1"/>
  <c r="L110" i="3"/>
  <c r="M110" i="3" s="1"/>
  <c r="E25" i="8"/>
  <c r="L154" i="10"/>
  <c r="K111" i="3"/>
  <c r="L111" i="3"/>
  <c r="M111" i="3" s="1"/>
  <c r="J107" i="3"/>
  <c r="K107" i="3" l="1"/>
  <c r="L107" i="3"/>
  <c r="M107" i="3" s="1"/>
  <c r="L124" i="10" s="1"/>
  <c r="J105" i="3"/>
  <c r="L129" i="10"/>
  <c r="E21" i="8"/>
  <c r="L145" i="10"/>
  <c r="E24" i="8"/>
  <c r="K105" i="3" l="1"/>
  <c r="L105" i="3"/>
  <c r="M105" i="3" s="1"/>
  <c r="L123" i="10" s="1"/>
  <c r="J102" i="3"/>
  <c r="J103" i="3"/>
  <c r="K103" i="3" l="1"/>
  <c r="L103" i="3"/>
  <c r="M103" i="3" s="1"/>
  <c r="L122" i="10" s="1"/>
  <c r="K102" i="3"/>
  <c r="L102" i="3"/>
  <c r="M102" i="3" s="1"/>
  <c r="L121" i="10" s="1"/>
  <c r="J101" i="3"/>
  <c r="J100" i="3"/>
  <c r="K100" i="3" l="1"/>
  <c r="L100" i="3"/>
  <c r="M100" i="3" s="1"/>
  <c r="L119" i="10" s="1"/>
  <c r="J99" i="3"/>
  <c r="K101" i="3"/>
  <c r="L101" i="3"/>
  <c r="M101" i="3" s="1"/>
  <c r="L120" i="10" s="1"/>
  <c r="K99" i="3" l="1"/>
  <c r="L99" i="3"/>
  <c r="M99" i="3" s="1"/>
  <c r="J96" i="3"/>
  <c r="J91" i="3"/>
  <c r="K96" i="3" l="1"/>
  <c r="L96" i="3"/>
  <c r="M96" i="3" s="1"/>
  <c r="L101" i="10" s="1"/>
  <c r="J95" i="3"/>
  <c r="K91" i="3"/>
  <c r="L91" i="3"/>
  <c r="M91" i="3" s="1"/>
  <c r="L113" i="10" s="1"/>
  <c r="J87" i="3"/>
  <c r="L118" i="10"/>
  <c r="E19" i="8"/>
  <c r="K87" i="3" l="1"/>
  <c r="L87" i="3"/>
  <c r="M87" i="3" s="1"/>
  <c r="L112" i="10" s="1"/>
  <c r="J82" i="3"/>
  <c r="J81" i="3"/>
  <c r="K95" i="3"/>
  <c r="L95" i="3"/>
  <c r="M95" i="3" s="1"/>
  <c r="L100" i="10" s="1"/>
  <c r="J93" i="3"/>
  <c r="K93" i="3" l="1"/>
  <c r="L93" i="3"/>
  <c r="M93" i="3" s="1"/>
  <c r="L99" i="10" s="1"/>
  <c r="J78" i="3"/>
  <c r="J84" i="3"/>
  <c r="K81" i="3"/>
  <c r="L81" i="3"/>
  <c r="M81" i="3" s="1"/>
  <c r="L111" i="10" s="1"/>
  <c r="K82" i="3"/>
  <c r="L82" i="3"/>
  <c r="M82" i="3" s="1"/>
  <c r="L110" i="10" s="1"/>
  <c r="J76" i="3"/>
  <c r="K76" i="3" l="1"/>
  <c r="L76" i="3"/>
  <c r="M76" i="3" s="1"/>
  <c r="L109" i="10" s="1"/>
  <c r="J71" i="3"/>
  <c r="K84" i="3"/>
  <c r="L84" i="3"/>
  <c r="M84" i="3" s="1"/>
  <c r="L96" i="10" s="1"/>
  <c r="J79" i="3"/>
  <c r="K78" i="3"/>
  <c r="L78" i="3"/>
  <c r="M78" i="3" s="1"/>
  <c r="L98" i="10" s="1"/>
  <c r="J73" i="3"/>
  <c r="K73" i="3" l="1"/>
  <c r="L73" i="3"/>
  <c r="M73" i="3" s="1"/>
  <c r="L97" i="10" s="1"/>
  <c r="K79" i="3"/>
  <c r="L79" i="3"/>
  <c r="M79" i="3" s="1"/>
  <c r="L95" i="10" s="1"/>
  <c r="J72" i="3"/>
  <c r="J70" i="3"/>
  <c r="K71" i="3"/>
  <c r="L71" i="3"/>
  <c r="M71" i="3" s="1"/>
  <c r="E17" i="8" l="1"/>
  <c r="L108" i="10"/>
  <c r="K70" i="3"/>
  <c r="L70" i="3"/>
  <c r="M70" i="3" s="1"/>
  <c r="L93" i="10" s="1"/>
  <c r="J69" i="3"/>
  <c r="K72" i="3"/>
  <c r="L72" i="3"/>
  <c r="M72" i="3" s="1"/>
  <c r="L94" i="10" s="1"/>
  <c r="K69" i="3" l="1"/>
  <c r="L69" i="3"/>
  <c r="M69" i="3" s="1"/>
  <c r="L92" i="10" s="1"/>
  <c r="J68" i="3"/>
  <c r="K68" i="3" l="1"/>
  <c r="L68" i="3"/>
  <c r="M68" i="3" s="1"/>
  <c r="J67" i="3"/>
  <c r="K67" i="3" l="1"/>
  <c r="L67" i="3"/>
  <c r="M67" i="3" s="1"/>
  <c r="J66" i="3"/>
  <c r="L91" i="10"/>
  <c r="E16" i="8"/>
  <c r="L66" i="3" l="1"/>
  <c r="M66" i="3" s="1"/>
  <c r="K66" i="3"/>
  <c r="J65" i="3"/>
  <c r="E15" i="8"/>
  <c r="L90" i="10"/>
  <c r="L65" i="3" l="1"/>
  <c r="M65" i="3" s="1"/>
  <c r="L88" i="10" s="1"/>
  <c r="K65" i="3"/>
  <c r="J63" i="3"/>
  <c r="E13" i="8"/>
  <c r="L89" i="10"/>
  <c r="L63" i="3" l="1"/>
  <c r="M63" i="3" s="1"/>
  <c r="K63" i="3"/>
  <c r="J49" i="3"/>
  <c r="J24" i="3"/>
  <c r="J50" i="3"/>
  <c r="J52" i="3"/>
  <c r="J25" i="3"/>
  <c r="J35" i="3"/>
  <c r="J46" i="3"/>
  <c r="J38" i="3"/>
  <c r="J40" i="3"/>
  <c r="J62" i="3"/>
  <c r="J27" i="3"/>
  <c r="J29" i="3"/>
  <c r="J60" i="3"/>
  <c r="J31" i="3"/>
  <c r="K25" i="3" l="1"/>
  <c r="L25" i="3"/>
  <c r="M25" i="3" s="1"/>
  <c r="L26" i="10" s="1"/>
  <c r="L40" i="3"/>
  <c r="M40" i="3" s="1"/>
  <c r="L55" i="10" s="1"/>
  <c r="K40" i="3"/>
  <c r="L46" i="3"/>
  <c r="M46" i="3" s="1"/>
  <c r="L61" i="10" s="1"/>
  <c r="K46" i="3"/>
  <c r="L52" i="3"/>
  <c r="M52" i="3" s="1"/>
  <c r="L62" i="10" s="1"/>
  <c r="K52" i="3"/>
  <c r="L24" i="3"/>
  <c r="M24" i="3" s="1"/>
  <c r="L25" i="10" s="1"/>
  <c r="K24" i="3"/>
  <c r="J21" i="3"/>
  <c r="L62" i="3"/>
  <c r="M62" i="3" s="1"/>
  <c r="L83" i="10" s="1"/>
  <c r="K62" i="3"/>
  <c r="J61" i="3"/>
  <c r="L38" i="3"/>
  <c r="M38" i="3" s="1"/>
  <c r="L56" i="10" s="1"/>
  <c r="K38" i="3"/>
  <c r="K35" i="3"/>
  <c r="L35" i="3"/>
  <c r="M35" i="3" s="1"/>
  <c r="L37" i="10" s="1"/>
  <c r="L50" i="3"/>
  <c r="M50" i="3" s="1"/>
  <c r="L69" i="10" s="1"/>
  <c r="K50" i="3"/>
  <c r="L31" i="3"/>
  <c r="M31" i="3" s="1"/>
  <c r="L19" i="10" s="1"/>
  <c r="K31" i="3"/>
  <c r="K60" i="3"/>
  <c r="J58" i="3"/>
  <c r="L60" i="3"/>
  <c r="M60" i="3" s="1"/>
  <c r="L81" i="10" s="1"/>
  <c r="L49" i="3"/>
  <c r="M49" i="3" s="1"/>
  <c r="L68" i="10" s="1"/>
  <c r="K49" i="3"/>
  <c r="L29" i="3"/>
  <c r="M29" i="3" s="1"/>
  <c r="L32" i="10" s="1"/>
  <c r="K29" i="3"/>
  <c r="K27" i="3"/>
  <c r="L27" i="3"/>
  <c r="M27" i="3" s="1"/>
  <c r="L20" i="10" s="1"/>
  <c r="J26" i="3"/>
  <c r="E11" i="8"/>
  <c r="L82" i="10"/>
  <c r="L21" i="3" l="1"/>
  <c r="M21" i="3" s="1"/>
  <c r="L24" i="10" s="1"/>
  <c r="K21" i="3"/>
  <c r="J14" i="3"/>
  <c r="L58" i="3"/>
  <c r="M58" i="3" s="1"/>
  <c r="L80" i="10" s="1"/>
  <c r="K58" i="3"/>
  <c r="J57" i="3"/>
  <c r="L26" i="3"/>
  <c r="M26" i="3" s="1"/>
  <c r="L18" i="10" s="1"/>
  <c r="K26" i="3"/>
  <c r="J19" i="3"/>
  <c r="L61" i="3"/>
  <c r="M61" i="3" s="1"/>
  <c r="L75" i="10" s="1"/>
  <c r="K61" i="3"/>
  <c r="J59" i="3"/>
  <c r="L57" i="3" l="1"/>
  <c r="M57" i="3" s="1"/>
  <c r="L79" i="10" s="1"/>
  <c r="K57" i="3"/>
  <c r="J55" i="3"/>
  <c r="L14" i="3"/>
  <c r="M14" i="3" s="1"/>
  <c r="L23" i="10" s="1"/>
  <c r="K14" i="3"/>
  <c r="J7" i="3"/>
  <c r="L59" i="3"/>
  <c r="M59" i="3" s="1"/>
  <c r="L74" i="10" s="1"/>
  <c r="K59" i="3"/>
  <c r="J56" i="3"/>
  <c r="L19" i="3"/>
  <c r="M19" i="3" s="1"/>
  <c r="L17" i="10" s="1"/>
  <c r="K19" i="3"/>
  <c r="L56" i="3" l="1"/>
  <c r="M56" i="3" s="1"/>
  <c r="L73" i="10" s="1"/>
  <c r="K56" i="3"/>
  <c r="J53" i="3"/>
  <c r="J54" i="3"/>
  <c r="K7" i="3"/>
  <c r="L7" i="3"/>
  <c r="M7" i="3" s="1"/>
  <c r="L55" i="3"/>
  <c r="M55" i="3" s="1"/>
  <c r="L78" i="10" s="1"/>
  <c r="K55" i="3"/>
  <c r="J51" i="3"/>
  <c r="K51" i="3" l="1"/>
  <c r="L51" i="3"/>
  <c r="M51" i="3" s="1"/>
  <c r="L77" i="10" s="1"/>
  <c r="J48" i="3"/>
  <c r="L22" i="10"/>
  <c r="L54" i="3"/>
  <c r="M54" i="3" s="1"/>
  <c r="L72" i="10" s="1"/>
  <c r="K54" i="3"/>
  <c r="L53" i="3"/>
  <c r="M53" i="3" s="1"/>
  <c r="L71" i="10" s="1"/>
  <c r="K53" i="3"/>
  <c r="J47" i="3"/>
  <c r="L47" i="3" l="1"/>
  <c r="M47" i="3" s="1"/>
  <c r="L60" i="10" s="1"/>
  <c r="K47" i="3"/>
  <c r="J44" i="3"/>
  <c r="K48" i="3"/>
  <c r="L48" i="3"/>
  <c r="M48" i="3" s="1"/>
  <c r="L67" i="10" s="1"/>
  <c r="J45" i="3"/>
  <c r="L45" i="3" l="1"/>
  <c r="M45" i="3" s="1"/>
  <c r="L66" i="10" s="1"/>
  <c r="K45" i="3"/>
  <c r="J43" i="3"/>
  <c r="L44" i="3"/>
  <c r="M44" i="3" s="1"/>
  <c r="L59" i="10" s="1"/>
  <c r="K44" i="3"/>
  <c r="J42" i="3"/>
  <c r="L42" i="3" l="1"/>
  <c r="M42" i="3" s="1"/>
  <c r="L58" i="10" s="1"/>
  <c r="K42" i="3"/>
  <c r="J41" i="3"/>
  <c r="L43" i="3"/>
  <c r="M43" i="3" s="1"/>
  <c r="L65" i="10" s="1"/>
  <c r="K43" i="3"/>
  <c r="L41" i="3" l="1"/>
  <c r="M41" i="3" s="1"/>
  <c r="L54" i="10" s="1"/>
  <c r="K41" i="3"/>
  <c r="J39" i="3"/>
  <c r="K39" i="3" l="1"/>
  <c r="L39" i="3"/>
  <c r="M39" i="3" s="1"/>
  <c r="L53" i="10" s="1"/>
  <c r="J37" i="3"/>
  <c r="K37" i="3" l="1"/>
  <c r="L37" i="3"/>
  <c r="M37" i="3" s="1"/>
  <c r="J36" i="3"/>
  <c r="J28" i="3"/>
  <c r="J18" i="3"/>
  <c r="J34" i="3"/>
  <c r="L34" i="3" l="1"/>
  <c r="M34" i="3" s="1"/>
  <c r="L36" i="10" s="1"/>
  <c r="K34" i="3"/>
  <c r="J23" i="3"/>
  <c r="L28" i="3"/>
  <c r="M28" i="3" s="1"/>
  <c r="L31" i="10" s="1"/>
  <c r="K28" i="3"/>
  <c r="J17" i="3"/>
  <c r="K18" i="3"/>
  <c r="L18" i="3"/>
  <c r="M18" i="3" s="1"/>
  <c r="L47" i="10" s="1"/>
  <c r="J16" i="3"/>
  <c r="L36" i="3"/>
  <c r="M36" i="3" s="1"/>
  <c r="L15" i="10" s="1"/>
  <c r="K36" i="3"/>
  <c r="J33" i="3"/>
  <c r="J32" i="3"/>
  <c r="E5" i="8"/>
  <c r="L52" i="10"/>
  <c r="L33" i="3" l="1"/>
  <c r="M33" i="3" s="1"/>
  <c r="L13" i="10" s="1"/>
  <c r="K33" i="3"/>
  <c r="J20" i="3"/>
  <c r="L16" i="3"/>
  <c r="M16" i="3" s="1"/>
  <c r="L46" i="10" s="1"/>
  <c r="K16" i="3"/>
  <c r="J13" i="3"/>
  <c r="L23" i="3"/>
  <c r="M23" i="3" s="1"/>
  <c r="L35" i="10" s="1"/>
  <c r="K23" i="3"/>
  <c r="J12" i="3"/>
  <c r="L17" i="3"/>
  <c r="M17" i="3" s="1"/>
  <c r="L30" i="10" s="1"/>
  <c r="K17" i="3"/>
  <c r="J10" i="3"/>
  <c r="L32" i="3"/>
  <c r="M32" i="3" s="1"/>
  <c r="L14" i="10" s="1"/>
  <c r="K32" i="3"/>
  <c r="K13" i="3" l="1"/>
  <c r="L13" i="3"/>
  <c r="M13" i="3" s="1"/>
  <c r="L45" i="10" s="1"/>
  <c r="J8" i="3"/>
  <c r="K10" i="3"/>
  <c r="L10" i="3"/>
  <c r="M10" i="3" s="1"/>
  <c r="L29" i="10" s="1"/>
  <c r="K12" i="3"/>
  <c r="L12" i="3"/>
  <c r="M12" i="3" s="1"/>
  <c r="L20" i="3"/>
  <c r="M20" i="3" s="1"/>
  <c r="L12" i="10" s="1"/>
  <c r="K20" i="3"/>
  <c r="J11" i="3"/>
  <c r="K11" i="3" l="1"/>
  <c r="L11" i="3"/>
  <c r="M11" i="3" s="1"/>
  <c r="L11" i="10" s="1"/>
  <c r="J5" i="3"/>
  <c r="L34" i="10"/>
  <c r="E6" i="8"/>
  <c r="K8" i="3"/>
  <c r="L8" i="3"/>
  <c r="M8" i="3" s="1"/>
  <c r="L5" i="3" l="1"/>
  <c r="M5" i="3" s="1"/>
  <c r="K5" i="3"/>
  <c r="L44" i="10"/>
  <c r="E7" i="8"/>
  <c r="E4" i="8" l="1"/>
  <c r="B7" i="7"/>
  <c r="B10" i="7"/>
  <c r="L8" i="10"/>
</calcChain>
</file>

<file path=xl/sharedStrings.xml><?xml version="1.0" encoding="utf-8"?>
<sst xmlns="http://schemas.openxmlformats.org/spreadsheetml/2006/main" count="4297" uniqueCount="1210">
  <si>
    <t>PARAMETROS DEL CRONOGRAMA - Empalme Vial Av. Mutis (IDU-2412-2024)</t>
  </si>
  <si>
    <t>Celdas azules = inputs. Todo lo demas se calcula. Cambiar la fecha de inicio recalcula fechas en todas las hojas.</t>
  </si>
  <si>
    <t>Fecha de inicio del proyecto (retro-calculada del corte)</t>
  </si>
  <si>
    <t>Fecha de corte (hoy)</t>
  </si>
  <si>
    <t>Dias por mes (convencion contractual, dias calendario)</t>
  </si>
  <si>
    <t>Fase</t>
  </si>
  <si>
    <t>Meses objetivo</t>
  </si>
  <si>
    <t>Dias objetivo</t>
  </si>
  <si>
    <t>Dia inicio</t>
  </si>
  <si>
    <t>Dia fin</t>
  </si>
  <si>
    <t>Fecha inicio</t>
  </si>
  <si>
    <t>Fecha fin</t>
  </si>
  <si>
    <t>1-Requisitos/Gestion</t>
  </si>
  <si>
    <t>2-Estudios y Disenos</t>
  </si>
  <si>
    <t>3-Construccion</t>
  </si>
  <si>
    <t>4-Liquidacion</t>
  </si>
  <si>
    <t>TOTAL</t>
  </si>
  <si>
    <t>Dia del proyecto en el corte (hoy): dias restantes de construccion =</t>
  </si>
  <si>
    <t>Dias restantes de construccion al corte (dato de entrada)</t>
  </si>
  <si>
    <t>Verificacion: fecha fin construccion = corte + restantes</t>
  </si>
  <si>
    <t>Factores de recalibracion PERT aplicados a to/tm/tp originales (soporte de supuestos):</t>
  </si>
  <si>
    <t>F1 (1-Requisitos/Gestion)</t>
  </si>
  <si>
    <t>Plazos reales de entidades: avaluos y promesas 30d, ORIP 20-25d, curaduria/SDA 45d habiles, PMT-SDM 30d.</t>
  </si>
  <si>
    <t>F2 (2-Estudios y Disenos)</t>
  </si>
  <si>
    <t>Ciclos de revision IDU (maduracion GU-FP-04) y no-objecion de ESP (EAAB/Enel/Vanti 30-60d).</t>
  </si>
  <si>
    <t>F3 (3-Construccion)</t>
  </si>
  <si>
    <t>Rendimientos con restriccion PMT (trabajo diurno), temporadas de lluvia en Bogota e inspecciones EAAB por tramo.</t>
  </si>
  <si>
    <t>F4 (4-Liquidacion)</t>
  </si>
  <si>
    <t>Recibo de redes por ESP 30-45d y liquidacion contractual IDU.</t>
  </si>
  <si>
    <t>Nota: actividades administrativas cortas (te original &lt;= 4.5 d, firmas y actas) se recalibran maximo x1.5 porque no escalan con el plazo.</t>
  </si>
  <si>
    <t>te=(to+4*tm+tp)/6 | sigma=(tp-to)/6 | var=sigma^2. Inputs to/tm/tp (azul) recalibrados al plazo de 630 dias (factores por fase en Hoja 0). Costo por actividad segun modelo de costos del presupuesto oficial (COP 13,331,560,035 = 12,334,901,565 asignado a actividades + 996,658,470 Componente K no programable).</t>
  </si>
  <si>
    <t>Notacion de predecesoras (PDM): WBS + tipo de vinculo. FC = fin-comienzo (FS), CC = comienzo-comienzo (SS), FF = fin-fin, CF = comienzo-fin; "+n" = retraso (lag) en dias. Sin sufijo numerico = lag 0. Detalle vinculo a vinculo con soporte en la Hoja 2A. Columna Q: predecesoras en formato MS Project (ID de fila 1-203; numero solo = FC; ej. 96CC+2d) listas para pegar en la columna Predecesoras de Project.</t>
  </si>
  <si>
    <t>ID WBS</t>
  </si>
  <si>
    <t>Niv</t>
  </si>
  <si>
    <t>Paquete / Actividad</t>
  </si>
  <si>
    <t>Capitulo presupuesto</t>
  </si>
  <si>
    <t>Resp.</t>
  </si>
  <si>
    <t>Macro</t>
  </si>
  <si>
    <t>to</t>
  </si>
  <si>
    <t>tm</t>
  </si>
  <si>
    <t>tp</t>
  </si>
  <si>
    <t>te (d)</t>
  </si>
  <si>
    <t>sigma</t>
  </si>
  <si>
    <t>var</t>
  </si>
  <si>
    <t>Predecesoras</t>
  </si>
  <si>
    <t>Juicio de experto / Supuesto</t>
  </si>
  <si>
    <t>Costo (COP)</t>
  </si>
  <si>
    <t>Predecesoras (Project)</t>
  </si>
  <si>
    <t>1</t>
  </si>
  <si>
    <t>Empalme Vial Avenida Mutis - Transversal 112B Bis A (IDU-2412-2024)</t>
  </si>
  <si>
    <t>1.1</t>
  </si>
  <si>
    <t>Fase: Requisitos y Gestion Administrativa</t>
  </si>
  <si>
    <t>1.1.0</t>
  </si>
  <si>
    <t>Suscribir el acta de inicio del contrato</t>
  </si>
  <si>
    <t>Gestion / Preoperativos (Comp. B-K)</t>
  </si>
  <si>
    <t>IDU (Gestor)</t>
  </si>
  <si>
    <t>A</t>
  </si>
  <si>
    <t>Tramite administrativo; agenda IDU. Inicio del proyecto.</t>
  </si>
  <si>
    <t>1.1.1</t>
  </si>
  <si>
    <t>Cuenta de control: Gestion de Predios y Legal</t>
  </si>
  <si>
    <t>D</t>
  </si>
  <si>
    <t>1.1.1.1</t>
  </si>
  <si>
    <t>Titulos de propiedad de predios adquiridos</t>
  </si>
  <si>
    <t>1.1.1.1.1</t>
  </si>
  <si>
    <t>Identificar predios, elaborar ficha predial y avaluo comercial</t>
  </si>
  <si>
    <t>1.1.0FC</t>
  </si>
  <si>
    <t>Insumos catastrales DTDP-IDU.</t>
  </si>
  <si>
    <t>3</t>
  </si>
  <si>
    <t>1.1.1.1.2</t>
  </si>
  <si>
    <t>Negociar y suscribir promesas de compraventa</t>
  </si>
  <si>
    <t>1.1.1.1.1FC</t>
  </si>
  <si>
    <t>Negociacion; riesgo de no acuerdo.</t>
  </si>
  <si>
    <t>6</t>
  </si>
  <si>
    <t>1.1.1.1.3</t>
  </si>
  <si>
    <t>Escriturar y registrar los titulos de propiedad</t>
  </si>
  <si>
    <t>1.1.1.1.2FC</t>
  </si>
  <si>
    <t>Tramite notarial y registral (ORIP).</t>
  </si>
  <si>
    <t>7</t>
  </si>
  <si>
    <t>1.1.1.1.4</t>
  </si>
  <si>
    <t>Gestionar servidumbres y reubicaciones</t>
  </si>
  <si>
    <t>Servidumbres.</t>
  </si>
  <si>
    <t>1.1.1.1.5</t>
  </si>
  <si>
    <t>Suscribir acta de disponibilidad y entrega de predios</t>
  </si>
  <si>
    <t>1.1.1.1.3FC, 1.1.1.1.4FC</t>
  </si>
  <si>
    <t>Acta de disponibilidad.</t>
  </si>
  <si>
    <t>8;9</t>
  </si>
  <si>
    <t>1.1.1.2</t>
  </si>
  <si>
    <t>Actas de vecindad formalizadas</t>
  </si>
  <si>
    <t>1.1.1.2.1</t>
  </si>
  <si>
    <t>Convocar y levantar registro tecnico-fotografico de colindantes</t>
  </si>
  <si>
    <t>Contratista</t>
  </si>
  <si>
    <t>Tras identificar predios y colindantes.</t>
  </si>
  <si>
    <t>1.1.1.2.2</t>
  </si>
  <si>
    <t>Suscribir y protocolizar las actas de vecindad</t>
  </si>
  <si>
    <t>Interventoria</t>
  </si>
  <si>
    <t>1.1.1.2.1FC</t>
  </si>
  <si>
    <t>Formalizacion ante interventoria.</t>
  </si>
  <si>
    <t>12</t>
  </si>
  <si>
    <t>1.1.1.2.3</t>
  </si>
  <si>
    <t>Archivar soportes y registro fotografico</t>
  </si>
  <si>
    <t>1.1.1.2.2FC</t>
  </si>
  <si>
    <t>Archivo de soportes.</t>
  </si>
  <si>
    <t>13</t>
  </si>
  <si>
    <t>1.1.1.2.4</t>
  </si>
  <si>
    <t>Atender reclamaciones por afectaciones a vecinos</t>
  </si>
  <si>
    <t>1.1.1.2.2CC+2</t>
  </si>
  <si>
    <t>Reclamaciones.</t>
  </si>
  <si>
    <t>13CC+2d</t>
  </si>
  <si>
    <t>1.1.1.3</t>
  </si>
  <si>
    <t>Contratos y acuerdos legales suscritos</t>
  </si>
  <si>
    <t>1.1.1.3.1</t>
  </si>
  <si>
    <t>Elaborar minutas y estudios previos</t>
  </si>
  <si>
    <t>Estructuracion juridica.</t>
  </si>
  <si>
    <t>1.1.1.3.2</t>
  </si>
  <si>
    <t>Revisar juridicamente y aprobar los contratos</t>
  </si>
  <si>
    <t>1.1.1.3.1FC</t>
  </si>
  <si>
    <t>Revision juridica.</t>
  </si>
  <si>
    <t>17</t>
  </si>
  <si>
    <t>1.1.1.3.3</t>
  </si>
  <si>
    <t>Firmar y legalizar contratos y acuerdos con ESP</t>
  </si>
  <si>
    <t>1.1.1.3.2FC</t>
  </si>
  <si>
    <t>Acuerdos con EAAB/Enel/Vanti.</t>
  </si>
  <si>
    <t>18</t>
  </si>
  <si>
    <t>1.1.1.3.4</t>
  </si>
  <si>
    <t>Designar supervisores e interventoria</t>
  </si>
  <si>
    <t>1.1.1.3.3FC</t>
  </si>
  <si>
    <t>Designaciones.</t>
  </si>
  <si>
    <t>19</t>
  </si>
  <si>
    <t>1.1.1.3.5</t>
  </si>
  <si>
    <t>Legalizar subcontratos criticos (asfalto y concreto)</t>
  </si>
  <si>
    <t>Subcontratos.</t>
  </si>
  <si>
    <t>1.1.2</t>
  </si>
  <si>
    <t>Cuenta de control: Tramites, Licencias y Gestion de Riesgos</t>
  </si>
  <si>
    <t>1.1.2.1</t>
  </si>
  <si>
    <t>Licencias ambientales y de construccion vigentes</t>
  </si>
  <si>
    <t>1.1.2.1.1</t>
  </si>
  <si>
    <t>Radicar solicitudes de licencias (SDA / Curaduria)</t>
  </si>
  <si>
    <t>Requiere estudios tecnicos para el expediente de permisos. Re-secuenciado: el expediente de licencias se radica con los productos de factibilidad (Fase II IDU) disponibles desde el inicio; no espera la geotecnia de detalle.</t>
  </si>
  <si>
    <t>1.1.2.1.2</t>
  </si>
  <si>
    <t>Subsanar requerimientos de la autoridad</t>
  </si>
  <si>
    <t>1.1.2.1.1FC</t>
  </si>
  <si>
    <t>Ciclos de subsanacion; riesgo regulatorio.</t>
  </si>
  <si>
    <t>24</t>
  </si>
  <si>
    <t>1.1.2.1.3</t>
  </si>
  <si>
    <t>Expedir y verificar la vigencia de las licencias</t>
  </si>
  <si>
    <t>1.1.2.1.2FC</t>
  </si>
  <si>
    <t>Expedicion (IDU monitorea).</t>
  </si>
  <si>
    <t>25</t>
  </si>
  <si>
    <t>1.1.2.1.4</t>
  </si>
  <si>
    <t>Tramitar permiso de ocupacion de cauce y aprovechamiento forestal</t>
  </si>
  <si>
    <t>Permisos especificos.</t>
  </si>
  <si>
    <t>1.1.2.2</t>
  </si>
  <si>
    <t>Permisos de Manejo de Trafico (PMT) aprobados</t>
  </si>
  <si>
    <t>C</t>
  </si>
  <si>
    <t>1.1.2.2.1</t>
  </si>
  <si>
    <t>Elaborar el Plan de Manejo de Trafico (desvios y senalizacion)</t>
  </si>
  <si>
    <t>Requiere levantamiento topografico (alineamiento) para el PMT. Re-secuenciado: el PMT se elabora con cartografia y aforos existentes del IDU/SDM; no requiere topografia de detalle.</t>
  </si>
  <si>
    <t>1.1.2.2.2</t>
  </si>
  <si>
    <t>Radicar y ajustar el PMT ante la SDM</t>
  </si>
  <si>
    <t>1.1.2.2.1FC</t>
  </si>
  <si>
    <t>Ciclos de revision SDM.</t>
  </si>
  <si>
    <t>29</t>
  </si>
  <si>
    <t>1.1.2.2.3</t>
  </si>
  <si>
    <t>Aprobar e implementar el PMT en sitio</t>
  </si>
  <si>
    <t>1.1.2.2.2FC</t>
  </si>
  <si>
    <t>Aprobacion e implementacion.</t>
  </si>
  <si>
    <t>30</t>
  </si>
  <si>
    <t>1.1.2.2.4</t>
  </si>
  <si>
    <t>Comunicar desvios y plan de cierres a la comunidad</t>
  </si>
  <si>
    <t>1.1.2.2.3CC+2</t>
  </si>
  <si>
    <t>Comunicacion de desvios.</t>
  </si>
  <si>
    <t>31CC+2d</t>
  </si>
  <si>
    <t>1.1.2.3</t>
  </si>
  <si>
    <t>Plan de Manejo Arqueologico aprobado y ejecutado</t>
  </si>
  <si>
    <t>E</t>
  </si>
  <si>
    <t>1.1.2.3.1</t>
  </si>
  <si>
    <t>Formular el Plan de Manejo Arqueologico ante el ICANH</t>
  </si>
  <si>
    <t>10. Arqueologia</t>
  </si>
  <si>
    <t>Formulacion del plan.</t>
  </si>
  <si>
    <t>1.1.2.3.2</t>
  </si>
  <si>
    <t>Aprobar el plan ante el ICANH</t>
  </si>
  <si>
    <t>1.1.2.3.1FC</t>
  </si>
  <si>
    <t>Aprobacion ICANH.</t>
  </si>
  <si>
    <t>34</t>
  </si>
  <si>
    <t>1.1.2.3.3</t>
  </si>
  <si>
    <t>Monitorear arqueologicamente durante las excavaciones</t>
  </si>
  <si>
    <t>1.1.2.3.2FC</t>
  </si>
  <si>
    <t>Monitoreo en obra. Re-secuenciado: prospeccion arqueologica preventiva pre-obra (PAP); el acompanamiento en excavaciones de obra lo cubre el residente ambiental.</t>
  </si>
  <si>
    <t>35</t>
  </si>
  <si>
    <t>1.1.2.3.4</t>
  </si>
  <si>
    <t>Elaborar informe final de monitoreo y entregar al ICANH</t>
  </si>
  <si>
    <t>1.1.2.3.3FC</t>
  </si>
  <si>
    <t>Informe final ICANH.</t>
  </si>
  <si>
    <t>36</t>
  </si>
  <si>
    <t>1.1.2.4</t>
  </si>
  <si>
    <t>Politicas de estabilidad de obra constituidas</t>
  </si>
  <si>
    <t>1.1.2.4.1</t>
  </si>
  <si>
    <t>Solicitar, cotizar y constituir las polizas</t>
  </si>
  <si>
    <t>Garantias (cumplimiento, estabilidad, RCE).</t>
  </si>
  <si>
    <t>1.1.2.4.2</t>
  </si>
  <si>
    <t>Aprobar las polizas por interventoria</t>
  </si>
  <si>
    <t>1.1.2.4.1FC</t>
  </si>
  <si>
    <t>Aval de interventoria.</t>
  </si>
  <si>
    <t>39</t>
  </si>
  <si>
    <t>1.1.2.4.3</t>
  </si>
  <si>
    <t>Verificar vigencias y endosos de polizas</t>
  </si>
  <si>
    <t>1.1.2.4.2FC</t>
  </si>
  <si>
    <t>Control de vigencias.</t>
  </si>
  <si>
    <t>40</t>
  </si>
  <si>
    <t>1.1.2.4.4</t>
  </si>
  <si>
    <t>Endosar las polizas a favor del IDU</t>
  </si>
  <si>
    <t>1.1.2.4.3FC</t>
  </si>
  <si>
    <t>Endosos IDU.</t>
  </si>
  <si>
    <t>41</t>
  </si>
  <si>
    <t>1.1.9</t>
  </si>
  <si>
    <t>Hito: Acta de inicio firmada</t>
  </si>
  <si>
    <t>Hito (duracion 0).</t>
  </si>
  <si>
    <t>1.2</t>
  </si>
  <si>
    <t>Fase: Estudios y Disenos (Fase III)</t>
  </si>
  <si>
    <t>1.2.1</t>
  </si>
  <si>
    <t>Cuenta de control: Estudios Tecnicos de Detalle</t>
  </si>
  <si>
    <t>B</t>
  </si>
  <si>
    <t>1.2.1.1</t>
  </si>
  <si>
    <t>Levantamientos topograficos y estudios geotecnicos finales</t>
  </si>
  <si>
    <t>1.2.1.1.1</t>
  </si>
  <si>
    <t>Realizar comision topografica y levantamiento de detalle</t>
  </si>
  <si>
    <t>1.1.1.1.5FC, 1.1.2.1.3FC, 1.1.2.2.3FC, 1.1.2.4.4FC</t>
  </si>
  <si>
    <t>Topografia del corredor 213 ml. Re-secuenciado: los estudios de detalle inician al cerrar la ventana de requisitos (predios disponibles, licencias expedidas, PMT implementado y polizas endosadas).</t>
  </si>
  <si>
    <t>10;26;31;42</t>
  </si>
  <si>
    <t>1.2.1.1.2</t>
  </si>
  <si>
    <t>Explorar el subsuelo (sondeos y apiques)</t>
  </si>
  <si>
    <t>1.2.1.1.1FC</t>
  </si>
  <si>
    <t>Perforaciones y apiques.</t>
  </si>
  <si>
    <t>47</t>
  </si>
  <si>
    <t>1.2.1.1.3</t>
  </si>
  <si>
    <t>Ejecutar ensayos de laboratorio y elaborar informe geotecnico</t>
  </si>
  <si>
    <t>1.2.1.1.2FC</t>
  </si>
  <si>
    <t>Lab + informe geotecnico.</t>
  </si>
  <si>
    <t>48</t>
  </si>
  <si>
    <t>1.2.1.1.4</t>
  </si>
  <si>
    <t>Elaborar estudio hidrologico e hidraulico del corredor</t>
  </si>
  <si>
    <t>Hidrologia.</t>
  </si>
  <si>
    <t>1.2.1.1.5</t>
  </si>
  <si>
    <t>Elaborar estudio de transito y capacidad de la interseccion</t>
  </si>
  <si>
    <t>Estudio de transito.</t>
  </si>
  <si>
    <t>1.2.1.2</t>
  </si>
  <si>
    <t>Informe de maduracion tecnica del proyecto (IDU)</t>
  </si>
  <si>
    <t>1.2.1.2.1</t>
  </si>
  <si>
    <t>Consolidar la informacion tecnica y de costos</t>
  </si>
  <si>
    <t>1.2.1.1.3FC</t>
  </si>
  <si>
    <t>Integracion de estudios.</t>
  </si>
  <si>
    <t>49</t>
  </si>
  <si>
    <t>1.2.1.2.2</t>
  </si>
  <si>
    <t>Elaborar el informe de maduracion (GU-FP-04)</t>
  </si>
  <si>
    <t>1.2.1.2.1FC</t>
  </si>
  <si>
    <t>Maduracion segun guia IDU.</t>
  </si>
  <si>
    <t>53</t>
  </si>
  <si>
    <t>1.2.1.2.3</t>
  </si>
  <si>
    <t>Revisar y avalar la maduracion por el IDU</t>
  </si>
  <si>
    <t>1.2.1.2.2FC</t>
  </si>
  <si>
    <t>Aval tecnico IDU.</t>
  </si>
  <si>
    <t>54</t>
  </si>
  <si>
    <t>1.2.1.2.4</t>
  </si>
  <si>
    <t>Actualizar el presupuesto y los APU</t>
  </si>
  <si>
    <t>Actualizacion APU.</t>
  </si>
  <si>
    <t>1.2.1.2.5</t>
  </si>
  <si>
    <t>Gestionar vistos buenos y concertacion interinstitucional</t>
  </si>
  <si>
    <t>1.2.1.2.3FC</t>
  </si>
  <si>
    <t>Concertacion.</t>
  </si>
  <si>
    <t>55</t>
  </si>
  <si>
    <t>1.2.2</t>
  </si>
  <si>
    <t>Cuenta de control: Disenos de Especialidad</t>
  </si>
  <si>
    <t>1.2.2.1</t>
  </si>
  <si>
    <t>Disenos de pavimentos y mezclas asfalticas aprobadas</t>
  </si>
  <si>
    <t>1.2.2.1.1</t>
  </si>
  <si>
    <t>Disenar la estructura del pavimento</t>
  </si>
  <si>
    <t>Diseno racional con geotecnia.</t>
  </si>
  <si>
    <t>1.2.2.1.2</t>
  </si>
  <si>
    <t>Disenar las mezclas y la formula de trabajo (MDC-25/MDC-19 GCR)</t>
  </si>
  <si>
    <t>1.2.2.1.1FC</t>
  </si>
  <si>
    <t>Marshall con GCR.</t>
  </si>
  <si>
    <t>60</t>
  </si>
  <si>
    <t>1.2.2.1.3</t>
  </si>
  <si>
    <t>Aprobar los disenos de pavimento por interventoria</t>
  </si>
  <si>
    <t>1.2.2.1.2FC</t>
  </si>
  <si>
    <t>Aprobacion interventoria.</t>
  </si>
  <si>
    <t>61</t>
  </si>
  <si>
    <t>1.2.2.1.4</t>
  </si>
  <si>
    <t>Disenar la senalizacion y los dispositivos de trafico</t>
  </si>
  <si>
    <t>Diseno senalizacion.</t>
  </si>
  <si>
    <t>1.2.2.1.5</t>
  </si>
  <si>
    <t>Aprobar el diseno de pavimento final por el IDU</t>
  </si>
  <si>
    <t>1.2.2.1.3FC</t>
  </si>
  <si>
    <t>Aprobacion IDU.</t>
  </si>
  <si>
    <t>62</t>
  </si>
  <si>
    <t>1.2.2.2</t>
  </si>
  <si>
    <t>Disenos de redes de servicios publicos (humedas y secas) ajustados</t>
  </si>
  <si>
    <t>1.2.2.2.1</t>
  </si>
  <si>
    <t>Ajustar los disenos de redes humedas con la EAAB</t>
  </si>
  <si>
    <t>Coordinacion EAAB (factor critico).</t>
  </si>
  <si>
    <t>1.2.2.2.2</t>
  </si>
  <si>
    <t>Ajustar los disenos de redes secas (energia y telecom)</t>
  </si>
  <si>
    <t>Coordinacion Enel/Vanti/telco.</t>
  </si>
  <si>
    <t>1.2.2.2.3</t>
  </si>
  <si>
    <t>Tramitar la no-objecion de las ESP</t>
  </si>
  <si>
    <t>1.2.2.2.1FC, 1.2.2.2.2FC</t>
  </si>
  <si>
    <t>No-objecion de ESP (riesgo).</t>
  </si>
  <si>
    <t>66;67</t>
  </si>
  <si>
    <t>1.2.2.2.4</t>
  </si>
  <si>
    <t>Compatibilizar con las redes existentes (EAAB/Enel/Vanti)</t>
  </si>
  <si>
    <t>1.2.2.2.3FC</t>
  </si>
  <si>
    <t>Compatibilizacion.</t>
  </si>
  <si>
    <t>68</t>
  </si>
  <si>
    <t>1.2.2.2.5</t>
  </si>
  <si>
    <t>Elaborar planos de detalle y especificaciones de redes</t>
  </si>
  <si>
    <t>1.2.2.2.4FC</t>
  </si>
  <si>
    <t>Planos de detalle.</t>
  </si>
  <si>
    <t>69</t>
  </si>
  <si>
    <t>1.2.2.3</t>
  </si>
  <si>
    <t>Modelado BIM de la infraestructura proyectada</t>
  </si>
  <si>
    <t>1.2.2.3.1</t>
  </si>
  <si>
    <t>Desarrollar los modelos BIM por disciplina</t>
  </si>
  <si>
    <t>Modelado multidisciplinar.</t>
  </si>
  <si>
    <t>1.2.2.3.2</t>
  </si>
  <si>
    <t>Coordinar y detectar interferencias</t>
  </si>
  <si>
    <t>1.2.2.3.1FC</t>
  </si>
  <si>
    <t>Clash detection.</t>
  </si>
  <si>
    <t>72</t>
  </si>
  <si>
    <t>1.2.2.3.3</t>
  </si>
  <si>
    <t>Entregar el modelo federado y la documentacion</t>
  </si>
  <si>
    <t>1.2.2.3.2FC</t>
  </si>
  <si>
    <t>Entrega BIM federado.</t>
  </si>
  <si>
    <t>73</t>
  </si>
  <si>
    <t>1.2.2.3.4</t>
  </si>
  <si>
    <t>Cuantificar las cantidades desde el modelo BIM</t>
  </si>
  <si>
    <t>1.2.2.3.3FC</t>
  </si>
  <si>
    <t>Cantidades BIM.</t>
  </si>
  <si>
    <t>74</t>
  </si>
  <si>
    <t>1.2.2.3.5</t>
  </si>
  <si>
    <t>Vincular el modelo BIM al cronograma (4D)</t>
  </si>
  <si>
    <t>1.2.2.3.4FC</t>
  </si>
  <si>
    <t>Modelo 4D.</t>
  </si>
  <si>
    <t>75</t>
  </si>
  <si>
    <t>1.2.3</t>
  </si>
  <si>
    <t>Suscribir el acta de cambio de fase (Estudios -&gt; Construccion)</t>
  </si>
  <si>
    <t>H</t>
  </si>
  <si>
    <t>1.2.2.2.3FC, 1.2.2.1.3FC, 1.2.2.3.3FC, 1.1.2.2.3FC, 1.1.2.1.3FC, 1.2.8FC, 1.1.1.1.5FC, 1.1.1.2.3FC, 1.1.1.2.4FC, 1.1.1.3.4FC, 1.1.1.3.5FC, 1.1.2.1.4FC, 1.1.2.2.4FC, 1.1.2.4.4FC, 1.2.1.1.4FC, 1.2.1.1.5FC, 1.2.1.2.4FC, 1.2.1.2.5FC, 1.2.2.1.4FC, 1.2.2.1.5FC, 1.2.2.3.5FC</t>
  </si>
  <si>
    <t>Verificacion de requisitos + firma tripartita.</t>
  </si>
  <si>
    <t>68;62;74;31;26;78;10;14;15;20;21;27;32;42;50;51;56;57;63;64;76</t>
  </si>
  <si>
    <t>1.2.8</t>
  </si>
  <si>
    <t>Hito: Aprobacion de estudios y disenos por las ESP de Bogota (EAAB, Enel-Codensa, Vanti)</t>
  </si>
  <si>
    <t>1.2.2.2.3FC, 1.2.2.2.4FC, 1.2.2.2.5FC</t>
  </si>
  <si>
    <t>68;69;70</t>
  </si>
  <si>
    <t>1.2.9</t>
  </si>
  <si>
    <t>Hito: Inicio de Construccion</t>
  </si>
  <si>
    <t>1.2.3FC</t>
  </si>
  <si>
    <t>77</t>
  </si>
  <si>
    <t>1.3</t>
  </si>
  <si>
    <t>Fase: Construccion de Obra Civil</t>
  </si>
  <si>
    <t>1.3.1</t>
  </si>
  <si>
    <t>Cuenta de control: Infraestructura de Redes de Servicios</t>
  </si>
  <si>
    <t>1.3.1.1</t>
  </si>
  <si>
    <t>Redes hidrosanitarias (humedas) renovadas y probadas</t>
  </si>
  <si>
    <t>L</t>
  </si>
  <si>
    <t>1.3.1.1.0</t>
  </si>
  <si>
    <t>Instalar el campamento de obra (preliminares)</t>
  </si>
  <si>
    <t>1. Preliminares</t>
  </si>
  <si>
    <t>Cap. 1 Preliminares. Campamento.</t>
  </si>
  <si>
    <t>1.3.1.1.1</t>
  </si>
  <si>
    <t>Trasladar insumos y maquinaria a obra (preliminares)</t>
  </si>
  <si>
    <t>J</t>
  </si>
  <si>
    <t>1.3.1.1.0FC</t>
  </si>
  <si>
    <t>Cap. 1 Preliminares. Movilizacion.</t>
  </si>
  <si>
    <t>83</t>
  </si>
  <si>
    <t>1.3.1.1.2</t>
  </si>
  <si>
    <t>Localizar y replantear topograficamente la via (preliminares)</t>
  </si>
  <si>
    <t>1.3.1.1.1FC</t>
  </si>
  <si>
    <t>Cap. 1 Preliminares. Replanteo.</t>
  </si>
  <si>
    <t>84</t>
  </si>
  <si>
    <t>1.3.1.1.3</t>
  </si>
  <si>
    <t>Demoler y descapotar para redes (preliminares)</t>
  </si>
  <si>
    <t>M</t>
  </si>
  <si>
    <t>1.3.1.1.2FC</t>
  </si>
  <si>
    <t>Cap. 1 Preliminares. Apertura de frente.</t>
  </si>
  <si>
    <t>85</t>
  </si>
  <si>
    <t>1.3.1.1.4</t>
  </si>
  <si>
    <t>Excavar la zanja para redes en el Tramo 1</t>
  </si>
  <si>
    <t>8. Redes Hidrosanitarias</t>
  </si>
  <si>
    <t>1.3.1.1.3FC</t>
  </si>
  <si>
    <t>Cap. 8 Redes Hidrosanitarias. Excavacion T1.</t>
  </si>
  <si>
    <t>86</t>
  </si>
  <si>
    <t>1.3.1.1.5</t>
  </si>
  <si>
    <t>Excavar la zanja para redes en los Tramos 2-3</t>
  </si>
  <si>
    <t>1.3.1.1.4FC</t>
  </si>
  <si>
    <t>Cap. 8 Redes Hidrosanitarias. Excavacion T2-3.</t>
  </si>
  <si>
    <t>87</t>
  </si>
  <si>
    <t>1.3.1.1.6</t>
  </si>
  <si>
    <t>Instalar alcantarillado pluvial y sanitario en el Tramo 1</t>
  </si>
  <si>
    <t>Cap. 8. Tuberia + pozos T1.</t>
  </si>
  <si>
    <t>1.3.1.1.7</t>
  </si>
  <si>
    <t>Instalar alcantarillado pluvial y sanitario en el Tramo 2</t>
  </si>
  <si>
    <t>1.3.1.1.6FC, 1.3.1.1.5FC</t>
  </si>
  <si>
    <t>Cap. 8. Tuberia + pozos T2.</t>
  </si>
  <si>
    <t>89;88</t>
  </si>
  <si>
    <t>1.3.1.1.8</t>
  </si>
  <si>
    <t>Instalar alcantarillado pluvial y sanitario en el Tramo 3</t>
  </si>
  <si>
    <t>1.3.1.1.7FC</t>
  </si>
  <si>
    <t>Cap. 8. Tuberia + pozos T3.</t>
  </si>
  <si>
    <t>90</t>
  </si>
  <si>
    <t>1.3.1.1.9</t>
  </si>
  <si>
    <t>Instalar la red de acueducto en los Tramos 1-2</t>
  </si>
  <si>
    <t>Cap. 8. Acueducto T1-2 (holgura).</t>
  </si>
  <si>
    <t>1.3.1.1.10</t>
  </si>
  <si>
    <t>Instalar la red de acueducto en el Tramo 3 y accesorios</t>
  </si>
  <si>
    <t>1.3.1.1.9FC</t>
  </si>
  <si>
    <t>Cap. 8. Acueducto T3.</t>
  </si>
  <si>
    <t>92</t>
  </si>
  <si>
    <t>1.3.1.1.11</t>
  </si>
  <si>
    <t>Rellenar y compactar las zanjas</t>
  </si>
  <si>
    <t>1.3.1.1.8FC, 1.3.1.1.10FC</t>
  </si>
  <si>
    <t>Cap. 8. Relleno por capas.</t>
  </si>
  <si>
    <t>91;93</t>
  </si>
  <si>
    <t>1.3.1.1.12</t>
  </si>
  <si>
    <t>Ejecutar pruebas hidraulicas y empalmar a la red existente</t>
  </si>
  <si>
    <t>1.3.1.1.11FC</t>
  </si>
  <si>
    <t>Cap. 8. Pruebas EAAB + empalmes.</t>
  </si>
  <si>
    <t>94</t>
  </si>
  <si>
    <t>1.3.1.1.13</t>
  </si>
  <si>
    <t>Completar y entregar las redes humedas para revision de la EAAB</t>
  </si>
  <si>
    <t>1.3.1.1.12FC</t>
  </si>
  <si>
    <t>Cap. 8. Entrega para revision ESP.</t>
  </si>
  <si>
    <t>95</t>
  </si>
  <si>
    <t>1.3.1.1.15</t>
  </si>
  <si>
    <t>Construir pozos de inspeccion y conexiones domiciliarias del Tramo 1</t>
  </si>
  <si>
    <t>1.3.1.1.6FC</t>
  </si>
  <si>
    <t>Cap. 8. Pozos T1.</t>
  </si>
  <si>
    <t>89</t>
  </si>
  <si>
    <t>1.3.1.1.16</t>
  </si>
  <si>
    <t>Construir pozos de inspeccion y conexiones domiciliarias del Tramo 2</t>
  </si>
  <si>
    <t>Cap. 8. Pozos T2.</t>
  </si>
  <si>
    <t>1.3.1.1.17</t>
  </si>
  <si>
    <t>Instalar sumideros y rejillas de drenaje pluvial</t>
  </si>
  <si>
    <t>1.3.1.1.8FC</t>
  </si>
  <si>
    <t>Cap. 8. Sumideros.</t>
  </si>
  <si>
    <t>91</t>
  </si>
  <si>
    <t>1.3.1.1.18</t>
  </si>
  <si>
    <t>Manejar aguas y bombear durante la excavacion de redes</t>
  </si>
  <si>
    <t>1.3.1.1.5CC+2</t>
  </si>
  <si>
    <t>Cap. 8. Manejo de aguas.</t>
  </si>
  <si>
    <t>88CC+2d</t>
  </si>
  <si>
    <t>1.3.1.1.19</t>
  </si>
  <si>
    <t>Construir anclajes y atraques de tuberia</t>
  </si>
  <si>
    <t>1.3.1.1.8FF</t>
  </si>
  <si>
    <t>Cap. 8. Atraques.</t>
  </si>
  <si>
    <t>91FF</t>
  </si>
  <si>
    <t>1.3.1.2</t>
  </si>
  <si>
    <t>Redes electricas y de comunicaciones (secas) protegidas y trasladadas</t>
  </si>
  <si>
    <t>N</t>
  </si>
  <si>
    <t>1.3.1.2.1</t>
  </si>
  <si>
    <t>Construir canalizaciones y ducteria en los Tramos 1-2</t>
  </si>
  <si>
    <t>9. Redes Secas</t>
  </si>
  <si>
    <t>Cap. 9 Redes Secas. Ductos T1-2.</t>
  </si>
  <si>
    <t>1.3.1.2.2</t>
  </si>
  <si>
    <t>Construir canalizaciones y ducteria en el Tramo 3</t>
  </si>
  <si>
    <t>1.3.1.2.1FC</t>
  </si>
  <si>
    <t>Cap. 9 Redes Secas. Ductos T3.</t>
  </si>
  <si>
    <t>103</t>
  </si>
  <si>
    <t>1.3.1.2.3</t>
  </si>
  <si>
    <t>Tender y trasladar las redes electricas (Enel-Codensa)</t>
  </si>
  <si>
    <t>1.3.1.2.2FC</t>
  </si>
  <si>
    <t>Cap. 9. Cuadrilla Enel.</t>
  </si>
  <si>
    <t>104</t>
  </si>
  <si>
    <t>1.3.1.2.4</t>
  </si>
  <si>
    <t>Tender las redes de gas y telecomunicaciones</t>
  </si>
  <si>
    <t>Cap. 9. Vanti/telco.</t>
  </si>
  <si>
    <t>1.3.1.2.5</t>
  </si>
  <si>
    <t>Construir camaras y camaretas</t>
  </si>
  <si>
    <t>1.3.1.2.3FC, 1.3.1.2.4FC</t>
  </si>
  <si>
    <t>Cap. 9. Camaras.</t>
  </si>
  <si>
    <t>105;106</t>
  </si>
  <si>
    <t>1.3.1.2.6</t>
  </si>
  <si>
    <t>Empalmar y probar las redes secas</t>
  </si>
  <si>
    <t>1.3.1.2.5FC</t>
  </si>
  <si>
    <t>Cap. 9. Pruebas + entrega.</t>
  </si>
  <si>
    <t>107</t>
  </si>
  <si>
    <t>1.3.1.2.7</t>
  </si>
  <si>
    <t>Instalar protecciones, sellos cortafuego y senalizacion de redes</t>
  </si>
  <si>
    <t>Cap. 9. Protecciones.</t>
  </si>
  <si>
    <t>1.3.1.2.8</t>
  </si>
  <si>
    <t>Ejecutar pruebas de continuidad y aislamiento electrico</t>
  </si>
  <si>
    <t>Cap. 9. Pruebas electricas.</t>
  </si>
  <si>
    <t>1.3.2</t>
  </si>
  <si>
    <t>Cuenta de control: Estructura Vial y Pavimentos</t>
  </si>
  <si>
    <t>1.3.2.1</t>
  </si>
  <si>
    <t>Subrasante estabilizada y bases granulares compactadas</t>
  </si>
  <si>
    <t>P</t>
  </si>
  <si>
    <t>1.3.2.1.1</t>
  </si>
  <si>
    <t>Descapotar y excavar la explanacion en los Tramos 1-2</t>
  </si>
  <si>
    <t>2. Pavimentos</t>
  </si>
  <si>
    <t>1.3.1.1.13FC, 1.3.1.2.6FC</t>
  </si>
  <si>
    <t>Cap. 2 Pavimentos. Explanacion T1-2.</t>
  </si>
  <si>
    <t>96;108</t>
  </si>
  <si>
    <t>1.3.2.1.2</t>
  </si>
  <si>
    <t>Descapotar y excavar la explanacion en el Tramo 3</t>
  </si>
  <si>
    <t>1.3.2.1.1FC</t>
  </si>
  <si>
    <t>Cap. 2 Pavimentos. Explanacion T3.</t>
  </si>
  <si>
    <t>113</t>
  </si>
  <si>
    <t>1.3.2.1.3</t>
  </si>
  <si>
    <t>Conformar y estabilizar la subrasante en los Tramos 1-2</t>
  </si>
  <si>
    <t>Cap. 2. Subrasante T1-2.</t>
  </si>
  <si>
    <t>1.3.2.1.4</t>
  </si>
  <si>
    <t>Conformar y estabilizar la subrasante en el Tramo 3</t>
  </si>
  <si>
    <t>1.3.2.1.3FC, 1.3.2.1.2FC</t>
  </si>
  <si>
    <t>Cap. 2. Subrasante T3.</t>
  </si>
  <si>
    <t>115;114</t>
  </si>
  <si>
    <t>1.3.2.1.5</t>
  </si>
  <si>
    <t>Extender y compactar la base granular BNE-1 en los Tramos 1-2</t>
  </si>
  <si>
    <t>1.3.2.1.3FC</t>
  </si>
  <si>
    <t>Cap. 2. Base granular T1-2.</t>
  </si>
  <si>
    <t>115</t>
  </si>
  <si>
    <t>1.3.2.1.6</t>
  </si>
  <si>
    <t>Extender y compactar la base granular BNE-1 en el Tramo 3</t>
  </si>
  <si>
    <t>1.3.2.1.5FC, 1.3.2.1.4FC</t>
  </si>
  <si>
    <t>Cap. 2. Base granular T3.</t>
  </si>
  <si>
    <t>117;116</t>
  </si>
  <si>
    <t>1.3.2.1.7</t>
  </si>
  <si>
    <t>Ejecutar ensayos de densidad y aceptar la estructura</t>
  </si>
  <si>
    <t>1.3.2.1.6FC</t>
  </si>
  <si>
    <t>Cap. 2. Control de calidad.</t>
  </si>
  <si>
    <t>118</t>
  </si>
  <si>
    <t>1.3.2.1.8</t>
  </si>
  <si>
    <t>Extender y compactar la subbase granular SBG en los Tramos 1-2</t>
  </si>
  <si>
    <t>1.3.2.1.4FC</t>
  </si>
  <si>
    <t>Cap. 2. Subbase T1-2.</t>
  </si>
  <si>
    <t>116</t>
  </si>
  <si>
    <t>1.3.2.1.9</t>
  </si>
  <si>
    <t>Extender y compactar la subbase granular SBG en el Tramo 3</t>
  </si>
  <si>
    <t>1.3.2.1.8FC</t>
  </si>
  <si>
    <t>Cap. 2. Subbase T3.</t>
  </si>
  <si>
    <t>120</t>
  </si>
  <si>
    <t>1.3.2.1.10</t>
  </si>
  <si>
    <t>Conformar cunetas y obras de drenaje vial</t>
  </si>
  <si>
    <t>Cap. 2. Cunetas.</t>
  </si>
  <si>
    <t>1.3.2.2</t>
  </si>
  <si>
    <t>Calzada vehicular (213 metros lineales Tipo V-3) terminada</t>
  </si>
  <si>
    <t>R</t>
  </si>
  <si>
    <t>1.3.2.2.1</t>
  </si>
  <si>
    <t>Imprimar y aplicar riego de liga sobre la base granular</t>
  </si>
  <si>
    <t>1.3.2.1.7FC</t>
  </si>
  <si>
    <t>Cap. 2. Imprimacion.</t>
  </si>
  <si>
    <t>119</t>
  </si>
  <si>
    <t>1.3.2.2.2</t>
  </si>
  <si>
    <t>Colocar la base asfaltica MDC-25</t>
  </si>
  <si>
    <t>1.3.2.2.1FC</t>
  </si>
  <si>
    <t>Cap. 2. Base asfaltica.</t>
  </si>
  <si>
    <t>124</t>
  </si>
  <si>
    <t>1.3.2.2.3</t>
  </si>
  <si>
    <t>Colocar la capa de rodadura MDC-19 con GCR</t>
  </si>
  <si>
    <t>1.3.2.2.2FC</t>
  </si>
  <si>
    <t>Cap. 2. Rodadura con GCR.</t>
  </si>
  <si>
    <t>125</t>
  </si>
  <si>
    <t>1.3.2.2.4</t>
  </si>
  <si>
    <t>Ejecutar sello, juntas y control de calidad (Marshall)</t>
  </si>
  <si>
    <t>1.3.2.2.3FC</t>
  </si>
  <si>
    <t>Cap. 2. Sello + ensayos.</t>
  </si>
  <si>
    <t>126</t>
  </si>
  <si>
    <t>1.3.2.2.5</t>
  </si>
  <si>
    <t>Demarcar provisionalmente y proteger la calzada</t>
  </si>
  <si>
    <t>1.3.2.2.4FC</t>
  </si>
  <si>
    <t>Cap. 2. Proteccion calzada.</t>
  </si>
  <si>
    <t>127</t>
  </si>
  <si>
    <t>1.3.2.2.6</t>
  </si>
  <si>
    <t>Bachear y reparar fisuras</t>
  </si>
  <si>
    <t>Cap. 2. Bacheo.</t>
  </si>
  <si>
    <t>1.3.2.3</t>
  </si>
  <si>
    <t>Cimentaciones y estructuras de soporte de la semaforizacion</t>
  </si>
  <si>
    <t>1.3.2.3.1</t>
  </si>
  <si>
    <t>Excavar y cimentar las bases de los postes semaforicos</t>
  </si>
  <si>
    <t>Actividades de Acero con AIU</t>
  </si>
  <si>
    <t>Cap. Acero. Cimentacion de postes (frente paralelo).</t>
  </si>
  <si>
    <t>1.3.2.3.2</t>
  </si>
  <si>
    <t>Fundir los dados de cimentacion en concreto reforzado</t>
  </si>
  <si>
    <t>1.3.2.3.1FC</t>
  </si>
  <si>
    <t>Cap. Acero. Dados de cimentacion en concreto.</t>
  </si>
  <si>
    <t>131</t>
  </si>
  <si>
    <t>1.3.2.3.3</t>
  </si>
  <si>
    <t>Montar postes y mensulas estructurales de semaforos</t>
  </si>
  <si>
    <t>1.3.2.3.2FC</t>
  </si>
  <si>
    <t>Cap. Acero. Izaje de postes y mensulas.</t>
  </si>
  <si>
    <t>132</t>
  </si>
  <si>
    <t>1.3.2.3.4</t>
  </si>
  <si>
    <t>Fundir pedestales y anclajes de los equipos semaforicos</t>
  </si>
  <si>
    <t>1.3.2.3.3FC</t>
  </si>
  <si>
    <t>Cap. Acero. Pedestales y anclajes.</t>
  </si>
  <si>
    <t>133</t>
  </si>
  <si>
    <t>1.3.2.3.5</t>
  </si>
  <si>
    <t>Ejecutar pruebas de carga y verticalidad de los postes</t>
  </si>
  <si>
    <t>1.3.2.3.4FC</t>
  </si>
  <si>
    <t>Cap. Acero. Pruebas de carga y verticalidad.</t>
  </si>
  <si>
    <t>134</t>
  </si>
  <si>
    <t>1.3.2.3.6</t>
  </si>
  <si>
    <t>Instalar pernos de anclaje, placas base y herrajes</t>
  </si>
  <si>
    <t>Cap. Acero. Pernos, placas base y herrajes.</t>
  </si>
  <si>
    <t>1.3.2.3.7</t>
  </si>
  <si>
    <t>Construir obras de proteccion y drenaje de las cimentaciones</t>
  </si>
  <si>
    <t>Cap. Acero. Proteccion y drenaje.</t>
  </si>
  <si>
    <t>1.3.3</t>
  </si>
  <si>
    <t>Cuenta de control: Espacio Publico y Urbanismo</t>
  </si>
  <si>
    <t>1.3.3.1</t>
  </si>
  <si>
    <t>Areas de andenes y espacio publico construidos (2.215 m2)</t>
  </si>
  <si>
    <t>U</t>
  </si>
  <si>
    <t>1.3.3.1.1</t>
  </si>
  <si>
    <t>Conformar la base y solados de andenes en los Tramos 1-2</t>
  </si>
  <si>
    <t>5. Espacio Publico - Urbanismo</t>
  </si>
  <si>
    <t>Cap. 5 Espacio Publico. Base andenes T1-2.</t>
  </si>
  <si>
    <t>1.3.3.1.2</t>
  </si>
  <si>
    <t>Conformar la base y solados de andenes en el Tramo 3</t>
  </si>
  <si>
    <t>1.3.3.1.1FC</t>
  </si>
  <si>
    <t>Cap. 5. Base andenes T3.</t>
  </si>
  <si>
    <t>140</t>
  </si>
  <si>
    <t>1.3.3.1.3</t>
  </si>
  <si>
    <t>Instalar pisos y adoquines en los Tramos 1-2</t>
  </si>
  <si>
    <t>Cap. 5. Pisos T1-2.</t>
  </si>
  <si>
    <t>1.3.3.1.4</t>
  </si>
  <si>
    <t>Instalar pisos y adoquines en el Tramo 3</t>
  </si>
  <si>
    <t>1.3.3.1.3FC, 1.3.3.1.2FC</t>
  </si>
  <si>
    <t>Cap. 5. Pisos T3.</t>
  </si>
  <si>
    <t>142;141</t>
  </si>
  <si>
    <t>1.3.3.1.5</t>
  </si>
  <si>
    <t>Instalar bordillos, sardineles y elementos de drenaje</t>
  </si>
  <si>
    <t>1.3.3.1.4FC</t>
  </si>
  <si>
    <t>Cap. 5. Bordillos + drenaje.</t>
  </si>
  <si>
    <t>143</t>
  </si>
  <si>
    <t>1.3.3.1.6</t>
  </si>
  <si>
    <t>Construir rampas de accesibilidad y vados peatonales</t>
  </si>
  <si>
    <t>1.3.3.1.5FC</t>
  </si>
  <si>
    <t>Cap. 5. Accesibilidad.</t>
  </si>
  <si>
    <t>144</t>
  </si>
  <si>
    <t>1.3.3.1.7</t>
  </si>
  <si>
    <t>Instalar senalizacion podotactil y ejecutar acabados</t>
  </si>
  <si>
    <t>1.3.3.1.6FC</t>
  </si>
  <si>
    <t>Cap. 5. Podotactil.</t>
  </si>
  <si>
    <t>145</t>
  </si>
  <si>
    <t>1.3.3.1.8</t>
  </si>
  <si>
    <t>Instalar rejillas y registros en el anden</t>
  </si>
  <si>
    <t>Cap. 5. Rejillas anden.</t>
  </si>
  <si>
    <t>1.3.3.2</t>
  </si>
  <si>
    <t>Ciclorruta sur habilitada y conectada</t>
  </si>
  <si>
    <t>V</t>
  </si>
  <si>
    <t>1.3.3.2.1</t>
  </si>
  <si>
    <t>Conformar la subbase de la ciclorruta</t>
  </si>
  <si>
    <t>3. Ciclo Ruta</t>
  </si>
  <si>
    <t>Cap. 3 Ciclo Ruta. Subbase (holgura).</t>
  </si>
  <si>
    <t>1.3.3.2.2</t>
  </si>
  <si>
    <t>Construir la carpeta de rodadura y demarcar la ciclorruta</t>
  </si>
  <si>
    <t>1.3.3.2.1FC</t>
  </si>
  <si>
    <t>Cap. 3. Rodadura + demarcacion.</t>
  </si>
  <si>
    <t>149</t>
  </si>
  <si>
    <t>1.3.3.2.3</t>
  </si>
  <si>
    <t>Conectar y empalmar con la red de ciclorrutas</t>
  </si>
  <si>
    <t>1.3.3.2.2FC</t>
  </si>
  <si>
    <t>Cap. 3. Conexiones.</t>
  </si>
  <si>
    <t>150</t>
  </si>
  <si>
    <t>1.3.3.2.4</t>
  </si>
  <si>
    <t>Instalar senalizacion y mobiliario de la ciclorruta</t>
  </si>
  <si>
    <t>1.3.3.2.3FC</t>
  </si>
  <si>
    <t>Cap. 3. Senalizacion ciclorruta.</t>
  </si>
  <si>
    <t>151</t>
  </si>
  <si>
    <t>1.3.3.2.5</t>
  </si>
  <si>
    <t>Ejecutar pruebas de uso y entregar la ciclorruta</t>
  </si>
  <si>
    <t>1.3.3.2.4FC</t>
  </si>
  <si>
    <t>Cap. 3. Entrega ciclo.</t>
  </si>
  <si>
    <t>152</t>
  </si>
  <si>
    <t>1.3.3.3</t>
  </si>
  <si>
    <t>Mobiliario urbano e infraestructura verde instalada</t>
  </si>
  <si>
    <t>1.3.3.3.1</t>
  </si>
  <si>
    <t>Instalar el mobiliario urbano</t>
  </si>
  <si>
    <t>7. Mobiliario Urbano</t>
  </si>
  <si>
    <t>1.3.3.1.3FC</t>
  </si>
  <si>
    <t>Cap. 7 Mobiliario Urbano.</t>
  </si>
  <si>
    <t>142</t>
  </si>
  <si>
    <t>1.3.3.3.2</t>
  </si>
  <si>
    <t>Empradizar, ajardinar y arborizar</t>
  </si>
  <si>
    <t>6. Vegetacion y Paisajismo</t>
  </si>
  <si>
    <t>Cap. 6 Vegetacion y Paisajismo.</t>
  </si>
  <si>
    <t>1.3.3.3.3</t>
  </si>
  <si>
    <t>Construir y adecuar el separador central</t>
  </si>
  <si>
    <t>4. Separador Central</t>
  </si>
  <si>
    <t>Cap. 4 Separador Central.</t>
  </si>
  <si>
    <t>1.3.3.3.4</t>
  </si>
  <si>
    <t>Ejecutar riego, sostenimiento y entrega de zonas verdes</t>
  </si>
  <si>
    <t>1.3.3.3.2CC+5</t>
  </si>
  <si>
    <t>Cap. 6. Sostenimiento.</t>
  </si>
  <si>
    <t>156CC+5d</t>
  </si>
  <si>
    <t>1.3.3.3.5</t>
  </si>
  <si>
    <t>Ejecutar arborizacion compensatoria y manejo silvicultural</t>
  </si>
  <si>
    <t>1.3.3.3.2FC</t>
  </si>
  <si>
    <t>Cap. 6. Compensacion forestal.</t>
  </si>
  <si>
    <t>156</t>
  </si>
  <si>
    <t>1.3.3.3.6</t>
  </si>
  <si>
    <t>Instalar el sistema de riego de zonas verdes</t>
  </si>
  <si>
    <t>1.3.3.3.3FC</t>
  </si>
  <si>
    <t>Cap. 6. Sistema de riego.</t>
  </si>
  <si>
    <t>157</t>
  </si>
  <si>
    <t>1.3.4</t>
  </si>
  <si>
    <t>Cuenta de control: Dispositivos de Trafico y Seguridad</t>
  </si>
  <si>
    <t>1.3.4.1</t>
  </si>
  <si>
    <t>Sistema de senalizacion vial (horizontal y vertical) completado</t>
  </si>
  <si>
    <t>W</t>
  </si>
  <si>
    <t>1.3.4.1.1</t>
  </si>
  <si>
    <t>Demarcar la senalizacion horizontal</t>
  </si>
  <si>
    <t>11. Senalizacion, Demarcacion y Semaforizacion</t>
  </si>
  <si>
    <t>1.3.2.2.4FC, 1.3.3.1.5FC, 1.3.3.2.3FC</t>
  </si>
  <si>
    <t>Cap. 11 Senalizacion. Demarcacion.</t>
  </si>
  <si>
    <t>127;144;151</t>
  </si>
  <si>
    <t>1.3.4.1.2</t>
  </si>
  <si>
    <t>Instalar la senalizacion vertical</t>
  </si>
  <si>
    <t>1.3.4.1.1FC</t>
  </si>
  <si>
    <t>Cap. 11. Senales verticales.</t>
  </si>
  <si>
    <t>163</t>
  </si>
  <si>
    <t>1.3.4.1.3</t>
  </si>
  <si>
    <t>Verificar y entregar la senalizacion</t>
  </si>
  <si>
    <t>1.3.4.1.2FC</t>
  </si>
  <si>
    <t>Cap. 11. Verificacion SDM.</t>
  </si>
  <si>
    <t>164</t>
  </si>
  <si>
    <t>1.3.4.1.4</t>
  </si>
  <si>
    <t>Instalar senalizacion de obra y elementos de seguridad vial</t>
  </si>
  <si>
    <t>Cap. 11. Seguridad vial.</t>
  </si>
  <si>
    <t>1.3.4.1.5</t>
  </si>
  <si>
    <t>Instalar senalizacion informativa y nomenclatura vial</t>
  </si>
  <si>
    <t>1.3.4.1.3FC</t>
  </si>
  <si>
    <t>Cap. 11. Senales informativas.</t>
  </si>
  <si>
    <t>165</t>
  </si>
  <si>
    <t>1.3.4.2</t>
  </si>
  <si>
    <t>Interseccion semaforica sincronizada y operativa</t>
  </si>
  <si>
    <t>X</t>
  </si>
  <si>
    <t>1.3.4.2.1</t>
  </si>
  <si>
    <t>Instalar postes y equipos semaforicos</t>
  </si>
  <si>
    <t>Cap. 11. Postes + equipos.</t>
  </si>
  <si>
    <t>1.3.4.2.2</t>
  </si>
  <si>
    <t>Cablear y conectar al sistema de control</t>
  </si>
  <si>
    <t>1.3.4.2.1FC</t>
  </si>
  <si>
    <t>Cap. 11. Cableado a controlador.</t>
  </si>
  <si>
    <t>169</t>
  </si>
  <si>
    <t>1.3.4.2.3</t>
  </si>
  <si>
    <t>Sincronizar, probar y poner en marcha los semaforos</t>
  </si>
  <si>
    <t>1.3.4.2.2FC</t>
  </si>
  <si>
    <t>Cap. 11. Sincronizacion SDM.</t>
  </si>
  <si>
    <t>170</t>
  </si>
  <si>
    <t>1.3.4.2.4</t>
  </si>
  <si>
    <t>Instalar espiras y deteccion vehicular</t>
  </si>
  <si>
    <t>Cap. 11. Espiras.</t>
  </si>
  <si>
    <t>1.3.4.2.5</t>
  </si>
  <si>
    <t>Ejecutar pruebas de operacion y recibir por la SDM</t>
  </si>
  <si>
    <t>1.3.4.2.4FC</t>
  </si>
  <si>
    <t>Cap. 11. Recibo SDM.</t>
  </si>
  <si>
    <t>172</t>
  </si>
  <si>
    <t>1.3.5</t>
  </si>
  <si>
    <t>Hito: Acta de terminacion de obra</t>
  </si>
  <si>
    <t>1.3.4.2.3FC, 1.3.4.2.5FC, 1.3.2.3.4FC, 1.3.3.3.1FC, 1.3.3.3.2FC, 1.3.3.3.3FC, 1.1.2.3.3FC, 1.3.4.1.3FC, 1.1.2.3.4FC, 1.3.1.1.15FC, 1.3.1.1.16FC, 1.3.1.1.17FC, 1.3.1.1.18FC, 1.3.1.1.19FC, 1.3.1.2.6FC, 1.3.1.2.7FC, 1.3.1.2.8FC, 1.3.2.1.9FC, 1.3.2.1.10FC, 1.3.2.2.5FC, 1.3.2.2.6FC, 1.3.2.3.5FC, 1.3.2.3.6FC, 1.3.2.3.7FC, 1.3.3.1.7FC, 1.3.3.1.8FC, 1.3.3.2.5FC, 1.3.3.3.4FC, 1.3.3.3.5FC, 1.3.3.3.6FC, 1.3.4.1.4FC, 1.3.4.1.5FC</t>
  </si>
  <si>
    <t>171;173;134;155;156;157;36;165;37;97;98;99;100;101;108;109;110;121;122;128;129;135;136;137;146;147;153;158;159;160;166;167</t>
  </si>
  <si>
    <t>1.4</t>
  </si>
  <si>
    <t>Fase: Liquidacion y Cierre</t>
  </si>
  <si>
    <t>1.4.1</t>
  </si>
  <si>
    <t>Cuenta de control: Cierre Tecnico y Administrativo</t>
  </si>
  <si>
    <t>1.4.1.1</t>
  </si>
  <si>
    <t>Planos Record (As-Built) de la obra finalizada</t>
  </si>
  <si>
    <t>Y</t>
  </si>
  <si>
    <t>1.4.1.1.1</t>
  </si>
  <si>
    <t>Levantar la obra construida</t>
  </si>
  <si>
    <t>1.3.5FC</t>
  </si>
  <si>
    <t>Levantamiento as-built.</t>
  </si>
  <si>
    <t>174</t>
  </si>
  <si>
    <t>1.4.1.1.2</t>
  </si>
  <si>
    <t>Elaborar los planos record</t>
  </si>
  <si>
    <t>1.4.1.1.1FC</t>
  </si>
  <si>
    <t>Dibujo as-built.</t>
  </si>
  <si>
    <t>178</t>
  </si>
  <si>
    <t>1.4.1.1.3</t>
  </si>
  <si>
    <t>Aprobar los planos record por interventoria</t>
  </si>
  <si>
    <t>1.4.1.1.2FC</t>
  </si>
  <si>
    <t>Aprobacion as-built.</t>
  </si>
  <si>
    <t>179</t>
  </si>
  <si>
    <t>1.4.1.1.4</t>
  </si>
  <si>
    <t>Georreferenciar las redes y activos construidos</t>
  </si>
  <si>
    <t>Georreferenciacion.</t>
  </si>
  <si>
    <t>1.4.1.1.5</t>
  </si>
  <si>
    <t>Consolidar memorias de calculo y ensayos</t>
  </si>
  <si>
    <t>Memorias.</t>
  </si>
  <si>
    <t>1.4.1.2</t>
  </si>
  <si>
    <t>Acta de recibo final suscrita por el IDU e Interventoria</t>
  </si>
  <si>
    <t>1.4.1.2.1</t>
  </si>
  <si>
    <t>Gestionar y obtener el recibo de redes por las Empresas de Servicios Publicos (EAAB, Enel-Codensa, Vanti)</t>
  </si>
  <si>
    <t>Recibo formal de redes por las ESP, posterior a la terminacion de obra y previo al recibo final.</t>
  </si>
  <si>
    <t>1.4.1.2.2</t>
  </si>
  <si>
    <t>Hito: Recibo de redes por las Empresas de Servicios Publicos</t>
  </si>
  <si>
    <t>1.4.1.2.1FC</t>
  </si>
  <si>
    <t>184</t>
  </si>
  <si>
    <t>1.4.1.2.3</t>
  </si>
  <si>
    <t>Inspeccionar la obra y elaborar lista de pendientes</t>
  </si>
  <si>
    <t>Recorrido conjunto.</t>
  </si>
  <si>
    <t>1.4.1.2.4</t>
  </si>
  <si>
    <t>Subsanar las observaciones (punch list)</t>
  </si>
  <si>
    <t>1.4.1.2.3FC</t>
  </si>
  <si>
    <t>Cierre de pendientes.</t>
  </si>
  <si>
    <t>186</t>
  </si>
  <si>
    <t>1.4.1.2.5</t>
  </si>
  <si>
    <t>Suscribir el acta de recibo final</t>
  </si>
  <si>
    <t>1.4.1.2.4FC, 1.4.1.1.3FC, 1.4.1.2.1FC</t>
  </si>
  <si>
    <t>Firma de recibo (IDU).</t>
  </si>
  <si>
    <t>187;180;184</t>
  </si>
  <si>
    <t>1.4.1.2.6</t>
  </si>
  <si>
    <t>Hito: Acta de recibo final firmada</t>
  </si>
  <si>
    <t>1.4.1.2.5FC</t>
  </si>
  <si>
    <t>188</t>
  </si>
  <si>
    <t>1.4.1.2.7</t>
  </si>
  <si>
    <t>Verificar las cantidades de obra ejecutadas</t>
  </si>
  <si>
    <t>1.4.1.2.4FC</t>
  </si>
  <si>
    <t>Balance de cantidades.</t>
  </si>
  <si>
    <t>187</t>
  </si>
  <si>
    <t>1.4.1.2.8</t>
  </si>
  <si>
    <t>Conciliar las mayores y menores cantidades</t>
  </si>
  <si>
    <t>1.4.1.2.7FC</t>
  </si>
  <si>
    <t>Conciliacion cantidades.</t>
  </si>
  <si>
    <t>190</t>
  </si>
  <si>
    <t>1.4.1.3</t>
  </si>
  <si>
    <t>Manuales de mantenimiento y operacion de activos</t>
  </si>
  <si>
    <t>Z</t>
  </si>
  <si>
    <t>1.4.1.3.1</t>
  </si>
  <si>
    <t>Recopilar fichas tecnicas y garantias</t>
  </si>
  <si>
    <t>Fichas y garantias.</t>
  </si>
  <si>
    <t>1.4.1.3.2</t>
  </si>
  <si>
    <t>Elaborar los manuales de operacion y mantenimiento</t>
  </si>
  <si>
    <t>1.4.1.3.1FC</t>
  </si>
  <si>
    <t>Manuales O&amp;M.</t>
  </si>
  <si>
    <t>193</t>
  </si>
  <si>
    <t>1.4.1.3.3</t>
  </si>
  <si>
    <t>Capacitar y suscribir acta de transferencia al operador (UAERMV)</t>
  </si>
  <si>
    <t>1.4.1.3.2FC</t>
  </si>
  <si>
    <t>Capacitacion UAERMV.</t>
  </si>
  <si>
    <t>194</t>
  </si>
  <si>
    <t>1.4.1.3.4</t>
  </si>
  <si>
    <t>Entregar garantias y polizas de estabilidad post-obra</t>
  </si>
  <si>
    <t>Garantias post-obra.</t>
  </si>
  <si>
    <t>1.4.1.4</t>
  </si>
  <si>
    <t>Informe final de liquidacion financiera y de gestion social</t>
  </si>
  <si>
    <t>1.4.1.4.1</t>
  </si>
  <si>
    <t>Conciliar las finanzas y el balance de cantidades</t>
  </si>
  <si>
    <t>Cierre financiero.</t>
  </si>
  <si>
    <t>1.4.1.4.2</t>
  </si>
  <si>
    <t>Elaborar el informe de gestion social y ambiental</t>
  </si>
  <si>
    <t>1.4.1.4.1FC</t>
  </si>
  <si>
    <t>Cierre social/ambiental.</t>
  </si>
  <si>
    <t>198</t>
  </si>
  <si>
    <t>1.4.1.4.3</t>
  </si>
  <si>
    <t>Suscribir el acta de liquidacion del contrato</t>
  </si>
  <si>
    <t>1.4.1.4.1FC, 1.4.1.4.2FC, 1.4.1.3.2FC</t>
  </si>
  <si>
    <t>Acta de liquidacion (IDU).</t>
  </si>
  <si>
    <t>198;199;194</t>
  </si>
  <si>
    <t>1.4.1.4.4</t>
  </si>
  <si>
    <t>Tramitar paz y salvo de proveedores y subcontratistas</t>
  </si>
  <si>
    <t>1.4.1.4.2FC</t>
  </si>
  <si>
    <t>Paz y salvos.</t>
  </si>
  <si>
    <t>199</t>
  </si>
  <si>
    <t>1.4.1.4.5</t>
  </si>
  <si>
    <t>Cerrar permisos ambientales y compensaciones</t>
  </si>
  <si>
    <t>Cierre ambiental.</t>
  </si>
  <si>
    <t>1.4.9</t>
  </si>
  <si>
    <t>Hito: Cierre del proyecto</t>
  </si>
  <si>
    <t>1.4.1.4.3FC, 1.4.1.4.4FC, 1.4.1.4.5FC, 1.4.1.3.3FC, 1.4.1.3.4FC, 1.4.1.2.8FC, 1.4.1.1.4FC, 1.4.1.1.5FC</t>
  </si>
  <si>
    <t>200;201;202;195;196;191;181;182</t>
  </si>
  <si>
    <t>DIAGRAMA DE RED / RUTA CRITICA (CPM) - dias calendario - 630 dias</t>
  </si>
  <si>
    <t>Duracion total (d):</t>
  </si>
  <si>
    <t>ES/EF = inicio/fin temprano (pase adelante), LS/LF = inicio/fin tardio (pase atras), Holgura = LS-ES. Motor PDM por referencias directas: ES = MAX sobre predecesoras segun tipo de vinculo (FC: EF+lag; CC: ES+lag; FF: EF+lag-Dur; CF: ES+lag-Dur); LS = MIN sobre sucesoras (FC/FF restringen el fin, CC/CF el inicio). Todo formulado y auditable celda a celda.</t>
  </si>
  <si>
    <t>Actividad</t>
  </si>
  <si>
    <t>Dur</t>
  </si>
  <si>
    <t>Predecesoras (tipo+lag)</t>
  </si>
  <si>
    <t>ES</t>
  </si>
  <si>
    <t>EF</t>
  </si>
  <si>
    <t>LS</t>
  </si>
  <si>
    <t>LF</t>
  </si>
  <si>
    <t>Holg.</t>
  </si>
  <si>
    <t>Critica</t>
  </si>
  <si>
    <t>Inicio</t>
  </si>
  <si>
    <t>Fin</t>
  </si>
  <si>
    <t>Var (sigma^2)</t>
  </si>
  <si>
    <t>TABLA DE VINCULOS PDM (un registro por dependencia) - tipo y lag son los inputs del motor CPM de la Hoja 2</t>
  </si>
  <si>
    <t>Tipos: FC = fin-comienzo (FS), CC = comienzo-comienzo (SS), FF = fin-fin, CF = comienzo-fin. Lag en dias calendario. Los vinculos no-FC se justifican en la columna Soporte; el resto sigue secuencia tecnica estandar fin-comienzo.</t>
  </si>
  <si>
    <t>Sucesora</t>
  </si>
  <si>
    <t>Actividad sucesora</t>
  </si>
  <si>
    <t>Predecesora</t>
  </si>
  <si>
    <t>Actividad predecesora</t>
  </si>
  <si>
    <t>Tipo</t>
  </si>
  <si>
    <t>Lag (d)</t>
  </si>
  <si>
    <t>Soporte del tipo de vinculo</t>
  </si>
  <si>
    <t>FC</t>
  </si>
  <si>
    <t>Secuencia tecnica estandar fin-comienzo.</t>
  </si>
  <si>
    <t>CC</t>
  </si>
  <si>
    <t>Las reclamaciones de vecinos se atienden desde la suscripcion de las primeras actas de vecindad (traslape real).</t>
  </si>
  <si>
    <t>La comunicacion de desvios a la comunidad inicia junto con la implementacion del PMT en sitio.</t>
  </si>
  <si>
    <t>El manejo de aguas y bombeo acompana la excavacion de zanjas desde su apertura.</t>
  </si>
  <si>
    <t>FF</t>
  </si>
  <si>
    <t>Los anclajes y atraques se construyen tramo a tramo y concluyen junto con la instalacion de la tuberia.</t>
  </si>
  <si>
    <t>El riego y sostenimiento de zonas verdes inicia a medida que avanza la empradizacion.</t>
  </si>
  <si>
    <t>Total vinculos</t>
  </si>
  <si>
    <t>Vinculos FC</t>
  </si>
  <si>
    <t>Vinculos CC</t>
  </si>
  <si>
    <t>Vinculos FF</t>
  </si>
  <si>
    <t>Vinculos CF</t>
  </si>
  <si>
    <t>LINEA BASE DE TIEMPO - HITOS (todo formulado desde la Hoja 2)</t>
  </si>
  <si>
    <t>Hito</t>
  </si>
  <si>
    <t>Dia</t>
  </si>
  <si>
    <t>Fecha</t>
  </si>
  <si>
    <t>Criterio de cumplimiento</t>
  </si>
  <si>
    <t>Acta de inicio firmada</t>
  </si>
  <si>
    <t>Acta suscrita por IDU, Contratista e Interventoria.</t>
  </si>
  <si>
    <t>Aprobacion de estudios y disenos por las ESP</t>
  </si>
  <si>
    <t>No-objecion de EAAB, Enel y Vanti a los disenos de redes.</t>
  </si>
  <si>
    <t>Inicio de Construccion</t>
  </si>
  <si>
    <t>Acta de cambio de fase Estudios-&gt;Construccion suscrita; fin de la ventana de 9 meses preoperativa.</t>
  </si>
  <si>
    <t>Acta de terminacion de obra</t>
  </si>
  <si>
    <t>Obra fisica terminada y verificada por la Interventoria.</t>
  </si>
  <si>
    <t>Recibo de redes por las Empresas de Servicios Publicos</t>
  </si>
  <si>
    <t>Actas de recibo de redes humedas y secas por las ESP.</t>
  </si>
  <si>
    <t>Acta de recibo final firmada</t>
  </si>
  <si>
    <t>Punch list subsanado y acta de recibo final suscrita por el IDU.</t>
  </si>
  <si>
    <t>Cierre del proyecto</t>
  </si>
  <si>
    <t>Acta de liquidacion suscrita, paz y salvos y cierre ambiental.</t>
  </si>
  <si>
    <t>NIVELACION Y USO DE RECURSOS (segun equipo y maquinaria del proyecto) - plazo 630 dias</t>
  </si>
  <si>
    <t>4.1 Recursos criticos con sobredemanda y accion de nivelacion</t>
  </si>
  <si>
    <t>Recurso</t>
  </si>
  <si>
    <t>Disp.</t>
  </si>
  <si>
    <t>Periodo de sobredemanda</t>
  </si>
  <si>
    <t>Accion de nivelacion</t>
  </si>
  <si>
    <t>Excavadora hidraulica CAT 320</t>
  </si>
  <si>
    <t>Meses 10-14 (excavaciones + redes)</t>
  </si>
  <si>
    <t>Priorizar ruta critica; diferir acueducto y redes secas dentro de su holgura.</t>
  </si>
  <si>
    <t>Residente de Redes</t>
  </si>
  <si>
    <t>Meses 10-13 (redes humedas y secas)</t>
  </si>
  <si>
    <t>Secuenciar: alcantarillado (critico) -&gt; acueducto -&gt; secas.</t>
  </si>
  <si>
    <t>Vibrocompactador 12 ton</t>
  </si>
  <si>
    <t>Meses 10-16 (rellenos + subrasante + base)</t>
  </si>
  <si>
    <t>Programar por turnos con prioridad a la ruta critica.</t>
  </si>
  <si>
    <t>Terminadora de asfalto (Finisher)</t>
  </si>
  <si>
    <t>Meses 15-17 (base + rodadura + ciclorruta)</t>
  </si>
  <si>
    <t>Secuencial: base asfaltica -&gt; rodadura -&gt; ciclorruta.</t>
  </si>
  <si>
    <t>Especialista en Pavimentos</t>
  </si>
  <si>
    <t>Meses 15-18 (calzada + ensayos)</t>
  </si>
  <si>
    <t>Compartir con control de calidad; apoyo del laboratorista.</t>
  </si>
  <si>
    <t>Laboratorista de Campo</t>
  </si>
  <si>
    <t>Meses 10-18 (ensayos continuos)</t>
  </si>
  <si>
    <t>Contratar laboratorista auxiliar en el periodo pico.</t>
  </si>
  <si>
    <t>Ayudantes / Obreros</t>
  </si>
  <si>
    <t>40-60</t>
  </si>
  <si>
    <t>Meses 12-16 (pico de obra)</t>
  </si>
  <si>
    <t>Curva de contratacion progresiva; liberar por frentes terminados.</t>
  </si>
  <si>
    <t>4.2 Histograma de uso de personal por mes (21 meses; cuadrillas: input azul, totales formulados)</t>
  </si>
  <si>
    <t>Mes</t>
  </si>
  <si>
    <t>Directivo y tecnico</t>
  </si>
  <si>
    <t>Mano obra calificada</t>
  </si>
  <si>
    <t>Mano obra no calificada</t>
  </si>
  <si>
    <t>Total</t>
  </si>
  <si>
    <t>Curva</t>
  </si>
  <si>
    <t>Pico</t>
  </si>
  <si>
    <t>Resultado: desplazar hasta 5 dias las actividades con holgura (acueducto, redes secas, ciclorruta) para liberar equipos hacia la ruta</t>
  </si>
  <si>
    <t>critica, sin afectar la terminacion (630 dias).</t>
  </si>
  <si>
    <t>RESUMEN EJECUTIVO Y VALIDACION (todo formulado)</t>
  </si>
  <si>
    <t>CONCEPTO</t>
  </si>
  <si>
    <t>VALOR</t>
  </si>
  <si>
    <t>UNIDAD</t>
  </si>
  <si>
    <t>FUENTE / NOTA</t>
  </si>
  <si>
    <t>Total de lineas del cronograma</t>
  </si>
  <si>
    <t>filas</t>
  </si>
  <si>
    <t>EDT del Word; 203 lineas</t>
  </si>
  <si>
    <t>Actividades programables</t>
  </si>
  <si>
    <t>actividades</t>
  </si>
  <si>
    <t>Duracion PERT &gt; 0</t>
  </si>
  <si>
    <t>Hitos</t>
  </si>
  <si>
    <t>hitos</t>
  </si>
  <si>
    <t>Duracion 0</t>
  </si>
  <si>
    <t>Actividades en ruta critica (sin hitos)</t>
  </si>
  <si>
    <t>Holgura = 0</t>
  </si>
  <si>
    <t>Duracion del proyecto</t>
  </si>
  <si>
    <t>dias calendario</t>
  </si>
  <si>
    <t>Ruta critica = 21 meses objetivo</t>
  </si>
  <si>
    <t>Duracion en meses</t>
  </si>
  <si>
    <t>meses</t>
  </si>
  <si>
    <t>Convencion 30 d/mes</t>
  </si>
  <si>
    <t>Sigma del proyecto</t>
  </si>
  <si>
    <t>dias</t>
  </si>
  <si>
    <t>raiz(suma varianzas ruta critica)</t>
  </si>
  <si>
    <t>Inicio (retro-calculado)</t>
  </si>
  <si>
    <t>fecha</t>
  </si>
  <si>
    <t>Corte 06/06/2026 - dia 510</t>
  </si>
  <si>
    <t>Terminacion construccion</t>
  </si>
  <si>
    <t>Faltan 60 dias al corte</t>
  </si>
  <si>
    <t>Terminacion proyecto (con liquidacion)</t>
  </si>
  <si>
    <t>Inicio + 630 dias - 1</t>
  </si>
  <si>
    <t>Dia del proyecto en la fecha de corte</t>
  </si>
  <si>
    <t>dia</t>
  </si>
  <si>
    <t>Hoy = dia 510 de 630</t>
  </si>
  <si>
    <t>VALIDACION DE VENTANAS POR FASE (duracion calculada vs objetivo)</t>
  </si>
  <si>
    <t>Dia inicio (calc)</t>
  </si>
  <si>
    <t>Dia fin (calc)</t>
  </si>
  <si>
    <t>Duracion (calc)</t>
  </si>
  <si>
    <t>Objetivo (dias)</t>
  </si>
  <si>
    <t>Cumple</t>
  </si>
  <si>
    <t>Costo asignado (COP)</t>
  </si>
  <si>
    <t>VALIDACION DE COSTOS POR CAPITULO (cuadre con presupuesto oficial)</t>
  </si>
  <si>
    <t>Capitulo</t>
  </si>
  <si>
    <t>Presupuesto oficial (COP)</t>
  </si>
  <si>
    <t>Diferencia</t>
  </si>
  <si>
    <t>Componente K: Pagos asociados a ajustes (reserva, no asignado a actividades)</t>
  </si>
  <si>
    <t>Presupuesto oficial del contrato (modelo financiero)</t>
  </si>
  <si>
    <t>CUADRE (Total asignado - contrato, debe ser 0)</t>
  </si>
  <si>
    <t>EQUIVALENCIA ACTIVIDADES PERT TESIS (A-Z) &lt;-&gt; EDT DETALLADA (conteos y criticidad formulados)</t>
  </si>
  <si>
    <t>Macro (tesis)</t>
  </si>
  <si>
    <t>te tesis (d) Tabla 40</t>
  </si>
  <si>
    <t># WBS asociados</t>
  </si>
  <si>
    <t>WBS asociados</t>
  </si>
  <si>
    <t>1.1.0, 1.3.1.1.0</t>
  </si>
  <si>
    <t>1.2.1.1.1, 1.2.1.1.2, 1.2.1.1.3, 1.2.1.1.4, 1.2.1.1.5, 1.2.1.2.1, 1.2.1.2.2, 1.2.1.2.3, 1.2.1.2.4, 1.2.1.2.5, 1.2.2.1.1, 1.2.2.1.2, 1.2.2.1.3, 1.2.2.1.4, 1.2.2.1.5, 1.2.2.2.1, 1.2.2.2.2, 1.2.2.2.3, 1.2.2.2.4, 1.2.2.2.5, 1.2.2.3.1, 1.2.2.3.2, 1.2.2.3.3, 1.2.2.3.4, 1.2.2.3.5</t>
  </si>
  <si>
    <t>1.1.2.2.1, 1.1.2.2.2, 1.1.2.2.3, 1.1.2.2.4</t>
  </si>
  <si>
    <t>1.1.1.1.1, 1.1.1.1.2, 1.1.1.1.3, 1.1.1.1.4, 1.1.1.1.5, 1.1.1.2.1, 1.1.1.2.2, 1.1.1.2.3, 1.1.1.2.4, 1.1.1.3.1, 1.1.1.3.2, 1.1.1.3.3, 1.1.1.3.4, 1.1.1.3.5, 1.1.2.1.1, 1.1.2.1.2, 1.1.2.1.3, 1.1.2.1.4, 1.1.2.4.1, 1.1.2.4.2, 1.1.2.4.3, 1.1.2.4.4</t>
  </si>
  <si>
    <t>1.1.2.3.1, 1.1.2.3.2, 1.1.2.3.3, 1.1.2.3.4</t>
  </si>
  <si>
    <t>F</t>
  </si>
  <si>
    <t>G</t>
  </si>
  <si>
    <t>I</t>
  </si>
  <si>
    <t>K</t>
  </si>
  <si>
    <t>1.3.1.1.2, 1.3.1.1.4, 1.3.1.1.5, 1.3.1.1.6, 1.3.1.1.7, 1.3.1.1.8, 1.3.1.1.9, 1.3.1.1.10, 1.3.1.1.11, 1.3.1.1.12, 1.3.1.1.13, 1.3.1.1.15, 1.3.1.1.16, 1.3.1.1.17, 1.3.1.1.18, 1.3.1.1.19, 1.3.2.3.1, 1.3.2.3.2, 1.3.2.3.3, 1.3.2.3.4, 1.3.2.3.5, 1.3.2.3.6, 1.3.2.3.7</t>
  </si>
  <si>
    <t>1.3.1.2.1, 1.3.1.2.2, 1.3.1.2.3, 1.3.1.2.4, 1.3.1.2.5, 1.3.1.2.6, 1.3.1.2.7, 1.3.1.2.8</t>
  </si>
  <si>
    <t>O</t>
  </si>
  <si>
    <t>1.3.2.1.1, 1.3.2.1.2, 1.3.2.1.3, 1.3.2.1.4, 1.3.2.1.5, 1.3.2.1.6, 1.3.2.1.7, 1.3.2.1.8, 1.3.2.1.9, 1.3.2.1.10</t>
  </si>
  <si>
    <t>Q</t>
  </si>
  <si>
    <t>1.3.2.2.1, 1.3.2.2.2, 1.3.2.2.3, 1.3.2.2.4, 1.3.2.2.5, 1.3.2.2.6</t>
  </si>
  <si>
    <t>S</t>
  </si>
  <si>
    <t>T</t>
  </si>
  <si>
    <t>1.3.3.1.1, 1.3.3.1.2, 1.3.3.1.3, 1.3.3.1.4, 1.3.3.1.5, 1.3.3.1.6, 1.3.3.1.7, 1.3.3.1.8, 1.3.3.3.1, 1.3.3.3.2, 1.3.3.3.3, 1.3.3.3.4, 1.3.3.3.5, 1.3.3.3.6</t>
  </si>
  <si>
    <t>1.3.3.2.1, 1.3.3.2.2, 1.3.3.2.3, 1.3.3.2.4, 1.3.3.2.5</t>
  </si>
  <si>
    <t>1.3.4.1.1, 1.3.4.1.2, 1.3.4.1.3, 1.3.4.1.4, 1.3.4.1.5</t>
  </si>
  <si>
    <t>1.3.4.2.1, 1.3.4.2.2, 1.3.4.2.3, 1.3.4.2.4, 1.3.4.2.5</t>
  </si>
  <si>
    <t>1.4.1.1.1, 1.4.1.1.2, 1.4.1.1.3, 1.4.1.1.4, 1.4.1.1.5, 1.4.1.2.1, 1.4.1.2.2, 1.4.1.2.3, 1.4.1.2.4, 1.4.1.2.5, 1.4.1.2.6, 1.4.1.2.7, 1.4.1.2.8</t>
  </si>
  <si>
    <t>1.4.1.3.1, 1.4.1.3.2, 1.4.1.3.3, 1.4.1.3.4, 1.4.1.4.1, 1.4.1.4.2, 1.4.1.4.3, 1.4.1.4.4, 1.4.1.4.5</t>
  </si>
  <si>
    <t>Nota: la EDT del Word fusiona algunas actividades macro de la tesis; los te de la Tabla 40 son la referencia academica original (300 d).</t>
  </si>
  <si>
    <t>CATALOGO DE RECURSOS DEL PROYECTO (equipo profesional, maquinaria y materiales)</t>
  </si>
  <si>
    <t>Fuente: equipo de trabajo y maquinaria definidos por el Anexo de Personal Minimo IDU, Anexo Tecnico y Presupuesto General.</t>
  </si>
  <si>
    <t>Max. disp.</t>
  </si>
  <si>
    <t>Dedicacion</t>
  </si>
  <si>
    <t>Mecanismo de adquisicion</t>
  </si>
  <si>
    <t>Periodo / # Activ.</t>
  </si>
  <si>
    <t>Director de Obra</t>
  </si>
  <si>
    <t>Trabajo</t>
  </si>
  <si>
    <t>1.00</t>
  </si>
  <si>
    <t>100%</t>
  </si>
  <si>
    <t>Vinculacion / prestacion de servicios</t>
  </si>
  <si>
    <t>Segun fase IDU  (7 activ.)</t>
  </si>
  <si>
    <t>Residente de Obra (Vial)</t>
  </si>
  <si>
    <t>Segun fase IDU  (56 activ.)</t>
  </si>
  <si>
    <t>Residente de Redes Hidrosanitarias</t>
  </si>
  <si>
    <t>100% (M10-16)</t>
  </si>
  <si>
    <t>Segun fase IDU  (16 activ.)</t>
  </si>
  <si>
    <t>Parcial</t>
  </si>
  <si>
    <t>Segun fase IDU  (11 activ.)</t>
  </si>
  <si>
    <t>Especialista en Geotecnia</t>
  </si>
  <si>
    <t>Especialista / Ingeniero de Transito</t>
  </si>
  <si>
    <t>Segun fase IDU  (4 activ.)</t>
  </si>
  <si>
    <t>Especialista de Topografia + Cadenero</t>
  </si>
  <si>
    <t>Residente SST</t>
  </si>
  <si>
    <t>Segun fase IDU  (8 activ.)</t>
  </si>
  <si>
    <t>Profesional / Residente Social</t>
  </si>
  <si>
    <t>Profesional / Residente Ambiental</t>
  </si>
  <si>
    <t>Ingeniero Administrativo</t>
  </si>
  <si>
    <t>Segun fase IDU  (38 activ.)</t>
  </si>
  <si>
    <t>Especialista / Modelador BIM</t>
  </si>
  <si>
    <t>Segun fase IDU  (10 activ.)</t>
  </si>
  <si>
    <t>Segun fase IDU  (25 activ.)</t>
  </si>
  <si>
    <t>IDU (Gestor del Proyecto)</t>
  </si>
  <si>
    <t>Segun fase IDU  (39 activ.)</t>
  </si>
  <si>
    <t>Especialista en Redes Hidraulicas</t>
  </si>
  <si>
    <t>Segun fase IDU  (5 activ.)</t>
  </si>
  <si>
    <t>Especialista en Redes Electricas (secas)</t>
  </si>
  <si>
    <t>Segun fase IDU  (14 activ.)</t>
  </si>
  <si>
    <t>Especialista en Estructuras</t>
  </si>
  <si>
    <t>Residente Forestal</t>
  </si>
  <si>
    <t>Segun fase IDU  (2 activ.)</t>
  </si>
  <si>
    <t>Maestro de Obra</t>
  </si>
  <si>
    <t>2.00</t>
  </si>
  <si>
    <t>Segun fase IDU  (3 activ.)</t>
  </si>
  <si>
    <t>Oficiales de Construccion</t>
  </si>
  <si>
    <t>12.00</t>
  </si>
  <si>
    <t>Variable</t>
  </si>
  <si>
    <t>Vinculacion directa/temporal</t>
  </si>
  <si>
    <t>Meses 10-19  (56 activ.)</t>
  </si>
  <si>
    <t>60.00</t>
  </si>
  <si>
    <t>Meses 10-19  (60 activ.)</t>
  </si>
  <si>
    <t>Cuadrilla de Senalizacion</t>
  </si>
  <si>
    <t>Meses 10-19  (9 activ.)</t>
  </si>
  <si>
    <t>Retroexcavadora CAT 420</t>
  </si>
  <si>
    <t>Maquinaria/Equipo</t>
  </si>
  <si>
    <t>-</t>
  </si>
  <si>
    <t>Alquiler con operador / subcontrato</t>
  </si>
  <si>
    <t>Fase de construccion (meses 10-19)  (5 activ.)</t>
  </si>
  <si>
    <t>Cargador frontal</t>
  </si>
  <si>
    <t>Fase de construccion (meses 10-19)  (7 activ.)</t>
  </si>
  <si>
    <t>Fase de construccion (meses 10-19)  (10 activ.)</t>
  </si>
  <si>
    <t>Compactador rodillo liso</t>
  </si>
  <si>
    <t>Fase de construccion (meses 10-19)  (4 activ.)</t>
  </si>
  <si>
    <t>Fresadora de pavimento</t>
  </si>
  <si>
    <t>Fase de construccion (meses 10-19)  (1 activ.)</t>
  </si>
  <si>
    <t>Fase de construccion (meses 10-19)  (3 activ.)</t>
  </si>
  <si>
    <t>Compactador neumatico</t>
  </si>
  <si>
    <t>Fase de construccion (meses 10-19)  (2 activ.)</t>
  </si>
  <si>
    <t>Volquetas 12 m3</t>
  </si>
  <si>
    <t>6.00</t>
  </si>
  <si>
    <t>Fase de construccion (meses 10-19)  (14 activ.)</t>
  </si>
  <si>
    <t>Bomba de concreto</t>
  </si>
  <si>
    <t>Martillo hidraulico</t>
  </si>
  <si>
    <t>Planta electrica</t>
  </si>
  <si>
    <t>Equipo de topografia (estacion total)</t>
  </si>
  <si>
    <t>Fase de construccion (meses 10-19)  (11 activ.)</t>
  </si>
  <si>
    <t>Equipo menor (vibrador, mezcladora, herramienta)</t>
  </si>
  <si>
    <t>4.00</t>
  </si>
  <si>
    <t>Material de relleno y afirmado</t>
  </si>
  <si>
    <t>Sub-base granular (SBG)</t>
  </si>
  <si>
    <t>Material/Insumo</t>
  </si>
  <si>
    <t>Suministro segun APU del presupuesto</t>
  </si>
  <si>
    <t>Base granular (BG)</t>
  </si>
  <si>
    <t>Mezcla asfaltica MDC-25</t>
  </si>
  <si>
    <t>Mezcla asfaltica MDC-19 con GCR</t>
  </si>
  <si>
    <t>Emulsion asfaltica (imprimacion y liga)</t>
  </si>
  <si>
    <t>Concreto estructural (premezclado)</t>
  </si>
  <si>
    <t>Fase de construccion (meses 10-19)  (21 activ.)</t>
  </si>
  <si>
    <t>Acero de refuerzo</t>
  </si>
  <si>
    <t>Tuberia de alcantarillado (PVC/concreto)</t>
  </si>
  <si>
    <t>Tuberia de acueducto (PVC/PEAD/HD)</t>
  </si>
  <si>
    <t>Pozos de inspeccion y camaras (prefab.)</t>
  </si>
  <si>
    <t>Sumideros prefabricados</t>
  </si>
  <si>
    <t>Geotextil y geomalla</t>
  </si>
  <si>
    <t>Tuberia/ducto PVC redes secas</t>
  </si>
  <si>
    <t>Camaras y camaretas redes secas</t>
  </si>
  <si>
    <t>Cable y accesorios electricos</t>
  </si>
  <si>
    <t>Fase de construccion (meses 10-19)  (6 activ.)</t>
  </si>
  <si>
    <t>Adoquin y loseta prefabricada</t>
  </si>
  <si>
    <t>Bordillo y sardinel prefabricado</t>
  </si>
  <si>
    <t>Mortero de pega</t>
  </si>
  <si>
    <t>Tierra negra, abono y sustrato</t>
  </si>
  <si>
    <t>Arboles, cesped y material vegetal</t>
  </si>
  <si>
    <t>Mobiliario urbano (bancas, canecas, bolardos)</t>
  </si>
  <si>
    <t>Pintura de trafico y demarcacion</t>
  </si>
  <si>
    <t>Tachas y senales verticales</t>
  </si>
  <si>
    <t>Postes y equipos semaforicos</t>
  </si>
  <si>
    <t>Cerramiento, senalizacion temporal y provisionales</t>
  </si>
  <si>
    <t>Asignacion por actividad: cada actividad de obra (Fase 3) tiene personal, maquinaria y materiales de su capitulo APU; las</t>
  </si>
  <si>
    <t>actividades de tramites, diseno y cierre (Fases 1, 2 y 4) asignan profesionales y gestores. Detalle en el XML de MS Project (604 asignaciones).</t>
  </si>
  <si>
    <t>CRONOGRAMA - DIAGRAMA DE GANTT (21 meses x 30 dias) - generado por formulas desde las Hojas 1 y 2</t>
  </si>
  <si>
    <t>Barras por formato condicional: rojo = ruta critica, azul = actividad, gris = resumen/fase, X = hito. Columna amarilla = mes del corte (hoy). Curva S de costos al pie. Graficos nativos dinamicos en la Hoja 9.</t>
  </si>
  <si>
    <t>Pegado en MS Project: copie Paquete/Actividad -&gt; Nombre, Dur -&gt; Duracion y Predecesoras (Project) -&gt; Predecesoras (IDs de fila 1-203 en este mismo orden; numero solo = FC, sufijos CC/FF y +lag en dias). La sangria (Niv) se aplica con Alt+Mayus+Der. Alternativa: abrir directamente el XML entregado, que ya trae todo.</t>
  </si>
  <si>
    <t>ID</t>
  </si>
  <si>
    <t>Dia ini</t>
  </si>
  <si>
    <t>Crit</t>
  </si>
  <si>
    <t>FLUJO DE COSTO PROGRAMADO (COP) - curva S formulada</t>
  </si>
  <si>
    <t>Costo del mes</t>
  </si>
  <si>
    <t>Costo acumulado</t>
  </si>
  <si>
    <t>% programado acumulado</t>
  </si>
  <si>
    <t>GRAFICOS NATIVOS DE EXCEL - vinculados a celdas, se actualizan al cambiar cualquier input</t>
  </si>
  <si>
    <t>Fuentes: Hoja 8 (Gantt y curva S) y Hoja 5 (costos por fase). El Gantt de fases usa barras apiladas con la serie de inicio invisible.</t>
  </si>
  <si>
    <t>Datos de soporte de los graficos (formulados):</t>
  </si>
  <si>
    <t>Duracion (d)</t>
  </si>
  <si>
    <t>F1 Requisitos y Gestion</t>
  </si>
  <si>
    <t>F2 Estudios y Disenos</t>
  </si>
  <si>
    <t>F3 Construccion</t>
  </si>
  <si>
    <t>F4 Liquidacion y Cierre</t>
  </si>
  <si>
    <t>A. PRESUPUESTO POR CAPITULO</t>
  </si>
  <si>
    <t>% del costo asignado</t>
  </si>
  <si>
    <t>Subtotal asignado a actividades</t>
  </si>
  <si>
    <t>Componente K: pagos asociados a ajustes (reserva no programada)</t>
  </si>
  <si>
    <t>PRESUPUESTO TOTAL (BAC)</t>
  </si>
  <si>
    <t>Valor del contrato (modelo financiero)</t>
  </si>
  <si>
    <t>CUADRE BAC - contrato (debe ser 0)</t>
  </si>
  <si>
    <t>B. PRESUPUESTO POR FASE (amarrado al cronograma)</t>
  </si>
  <si>
    <t>% del asignado</t>
  </si>
  <si>
    <t>Costo promedio por dia (COP/d)</t>
  </si>
  <si>
    <t>C. PRESUPUESTO POR CUENTA DE CONTROL (nivel 3 de la EDT)</t>
  </si>
  <si>
    <t>Cuenta de control</t>
  </si>
  <si>
    <t>Actividades de gestion de nivel 3 (acta de inicio 1.1.0 y cambio de fase 1.2.3)</t>
  </si>
  <si>
    <t>TOTAL (debe igualar el subtotal asignado)</t>
  </si>
  <si>
    <t>FLUJO DE CAJA MENSUAL (desembolsos del IDU) - derivado del cronograma, todo formulado</t>
  </si>
  <si>
    <t>Avance programado del mes = curva S de la Hoja 8 (costo de las actividades segun el cronograma). La facturacion (acta mensual) se paga con el desfase parametrizable. Supuestos editables en azul: sin anticipo por defecto y pago de actas a 2 meses (tramite IDU radicacion -&gt; pago 30-60 dias). Cambiar duraciones o costos recalcula todo el flujo.</t>
  </si>
  <si>
    <t>% de anticipo (sobre el costo asignado)</t>
  </si>
  <si>
    <t>Mes de pago del anticipo</t>
  </si>
  <si>
    <t>Desfase de pago de actas (meses)</t>
  </si>
  <si>
    <t>Costo asignado a actividades (BAC sin reserva)</t>
  </si>
  <si>
    <t>Avance programado del mes (COP)</t>
  </si>
  <si>
    <t>Facturacion - acta del mes (COP)</t>
  </si>
  <si>
    <t>Desembolso IDU del mes (COP)</t>
  </si>
  <si>
    <t>Desembolso acumulado (COP)</t>
  </si>
  <si>
    <t>Avance acumulado - PV (COP)</t>
  </si>
  <si>
    <t>Comprometido no desembolsado (COP)</t>
  </si>
  <si>
    <t>CUADRE: desembolsos - avance programado (debe ser 0)</t>
  </si>
  <si>
    <t>CUADRE: avance programado - costo asignado (debe ser 0)</t>
  </si>
  <si>
    <t>Componente K: reserva de ajustes, no programada en el tiempo</t>
  </si>
  <si>
    <t>TOTAL DESEMBOLSOS + RESERVA = PRESUPUESTO TOTAL (BAC)</t>
  </si>
  <si>
    <t>PRESUPUESTO DEL PROYECTO AMARRADO A LA EDT</t>
  </si>
  <si>
    <t>Componente K: pagos asociados a ajustes</t>
  </si>
  <si>
    <t xml:space="preserve">PRESUPUESTO TOTAL </t>
  </si>
  <si>
    <t>(BAC)</t>
  </si>
  <si>
    <t>(Reserva programada)</t>
  </si>
  <si>
    <t xml:space="preserve">Valor del contrato </t>
  </si>
  <si>
    <t>(modelo financiero)</t>
  </si>
  <si>
    <t>CALCULO PERT BETA-NORMAL POR PAQUETE - Empalme Vial Av. Mutis- Plazo 630 dias / 21 meses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</si>
</sst>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dd/mm/yyyy"/>
    <numFmt numFmtId="165" formatCode="dd/mm/yy"/>
    <numFmt numFmtId="166" formatCode="#,##0,,\M"/>
    <numFmt numFmtId="167" formatCode="0.0%"/>
  </numFmts>
  <fonts count="11" x14ac:knownFonts="1">
    <font>
      <sz val="11"/>
      <color theme="1"/>
      <name val="Calibri"/>
      <family val="2"/>
      <charset val="1"/>
    </font>
    <font>
      <sz val="10"/>
      <name val="Arial"/>
      <family val="2"/>
    </font>
    <font>
      <b/>
      <sz val="13"/>
      <color rgb="FF1F4E79"/>
      <name val="Arial"/>
      <family val="2"/>
    </font>
    <font>
      <i/>
      <sz val="9"/>
      <color rgb="FF666666"/>
      <name val="Arial"/>
      <family val="2"/>
    </font>
    <font>
      <sz val="10"/>
      <name val="Arial"/>
      <family val="2"/>
    </font>
    <font>
      <sz val="10"/>
      <color rgb="FF0000FF"/>
      <name val="Arial"/>
      <family val="2"/>
    </font>
    <font>
      <b/>
      <sz val="10"/>
      <color rgb="FFFFFFFF"/>
      <name val="Arial"/>
      <family val="2"/>
    </font>
    <font>
      <b/>
      <sz val="10"/>
      <name val="Arial"/>
      <family val="2"/>
    </font>
    <font>
      <sz val="10"/>
      <color rgb="FF008000"/>
      <name val="Arial"/>
      <family val="2"/>
    </font>
    <font>
      <b/>
      <sz val="10"/>
      <color rgb="FF008000"/>
      <name val="Arial"/>
      <family val="2"/>
    </font>
    <font>
      <b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1F4E79"/>
        <bgColor rgb="FF003366"/>
      </patternFill>
    </fill>
    <fill>
      <patternFill patternType="solid">
        <fgColor rgb="FFD9E2F1"/>
        <bgColor rgb="FFD9D9D9"/>
      </patternFill>
    </fill>
    <fill>
      <patternFill patternType="solid">
        <fgColor rgb="FFEDEDED"/>
        <bgColor rgb="FFFDE9E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2" fillId="0" borderId="0" xfId="0" applyFont="1"/>
    <xf numFmtId="0" fontId="3" fillId="0" borderId="0" xfId="0" applyFont="1"/>
    <xf numFmtId="164" fontId="4" fillId="0" borderId="0" xfId="0" applyNumberFormat="1" applyFont="1"/>
    <xf numFmtId="164" fontId="5" fillId="0" borderId="0" xfId="0" applyNumberFormat="1" applyFont="1"/>
    <xf numFmtId="0" fontId="5" fillId="0" borderId="0" xfId="0" applyFont="1"/>
    <xf numFmtId="0" fontId="6" fillId="2" borderId="0" xfId="0" applyFont="1" applyFill="1" applyAlignment="1">
      <alignment horizontal="center" vertical="center" wrapText="1"/>
    </xf>
    <xf numFmtId="0" fontId="4" fillId="0" borderId="0" xfId="0" applyFont="1"/>
    <xf numFmtId="0" fontId="7" fillId="0" borderId="0" xfId="0" applyFont="1"/>
    <xf numFmtId="164" fontId="7" fillId="0" borderId="0" xfId="0" applyNumberFormat="1" applyFont="1"/>
    <xf numFmtId="164" fontId="0" fillId="0" borderId="0" xfId="0" applyNumberFormat="1"/>
    <xf numFmtId="0" fontId="4" fillId="3" borderId="0" xfId="0" applyFont="1" applyFill="1"/>
    <xf numFmtId="3" fontId="5" fillId="0" borderId="0" xfId="0" applyNumberFormat="1" applyFont="1"/>
    <xf numFmtId="0" fontId="4" fillId="4" borderId="0" xfId="0" applyFont="1" applyFill="1"/>
    <xf numFmtId="0" fontId="8" fillId="0" borderId="0" xfId="0" applyFont="1"/>
    <xf numFmtId="2" fontId="8" fillId="0" borderId="0" xfId="0" applyNumberFormat="1" applyFont="1"/>
    <xf numFmtId="3" fontId="8" fillId="0" borderId="0" xfId="0" applyNumberFormat="1" applyFont="1"/>
    <xf numFmtId="1" fontId="8" fillId="0" borderId="0" xfId="0" applyNumberFormat="1" applyFont="1"/>
    <xf numFmtId="164" fontId="8" fillId="0" borderId="0" xfId="0" applyNumberFormat="1" applyFont="1"/>
    <xf numFmtId="3" fontId="4" fillId="0" borderId="0" xfId="0" applyNumberFormat="1" applyFont="1"/>
    <xf numFmtId="3" fontId="7" fillId="0" borderId="0" xfId="0" applyNumberFormat="1" applyFont="1"/>
    <xf numFmtId="3" fontId="0" fillId="0" borderId="0" xfId="0" applyNumberFormat="1"/>
    <xf numFmtId="0" fontId="6" fillId="2" borderId="0" xfId="0" applyFont="1" applyFill="1" applyAlignment="1">
      <alignment horizontal="center"/>
    </xf>
    <xf numFmtId="0" fontId="8" fillId="3" borderId="0" xfId="0" applyFont="1" applyFill="1"/>
    <xf numFmtId="0" fontId="9" fillId="3" borderId="0" xfId="0" applyFont="1" applyFill="1"/>
    <xf numFmtId="0" fontId="5" fillId="3" borderId="0" xfId="0" applyFont="1" applyFill="1"/>
    <xf numFmtId="165" fontId="4" fillId="3" borderId="0" xfId="0" applyNumberFormat="1" applyFont="1" applyFill="1"/>
    <xf numFmtId="165" fontId="4" fillId="0" borderId="0" xfId="0" applyNumberFormat="1" applyFont="1"/>
    <xf numFmtId="0" fontId="8" fillId="4" borderId="0" xfId="0" applyFont="1" applyFill="1"/>
    <xf numFmtId="0" fontId="9" fillId="4" borderId="0" xfId="0" applyFont="1" applyFill="1"/>
    <xf numFmtId="0" fontId="5" fillId="4" borderId="0" xfId="0" applyFont="1" applyFill="1"/>
    <xf numFmtId="165" fontId="4" fillId="4" borderId="0" xfId="0" applyNumberFormat="1" applyFont="1" applyFill="1"/>
    <xf numFmtId="0" fontId="10" fillId="0" borderId="0" xfId="0" applyFont="1" applyAlignment="1">
      <alignment horizontal="center"/>
    </xf>
    <xf numFmtId="166" fontId="4" fillId="0" borderId="0" xfId="0" applyNumberFormat="1" applyFont="1"/>
    <xf numFmtId="167" fontId="4" fillId="0" borderId="0" xfId="0" applyNumberFormat="1" applyFont="1"/>
    <xf numFmtId="167" fontId="5" fillId="0" borderId="0" xfId="0" applyNumberFormat="1" applyFont="1"/>
    <xf numFmtId="17" fontId="4" fillId="0" borderId="0" xfId="0" applyNumberFormat="1" applyFont="1"/>
    <xf numFmtId="0" fontId="1" fillId="0" borderId="0" xfId="0" applyFont="1"/>
    <xf numFmtId="0" fontId="6" fillId="2" borderId="0" xfId="0" applyFont="1" applyFill="1" applyAlignment="1">
      <alignment horizontal="center" vertical="center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4" fillId="3" borderId="0" xfId="0" applyFont="1" applyFill="1" applyAlignment="1">
      <alignment vertical="center" wrapText="1"/>
    </xf>
    <xf numFmtId="0" fontId="7" fillId="3" borderId="0" xfId="0" applyFont="1" applyFill="1" applyAlignment="1">
      <alignment vertical="center" wrapText="1"/>
    </xf>
    <xf numFmtId="0" fontId="0" fillId="3" borderId="0" xfId="0" applyFill="1" applyAlignment="1">
      <alignment vertical="center" wrapText="1"/>
    </xf>
    <xf numFmtId="0" fontId="0" fillId="3" borderId="0" xfId="0" applyFill="1" applyAlignment="1">
      <alignment vertical="center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2" fontId="4" fillId="0" borderId="0" xfId="0" applyNumberFormat="1" applyFont="1" applyAlignment="1">
      <alignment vertical="center" wrapText="1"/>
    </xf>
    <xf numFmtId="3" fontId="5" fillId="0" borderId="0" xfId="0" applyNumberFormat="1" applyFont="1" applyAlignment="1">
      <alignment vertical="center"/>
    </xf>
    <xf numFmtId="0" fontId="5" fillId="0" borderId="0" xfId="0" applyFont="1" applyAlignment="1">
      <alignment vertical="center"/>
    </xf>
    <xf numFmtId="0" fontId="4" fillId="4" borderId="0" xfId="0" applyFont="1" applyFill="1" applyAlignment="1">
      <alignment vertical="center" wrapText="1"/>
    </xf>
    <xf numFmtId="0" fontId="7" fillId="4" borderId="0" xfId="0" applyFont="1" applyFill="1" applyAlignment="1">
      <alignment vertical="center" wrapText="1"/>
    </xf>
    <xf numFmtId="0" fontId="0" fillId="4" borderId="0" xfId="0" applyFill="1" applyAlignment="1">
      <alignment vertical="center" wrapText="1"/>
    </xf>
    <xf numFmtId="0" fontId="0" fillId="4" borderId="0" xfId="0" applyFill="1" applyAlignment="1">
      <alignment vertical="center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6">
    <dxf>
      <fill>
        <patternFill>
          <bgColor rgb="FFFFF2A8"/>
        </patternFill>
      </fill>
    </dxf>
    <dxf>
      <fill>
        <patternFill>
          <bgColor rgb="FF808080"/>
        </patternFill>
      </fill>
    </dxf>
    <dxf>
      <fill>
        <patternFill>
          <bgColor rgb="FF2E75B6"/>
        </patternFill>
      </fill>
    </dxf>
    <dxf>
      <fill>
        <patternFill>
          <bgColor rgb="FFC00000"/>
        </patternFill>
      </fill>
    </dxf>
    <dxf>
      <fill>
        <patternFill>
          <bgColor rgb="FFFFF2CC"/>
        </patternFill>
      </fill>
    </dxf>
    <dxf>
      <fill>
        <patternFill>
          <bgColor rgb="FFFDE9E9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4F81BD"/>
      <rgbColor rgb="FFC0C0C0"/>
      <rgbColor rgb="FF808080"/>
      <rgbColor rgb="FF9999FF"/>
      <rgbColor rgb="FFBE4B48"/>
      <rgbColor rgb="FFFFF2CC"/>
      <rgbColor rgb="FFEDEDED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9E2F1"/>
      <rgbColor rgb="FFFDE9E9"/>
      <rgbColor rgb="FFFFF2A8"/>
      <rgbColor rgb="FF99CCFF"/>
      <rgbColor rgb="FFFF99CC"/>
      <rgbColor rgb="FFCC99FF"/>
      <rgbColor rgb="FFFFCC99"/>
      <rgbColor rgb="FF2E75B6"/>
      <rgbColor rgb="FF33CCCC"/>
      <rgbColor rgb="FF99CC00"/>
      <rgbColor rgb="FFFFCC00"/>
      <rgbColor rgb="FFFF9900"/>
      <rgbColor rgb="FFFF6600"/>
      <rgbColor rgb="FF666666"/>
      <rgbColor rgb="FF878787"/>
      <rgbColor rgb="FF003366"/>
      <rgbColor rgb="FF4A7EBB"/>
      <rgbColor rgb="FF003300"/>
      <rgbColor rgb="FF333300"/>
      <rgbColor rgb="FF993300"/>
      <rgbColor rgb="FF993366"/>
      <rgbColor rgb="FF1F4E7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microsoft.com/office/2017/10/relationships/person" Target="persons/perso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20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c:style val="2"/>
  <c:chart>
    <c:title>
      <c:tx>
        <c:rich>
          <a:bodyPr rot="0"/>
          <a:lstStyle/>
          <a:p>
            <a:pPr>
              <a:defRPr sz="1300" b="0" u="none" strike="noStrike">
                <a:uFillTx/>
                <a:latin typeface="Arial"/>
              </a:defRPr>
            </a:pPr>
            <a:r>
              <a:rPr lang="es-CO" sz="1800" b="1" u="none" strike="noStrike">
                <a:solidFill>
                  <a:srgbClr val="000000"/>
                </a:solidFill>
                <a:uFillTx/>
                <a:latin typeface="Calibri"/>
              </a:rPr>
              <a:t>Costo asignado por fase (COP)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'5. Resumen-Validacion'!$G$17</c:f>
              <c:strCache>
                <c:ptCount val="1"/>
                <c:pt idx="0">
                  <c:v>Costo asignado (COP)</c:v>
                </c:pt>
              </c:strCache>
            </c:strRef>
          </c:tx>
          <c:spPr>
            <a:solidFill>
              <a:srgbClr val="4F81BD"/>
            </a:solidFill>
            <a:ln w="1260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u="none" strike="noStrike">
                    <a:uFillTx/>
                    <a:latin typeface="Arial"/>
                  </a:defRPr>
                </a:pPr>
                <a:endParaRPr lang="es-CO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0">
                      <a:solidFill>
                        <a:srgbClr val="000000"/>
                      </a:solidFill>
                    </a:ln>
                  </c:spPr>
                </c15:leaderLines>
              </c:ext>
            </c:extLst>
          </c:dLbls>
          <c:cat>
            <c:strRef>
              <c:f>'5. Resumen-Validacion'!$A$18:$A$21</c:f>
              <c:strCache>
                <c:ptCount val="4"/>
                <c:pt idx="0">
                  <c:v>1-Requisitos/Gestion</c:v>
                </c:pt>
                <c:pt idx="1">
                  <c:v>2-Estudios y Disenos</c:v>
                </c:pt>
                <c:pt idx="2">
                  <c:v>3-Construccion</c:v>
                </c:pt>
                <c:pt idx="3">
                  <c:v>4-Liquidacion</c:v>
                </c:pt>
              </c:strCache>
            </c:strRef>
          </c:cat>
          <c:val>
            <c:numRef>
              <c:f>'5. Resumen-Validacion'!$G$18:$G$21</c:f>
              <c:numCache>
                <c:formatCode>#,##0</c:formatCode>
                <c:ptCount val="4"/>
                <c:pt idx="0">
                  <c:v>807018994</c:v>
                </c:pt>
                <c:pt idx="1">
                  <c:v>873768764</c:v>
                </c:pt>
                <c:pt idx="2">
                  <c:v>10197470837</c:v>
                </c:pt>
                <c:pt idx="3">
                  <c:v>456642970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F96-4AE6-AC25-7DE63BF330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2812307"/>
        <c:axId val="99521727"/>
      </c:barChart>
      <c:catAx>
        <c:axId val="6281230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u="none" strike="noStrike">
                <a:solidFill>
                  <a:srgbClr val="000000"/>
                </a:solidFill>
                <a:uFillTx/>
                <a:latin typeface="Calibri"/>
              </a:defRPr>
            </a:pPr>
            <a:endParaRPr lang="es-CO"/>
          </a:p>
        </c:txPr>
        <c:crossAx val="99521727"/>
        <c:crosses val="autoZero"/>
        <c:auto val="1"/>
        <c:lblAlgn val="ctr"/>
        <c:lblOffset val="100"/>
        <c:noMultiLvlLbl val="0"/>
      </c:catAx>
      <c:valAx>
        <c:axId val="99521727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#,##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u="none" strike="noStrike">
                <a:solidFill>
                  <a:srgbClr val="000000"/>
                </a:solidFill>
                <a:uFillTx/>
                <a:latin typeface="Calibri"/>
              </a:defRPr>
            </a:pPr>
            <a:endParaRPr lang="es-CO"/>
          </a:p>
        </c:txPr>
        <c:crossAx val="62812307"/>
        <c:crosses val="autoZero"/>
        <c:crossBetween val="between"/>
      </c:valAx>
      <c:spPr>
        <a:solidFill>
          <a:srgbClr val="FFFFFF"/>
        </a:solidFill>
        <a:ln w="0">
          <a:noFill/>
        </a:ln>
      </c:spPr>
    </c:plotArea>
    <c:plotVisOnly val="1"/>
    <c:dispBlanksAs val="gap"/>
    <c:showDLblsOverMax val="1"/>
  </c:chart>
  <c:spPr>
    <a:solidFill>
      <a:srgbClr val="FFFFFF"/>
    </a:solidFill>
    <a:ln w="9360">
      <a:solidFill>
        <a:srgbClr val="D9D9D9"/>
      </a:solidFill>
      <a:round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c:style val="2"/>
  <c:chart>
    <c:title>
      <c:tx>
        <c:rich>
          <a:bodyPr rot="0"/>
          <a:lstStyle/>
          <a:p>
            <a:pPr>
              <a:defRPr sz="1300" b="0" u="none" strike="noStrike">
                <a:uFillTx/>
                <a:latin typeface="Arial"/>
              </a:defRPr>
            </a:pPr>
            <a:r>
              <a:rPr lang="es-CO" sz="1800" b="1" u="none" strike="noStrike">
                <a:solidFill>
                  <a:srgbClr val="000000"/>
                </a:solidFill>
                <a:uFillTx/>
                <a:latin typeface="Calibri"/>
              </a:rPr>
              <a:t>Gantt de fases (dias del proyecto) - dinamico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barChart>
        <c:barDir val="bar"/>
        <c:grouping val="stacked"/>
        <c:varyColors val="0"/>
        <c:ser>
          <c:idx val="0"/>
          <c:order val="0"/>
          <c:tx>
            <c:strRef>
              <c:f>'9. Graficos Dinamicos'!$B$41</c:f>
              <c:strCache>
                <c:ptCount val="1"/>
                <c:pt idx="0">
                  <c:v>Dia inicio</c:v>
                </c:pt>
              </c:strCache>
            </c:strRef>
          </c:tx>
          <c:spPr>
            <a:noFill/>
            <a:ln w="1260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u="none" strike="noStrike">
                    <a:uFillTx/>
                    <a:latin typeface="Arial"/>
                  </a:defRPr>
                </a:pPr>
                <a:endParaRPr lang="es-CO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0">
                      <a:solidFill>
                        <a:srgbClr val="000000"/>
                      </a:solidFill>
                    </a:ln>
                  </c:spPr>
                </c15:leaderLines>
              </c:ext>
            </c:extLst>
          </c:dLbls>
          <c:cat>
            <c:strRef>
              <c:f>'9. Graficos Dinamicos'!$A$42:$A$45</c:f>
              <c:strCache>
                <c:ptCount val="4"/>
                <c:pt idx="0">
                  <c:v>F1 Requisitos y Gestion</c:v>
                </c:pt>
                <c:pt idx="1">
                  <c:v>F2 Estudios y Disenos</c:v>
                </c:pt>
                <c:pt idx="2">
                  <c:v>F3 Construccion</c:v>
                </c:pt>
                <c:pt idx="3">
                  <c:v>F4 Liquidacion y Cierre</c:v>
                </c:pt>
              </c:strCache>
            </c:strRef>
          </c:cat>
          <c:val>
            <c:numRef>
              <c:f>'9. Graficos Dinamicos'!$B$42:$B$45</c:f>
              <c:numCache>
                <c:formatCode>General</c:formatCode>
                <c:ptCount val="4"/>
                <c:pt idx="0">
                  <c:v>0</c:v>
                </c:pt>
                <c:pt idx="1">
                  <c:v>90</c:v>
                </c:pt>
                <c:pt idx="2">
                  <c:v>270</c:v>
                </c:pt>
                <c:pt idx="3">
                  <c:v>570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D69-458C-869C-705E44097FE2}"/>
            </c:ext>
          </c:extLst>
        </c:ser>
        <c:ser>
          <c:idx val="1"/>
          <c:order val="1"/>
          <c:tx>
            <c:strRef>
              <c:f>'9. Graficos Dinamicos'!$C$41</c:f>
              <c:strCache>
                <c:ptCount val="1"/>
                <c:pt idx="0">
                  <c:v>Duracion (d)</c:v>
                </c:pt>
              </c:strCache>
            </c:strRef>
          </c:tx>
          <c:spPr>
            <a:solidFill>
              <a:srgbClr val="2E75B6"/>
            </a:solidFill>
            <a:ln w="1260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u="none" strike="noStrike">
                    <a:uFillTx/>
                    <a:latin typeface="Arial"/>
                  </a:defRPr>
                </a:pPr>
                <a:endParaRPr lang="es-CO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0">
                      <a:solidFill>
                        <a:srgbClr val="000000"/>
                      </a:solidFill>
                    </a:ln>
                  </c:spPr>
                </c15:leaderLines>
              </c:ext>
            </c:extLst>
          </c:dLbls>
          <c:cat>
            <c:strRef>
              <c:f>'9. Graficos Dinamicos'!$A$42:$A$45</c:f>
              <c:strCache>
                <c:ptCount val="4"/>
                <c:pt idx="0">
                  <c:v>F1 Requisitos y Gestion</c:v>
                </c:pt>
                <c:pt idx="1">
                  <c:v>F2 Estudios y Disenos</c:v>
                </c:pt>
                <c:pt idx="2">
                  <c:v>F3 Construccion</c:v>
                </c:pt>
                <c:pt idx="3">
                  <c:v>F4 Liquidacion y Cierre</c:v>
                </c:pt>
              </c:strCache>
            </c:strRef>
          </c:cat>
          <c:val>
            <c:numRef>
              <c:f>'9. Graficos Dinamicos'!$C$42:$C$45</c:f>
              <c:numCache>
                <c:formatCode>General</c:formatCode>
                <c:ptCount val="4"/>
                <c:pt idx="0">
                  <c:v>90</c:v>
                </c:pt>
                <c:pt idx="1">
                  <c:v>180</c:v>
                </c:pt>
                <c:pt idx="2">
                  <c:v>300</c:v>
                </c:pt>
                <c:pt idx="3">
                  <c:v>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D69-458C-869C-705E44097F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88154533"/>
        <c:axId val="81530892"/>
      </c:barChart>
      <c:catAx>
        <c:axId val="88154533"/>
        <c:scaling>
          <c:orientation val="minMax"/>
        </c:scaling>
        <c:delete val="0"/>
        <c:axPos val="r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u="none" strike="noStrike">
                <a:solidFill>
                  <a:srgbClr val="000000"/>
                </a:solidFill>
                <a:uFillTx/>
                <a:latin typeface="Calibri"/>
              </a:defRPr>
            </a:pPr>
            <a:endParaRPr lang="es-CO"/>
          </a:p>
        </c:txPr>
        <c:crossAx val="81530892"/>
        <c:crosses val="autoZero"/>
        <c:auto val="1"/>
        <c:lblAlgn val="ctr"/>
        <c:lblOffset val="100"/>
        <c:noMultiLvlLbl val="0"/>
      </c:catAx>
      <c:valAx>
        <c:axId val="81530892"/>
        <c:scaling>
          <c:orientation val="maxMin"/>
        </c:scaling>
        <c:delete val="0"/>
        <c:axPos val="b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u="none" strike="noStrike">
                <a:solidFill>
                  <a:srgbClr val="000000"/>
                </a:solidFill>
                <a:uFillTx/>
                <a:latin typeface="Calibri"/>
              </a:defRPr>
            </a:pPr>
            <a:endParaRPr lang="es-CO"/>
          </a:p>
        </c:txPr>
        <c:crossAx val="88154533"/>
        <c:crosses val="autoZero"/>
        <c:crossBetween val="between"/>
      </c:valAx>
      <c:spPr>
        <a:solidFill>
          <a:srgbClr val="FFFFFF"/>
        </a:solidFill>
        <a:ln w="0">
          <a:noFill/>
        </a:ln>
      </c:spPr>
    </c:plotArea>
    <c:plotVisOnly val="1"/>
    <c:dispBlanksAs val="gap"/>
    <c:showDLblsOverMax val="1"/>
  </c:chart>
  <c:spPr>
    <a:solidFill>
      <a:srgbClr val="FFFFFF"/>
    </a:solidFill>
    <a:ln w="9360">
      <a:solidFill>
        <a:srgbClr val="D9D9D9"/>
      </a:solidFill>
      <a:round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c:style val="2"/>
  <c:chart>
    <c:title>
      <c:tx>
        <c:rich>
          <a:bodyPr rot="0"/>
          <a:lstStyle/>
          <a:p>
            <a:pPr>
              <a:defRPr sz="1300" b="0" u="none" strike="noStrike">
                <a:uFillTx/>
                <a:latin typeface="Arial"/>
              </a:defRPr>
            </a:pPr>
            <a:r>
              <a:rPr lang="es-CO" sz="1800" b="1" u="none" strike="noStrike">
                <a:solidFill>
                  <a:srgbClr val="000000"/>
                </a:solidFill>
                <a:uFillTx/>
                <a:latin typeface="Calibri"/>
              </a:rPr>
              <a:t>Curva S - costo acumulado programado (COP)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12600">
              <a:solidFill>
                <a:srgbClr val="4A7EBB"/>
              </a:solidFill>
              <a:round/>
            </a:ln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u="none" strike="noStrike">
                    <a:uFillTx/>
                    <a:latin typeface="Arial"/>
                  </a:defRPr>
                </a:pPr>
                <a:endParaRPr lang="es-CO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12600">
                      <a:solidFill>
                        <a:srgbClr val="000000"/>
                      </a:solidFill>
                    </a:ln>
                  </c:spPr>
                </c15:leaderLines>
              </c:ext>
            </c:extLst>
          </c:dLbls>
          <c:cat>
            <c:numRef>
              <c:f>'8. Cronograma Gantt'!$M$4:$AG$4</c:f>
              <c:numCache>
                <c:formatCode>General</c:formatCode>
                <c:ptCount val="2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</c:numCache>
            </c:numRef>
          </c:cat>
          <c:val>
            <c:numRef>
              <c:f>'8. Cronograma Gantt'!$M$212:$AG$212</c:f>
              <c:numCache>
                <c:formatCode>#,##0,,\M</c:formatCode>
                <c:ptCount val="21"/>
                <c:pt idx="0">
                  <c:v>296722953.32379681</c:v>
                </c:pt>
                <c:pt idx="1">
                  <c:v>645601749.07396603</c:v>
                </c:pt>
                <c:pt idx="2">
                  <c:v>807018994</c:v>
                </c:pt>
                <c:pt idx="3">
                  <c:v>897394767.81781375</c:v>
                </c:pt>
                <c:pt idx="4">
                  <c:v>1009240382.2105263</c:v>
                </c:pt>
                <c:pt idx="5">
                  <c:v>1145110424.75</c:v>
                </c:pt>
                <c:pt idx="6">
                  <c:v>1413285228.7033494</c:v>
                </c:pt>
                <c:pt idx="7">
                  <c:v>1573213211.7</c:v>
                </c:pt>
                <c:pt idx="8">
                  <c:v>1680787758</c:v>
                </c:pt>
                <c:pt idx="9">
                  <c:v>2327237038.4285717</c:v>
                </c:pt>
                <c:pt idx="10">
                  <c:v>3170376215.524138</c:v>
                </c:pt>
                <c:pt idx="11">
                  <c:v>4195601151.5540404</c:v>
                </c:pt>
                <c:pt idx="12">
                  <c:v>5176819262.7636366</c:v>
                </c:pt>
                <c:pt idx="13">
                  <c:v>5580398775.333334</c:v>
                </c:pt>
                <c:pt idx="14">
                  <c:v>6783967584.6666679</c:v>
                </c:pt>
                <c:pt idx="15">
                  <c:v>8690059521.3000011</c:v>
                </c:pt>
                <c:pt idx="16">
                  <c:v>10417836184.866669</c:v>
                </c:pt>
                <c:pt idx="17">
                  <c:v>11456250121.666668</c:v>
                </c:pt>
                <c:pt idx="18">
                  <c:v>11878258595.000002</c:v>
                </c:pt>
                <c:pt idx="19">
                  <c:v>12144340941.200003</c:v>
                </c:pt>
                <c:pt idx="20">
                  <c:v>12334901565.000002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7CDD-43A4-ABAF-E85CC598A2B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hiLowLines>
          <c:spPr>
            <a:ln w="0">
              <a:noFill/>
            </a:ln>
          </c:spPr>
        </c:hiLowLines>
        <c:smooth val="0"/>
        <c:axId val="20842162"/>
        <c:axId val="44902287"/>
      </c:lineChart>
      <c:catAx>
        <c:axId val="2084216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u="none" strike="noStrike">
                <a:solidFill>
                  <a:srgbClr val="000000"/>
                </a:solidFill>
                <a:uFillTx/>
                <a:latin typeface="Calibri"/>
              </a:defRPr>
            </a:pPr>
            <a:endParaRPr lang="es-CO"/>
          </a:p>
        </c:txPr>
        <c:crossAx val="44902287"/>
        <c:crosses val="autoZero"/>
        <c:auto val="1"/>
        <c:lblAlgn val="ctr"/>
        <c:lblOffset val="100"/>
        <c:noMultiLvlLbl val="0"/>
      </c:catAx>
      <c:valAx>
        <c:axId val="44902287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#,##0,,\M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u="none" strike="noStrike">
                <a:solidFill>
                  <a:srgbClr val="000000"/>
                </a:solidFill>
                <a:uFillTx/>
                <a:latin typeface="Calibri"/>
              </a:defRPr>
            </a:pPr>
            <a:endParaRPr lang="es-CO"/>
          </a:p>
        </c:txPr>
        <c:crossAx val="20842162"/>
        <c:crosses val="autoZero"/>
        <c:crossBetween val="between"/>
      </c:valAx>
      <c:spPr>
        <a:solidFill>
          <a:srgbClr val="FFFFFF"/>
        </a:solidFill>
        <a:ln w="0">
          <a:noFill/>
        </a:ln>
      </c:spPr>
    </c:plotArea>
    <c:plotVisOnly val="1"/>
    <c:dispBlanksAs val="gap"/>
    <c:showDLblsOverMax val="1"/>
  </c:chart>
  <c:spPr>
    <a:solidFill>
      <a:srgbClr val="FFFFFF"/>
    </a:solidFill>
    <a:ln w="9360">
      <a:solidFill>
        <a:srgbClr val="D9D9D9"/>
      </a:solidFill>
      <a:round/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c:style val="2"/>
  <c:chart>
    <c:title>
      <c:tx>
        <c:rich>
          <a:bodyPr rot="0"/>
          <a:lstStyle/>
          <a:p>
            <a:pPr>
              <a:defRPr sz="1300" b="0" u="none" strike="noStrike">
                <a:uFillTx/>
                <a:latin typeface="Arial"/>
              </a:defRPr>
            </a:pPr>
            <a:r>
              <a:rPr lang="es-CO" sz="1800" b="1" u="none" strike="noStrike">
                <a:solidFill>
                  <a:srgbClr val="000000"/>
                </a:solidFill>
                <a:uFillTx/>
                <a:latin typeface="Calibri"/>
              </a:rPr>
              <a:t>Costo asignado por fase (COP)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'5. Resumen-Validacion'!$G$17</c:f>
              <c:strCache>
                <c:ptCount val="1"/>
                <c:pt idx="0">
                  <c:v>Costo asignado (COP)</c:v>
                </c:pt>
              </c:strCache>
            </c:strRef>
          </c:tx>
          <c:spPr>
            <a:solidFill>
              <a:srgbClr val="4F81BD"/>
            </a:solidFill>
            <a:ln w="1260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u="none" strike="noStrike">
                    <a:uFillTx/>
                    <a:latin typeface="Arial"/>
                  </a:defRPr>
                </a:pPr>
                <a:endParaRPr lang="es-CO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0">
                      <a:solidFill>
                        <a:srgbClr val="000000"/>
                      </a:solidFill>
                    </a:ln>
                  </c:spPr>
                </c15:leaderLines>
              </c:ext>
            </c:extLst>
          </c:dLbls>
          <c:cat>
            <c:strRef>
              <c:f>'5. Resumen-Validacion'!$A$18:$A$21</c:f>
              <c:strCache>
                <c:ptCount val="4"/>
                <c:pt idx="0">
                  <c:v>1-Requisitos/Gestion</c:v>
                </c:pt>
                <c:pt idx="1">
                  <c:v>2-Estudios y Disenos</c:v>
                </c:pt>
                <c:pt idx="2">
                  <c:v>3-Construccion</c:v>
                </c:pt>
                <c:pt idx="3">
                  <c:v>4-Liquidacion</c:v>
                </c:pt>
              </c:strCache>
            </c:strRef>
          </c:cat>
          <c:val>
            <c:numRef>
              <c:f>'5. Resumen-Validacion'!$G$18:$G$21</c:f>
              <c:numCache>
                <c:formatCode>#,##0</c:formatCode>
                <c:ptCount val="4"/>
                <c:pt idx="0">
                  <c:v>807018994</c:v>
                </c:pt>
                <c:pt idx="1">
                  <c:v>873768764</c:v>
                </c:pt>
                <c:pt idx="2">
                  <c:v>10197470837</c:v>
                </c:pt>
                <c:pt idx="3">
                  <c:v>456642970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F3F-4F9D-BC1C-A2113CD1C14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174958"/>
        <c:axId val="54310690"/>
      </c:barChart>
      <c:catAx>
        <c:axId val="5217495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u="none" strike="noStrike">
                <a:solidFill>
                  <a:srgbClr val="000000"/>
                </a:solidFill>
                <a:uFillTx/>
                <a:latin typeface="Calibri"/>
              </a:defRPr>
            </a:pPr>
            <a:endParaRPr lang="es-CO"/>
          </a:p>
        </c:txPr>
        <c:crossAx val="54310690"/>
        <c:crosses val="autoZero"/>
        <c:auto val="1"/>
        <c:lblAlgn val="ctr"/>
        <c:lblOffset val="100"/>
        <c:noMultiLvlLbl val="0"/>
      </c:catAx>
      <c:valAx>
        <c:axId val="54310690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#,##0,,\M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u="none" strike="noStrike">
                <a:solidFill>
                  <a:srgbClr val="000000"/>
                </a:solidFill>
                <a:uFillTx/>
                <a:latin typeface="Calibri"/>
              </a:defRPr>
            </a:pPr>
            <a:endParaRPr lang="es-CO"/>
          </a:p>
        </c:txPr>
        <c:crossAx val="52174958"/>
        <c:crosses val="autoZero"/>
        <c:crossBetween val="between"/>
      </c:valAx>
      <c:spPr>
        <a:solidFill>
          <a:srgbClr val="FFFFFF"/>
        </a:solidFill>
        <a:ln w="0">
          <a:noFill/>
        </a:ln>
      </c:spPr>
    </c:plotArea>
    <c:plotVisOnly val="1"/>
    <c:dispBlanksAs val="gap"/>
    <c:showDLblsOverMax val="1"/>
  </c:chart>
  <c:spPr>
    <a:solidFill>
      <a:srgbClr val="FFFFFF"/>
    </a:solidFill>
    <a:ln w="9360">
      <a:solidFill>
        <a:srgbClr val="D9D9D9"/>
      </a:solidFill>
      <a:round/>
    </a:ln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c:style val="2"/>
  <c:chart>
    <c:title>
      <c:tx>
        <c:rich>
          <a:bodyPr rot="0"/>
          <a:lstStyle/>
          <a:p>
            <a:pPr>
              <a:defRPr sz="1300" b="0" u="none" strike="noStrike">
                <a:uFillTx/>
                <a:latin typeface="Arial"/>
              </a:defRPr>
            </a:pPr>
            <a:r>
              <a:rPr lang="es-CO" sz="1800" b="1" u="none" strike="noStrike">
                <a:solidFill>
                  <a:srgbClr val="000000"/>
                </a:solidFill>
                <a:uFillTx/>
                <a:latin typeface="Calibri"/>
              </a:rPr>
              <a:t>Flujo de caja: desembolso mensual y acumulado (COP)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'11. Flujo de Caja'!$E$10</c:f>
              <c:strCache>
                <c:ptCount val="1"/>
                <c:pt idx="0">
                  <c:v>Desembolso IDU del mes (COP)</c:v>
                </c:pt>
              </c:strCache>
            </c:strRef>
          </c:tx>
          <c:spPr>
            <a:solidFill>
              <a:srgbClr val="4F81BD"/>
            </a:solidFill>
            <a:ln w="1260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u="none" strike="noStrike">
                    <a:uFillTx/>
                    <a:latin typeface="Arial"/>
                  </a:defRPr>
                </a:pPr>
                <a:endParaRPr lang="es-CO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0">
                      <a:solidFill>
                        <a:srgbClr val="000000"/>
                      </a:solidFill>
                    </a:ln>
                  </c:spPr>
                </c15:leaderLines>
              </c:ext>
            </c:extLst>
          </c:dLbls>
          <c:cat>
            <c:numRef>
              <c:f>'11. Flujo de Caja'!$A$11:$A$33</c:f>
              <c:numCache>
                <c:formatCode>General</c:formatCode>
                <c:ptCount val="2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</c:numCache>
            </c:numRef>
          </c:cat>
          <c:val>
            <c:numRef>
              <c:f>'11. Flujo de Caja'!$E$11:$E$33</c:f>
              <c:numCache>
                <c:formatCode>#,##0</c:formatCode>
                <c:ptCount val="23"/>
                <c:pt idx="0">
                  <c:v>0</c:v>
                </c:pt>
                <c:pt idx="1">
                  <c:v>0</c:v>
                </c:pt>
                <c:pt idx="2">
                  <c:v>296722953.32379681</c:v>
                </c:pt>
                <c:pt idx="3">
                  <c:v>348878795.75016928</c:v>
                </c:pt>
                <c:pt idx="4">
                  <c:v>161417244.92603397</c:v>
                </c:pt>
                <c:pt idx="5">
                  <c:v>90375773.817813769</c:v>
                </c:pt>
                <c:pt idx="6">
                  <c:v>111845614.39271255</c:v>
                </c:pt>
                <c:pt idx="7">
                  <c:v>135870042.53947368</c:v>
                </c:pt>
                <c:pt idx="8">
                  <c:v>268174803.95334929</c:v>
                </c:pt>
                <c:pt idx="9">
                  <c:v>159927982.9966507</c:v>
                </c:pt>
                <c:pt idx="10">
                  <c:v>107574546.3</c:v>
                </c:pt>
                <c:pt idx="11">
                  <c:v>646449280.42857146</c:v>
                </c:pt>
                <c:pt idx="12">
                  <c:v>843139177.09556639</c:v>
                </c:pt>
                <c:pt idx="13">
                  <c:v>1025224936.0299023</c:v>
                </c:pt>
                <c:pt idx="14">
                  <c:v>981218111.20959592</c:v>
                </c:pt>
                <c:pt idx="15">
                  <c:v>403579512.56969696</c:v>
                </c:pt>
                <c:pt idx="16">
                  <c:v>1203568809.3333335</c:v>
                </c:pt>
                <c:pt idx="17">
                  <c:v>1906091936.6333334</c:v>
                </c:pt>
                <c:pt idx="18">
                  <c:v>1727776663.5666668</c:v>
                </c:pt>
                <c:pt idx="19">
                  <c:v>1038413936.8</c:v>
                </c:pt>
                <c:pt idx="20">
                  <c:v>422008473.33333337</c:v>
                </c:pt>
                <c:pt idx="21">
                  <c:v>266082346.19999999</c:v>
                </c:pt>
                <c:pt idx="22">
                  <c:v>190560623.80000001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897-4A75-9DCF-97134071B94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1393389"/>
        <c:axId val="42679122"/>
      </c:barChart>
      <c:lineChart>
        <c:grouping val="standard"/>
        <c:varyColors val="0"/>
        <c:ser>
          <c:idx val="1"/>
          <c:order val="1"/>
          <c:tx>
            <c:strRef>
              <c:f>'11. Flujo de Caja'!$F$10</c:f>
              <c:strCache>
                <c:ptCount val="1"/>
                <c:pt idx="0">
                  <c:v>Desembolso acumulado (COP)</c:v>
                </c:pt>
              </c:strCache>
            </c:strRef>
          </c:tx>
          <c:spPr>
            <a:ln w="12600">
              <a:solidFill>
                <a:srgbClr val="BE4B48"/>
              </a:solidFill>
              <a:round/>
            </a:ln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u="none" strike="noStrike">
                    <a:uFillTx/>
                    <a:latin typeface="Arial"/>
                  </a:defRPr>
                </a:pPr>
                <a:endParaRPr lang="es-CO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12600">
                      <a:solidFill>
                        <a:srgbClr val="000000"/>
                      </a:solidFill>
                    </a:ln>
                  </c:spPr>
                </c15:leaderLines>
              </c:ext>
            </c:extLst>
          </c:dLbls>
          <c:cat>
            <c:numRef>
              <c:f>'11. Flujo de Caja'!$A$11:$A$33</c:f>
              <c:numCache>
                <c:formatCode>General</c:formatCode>
                <c:ptCount val="2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</c:numCache>
            </c:numRef>
          </c:cat>
          <c:val>
            <c:numRef>
              <c:f>'11. Flujo de Caja'!$F$11:$F$33</c:f>
              <c:numCache>
                <c:formatCode>#,##0</c:formatCode>
                <c:ptCount val="23"/>
                <c:pt idx="0">
                  <c:v>0</c:v>
                </c:pt>
                <c:pt idx="1">
                  <c:v>0</c:v>
                </c:pt>
                <c:pt idx="2">
                  <c:v>296722953.32379681</c:v>
                </c:pt>
                <c:pt idx="3">
                  <c:v>645601749.07396603</c:v>
                </c:pt>
                <c:pt idx="4">
                  <c:v>807018994</c:v>
                </c:pt>
                <c:pt idx="5">
                  <c:v>897394767.81781375</c:v>
                </c:pt>
                <c:pt idx="6">
                  <c:v>1009240382.2105263</c:v>
                </c:pt>
                <c:pt idx="7">
                  <c:v>1145110424.75</c:v>
                </c:pt>
                <c:pt idx="8">
                  <c:v>1413285228.7033494</c:v>
                </c:pt>
                <c:pt idx="9">
                  <c:v>1573213211.7</c:v>
                </c:pt>
                <c:pt idx="10">
                  <c:v>1680787758</c:v>
                </c:pt>
                <c:pt idx="11">
                  <c:v>2327237038.4285717</c:v>
                </c:pt>
                <c:pt idx="12">
                  <c:v>3170376215.524138</c:v>
                </c:pt>
                <c:pt idx="13">
                  <c:v>4195601151.5540404</c:v>
                </c:pt>
                <c:pt idx="14">
                  <c:v>5176819262.7636366</c:v>
                </c:pt>
                <c:pt idx="15">
                  <c:v>5580398775.333334</c:v>
                </c:pt>
                <c:pt idx="16">
                  <c:v>6783967584.6666679</c:v>
                </c:pt>
                <c:pt idx="17">
                  <c:v>8690059521.3000011</c:v>
                </c:pt>
                <c:pt idx="18">
                  <c:v>10417836184.866669</c:v>
                </c:pt>
                <c:pt idx="19">
                  <c:v>11456250121.666668</c:v>
                </c:pt>
                <c:pt idx="20">
                  <c:v>11878258595.000002</c:v>
                </c:pt>
                <c:pt idx="21">
                  <c:v>12144340941.200003</c:v>
                </c:pt>
                <c:pt idx="22">
                  <c:v>12334901565.000002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F897-4A75-9DCF-97134071B94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hiLowLines>
          <c:spPr>
            <a:ln w="0">
              <a:noFill/>
            </a:ln>
          </c:spPr>
        </c:hiLowLines>
        <c:marker val="1"/>
        <c:smooth val="0"/>
        <c:axId val="24993520"/>
        <c:axId val="48776689"/>
      </c:lineChart>
      <c:catAx>
        <c:axId val="3139338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u="none" strike="noStrike">
                <a:solidFill>
                  <a:srgbClr val="000000"/>
                </a:solidFill>
                <a:uFillTx/>
                <a:latin typeface="Calibri"/>
              </a:defRPr>
            </a:pPr>
            <a:endParaRPr lang="es-CO"/>
          </a:p>
        </c:txPr>
        <c:crossAx val="42679122"/>
        <c:crosses val="autoZero"/>
        <c:auto val="1"/>
        <c:lblAlgn val="ctr"/>
        <c:lblOffset val="100"/>
        <c:noMultiLvlLbl val="0"/>
      </c:catAx>
      <c:valAx>
        <c:axId val="42679122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#,##0,,\M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u="none" strike="noStrike">
                <a:solidFill>
                  <a:srgbClr val="000000"/>
                </a:solidFill>
                <a:uFillTx/>
                <a:latin typeface="Calibri"/>
              </a:defRPr>
            </a:pPr>
            <a:endParaRPr lang="es-CO"/>
          </a:p>
        </c:txPr>
        <c:crossAx val="31393389"/>
        <c:crosses val="autoZero"/>
        <c:crossBetween val="between"/>
      </c:valAx>
      <c:catAx>
        <c:axId val="249935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u="none" strike="noStrike">
                <a:solidFill>
                  <a:srgbClr val="000000"/>
                </a:solidFill>
                <a:uFillTx/>
                <a:latin typeface="Calibri"/>
              </a:defRPr>
            </a:pPr>
            <a:endParaRPr lang="es-CO"/>
          </a:p>
        </c:txPr>
        <c:crossAx val="48776689"/>
        <c:crosses val="autoZero"/>
        <c:auto val="1"/>
        <c:lblAlgn val="ctr"/>
        <c:lblOffset val="100"/>
        <c:noMultiLvlLbl val="0"/>
      </c:catAx>
      <c:valAx>
        <c:axId val="48776689"/>
        <c:scaling>
          <c:orientation val="minMax"/>
        </c:scaling>
        <c:delete val="0"/>
        <c:axPos val="r"/>
        <c:numFmt formatCode="#,##0,,\M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u="none" strike="noStrike">
                <a:solidFill>
                  <a:srgbClr val="000000"/>
                </a:solidFill>
                <a:uFillTx/>
                <a:latin typeface="Calibri"/>
              </a:defRPr>
            </a:pPr>
            <a:endParaRPr lang="es-CO"/>
          </a:p>
        </c:txPr>
        <c:crossAx val="24993520"/>
        <c:crosses val="max"/>
        <c:crossBetween val="between"/>
      </c:valAx>
      <c:spPr>
        <a:solidFill>
          <a:srgbClr val="FFFFFF"/>
        </a:solidFill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sz="1000" b="0" u="none" strike="noStrike">
              <a:solidFill>
                <a:srgbClr val="000000"/>
              </a:solidFill>
              <a:uFillTx/>
              <a:latin typeface="Calibri"/>
            </a:defRPr>
          </a:pPr>
          <a:endParaRPr lang="es-CO"/>
        </a:p>
      </c:txPr>
    </c:legend>
    <c:plotVisOnly val="1"/>
    <c:dispBlanksAs val="gap"/>
    <c:showDLblsOverMax val="1"/>
  </c:chart>
  <c:spPr>
    <a:solidFill>
      <a:srgbClr val="FFFFFF"/>
    </a:solidFill>
    <a:ln w="9360">
      <a:solidFill>
        <a:srgbClr val="D9D9D9"/>
      </a:solidFill>
      <a:round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.xml"/><Relationship Id="rId2" Type="http://schemas.openxmlformats.org/officeDocument/2006/relationships/chart" Target="../charts/chart3.xml"/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24</xdr:row>
      <xdr:rowOff>0</xdr:rowOff>
    </xdr:from>
    <xdr:to>
      <xdr:col>12</xdr:col>
      <xdr:colOff>8640</xdr:colOff>
      <xdr:row>36</xdr:row>
      <xdr:rowOff>121320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0</xdr:rowOff>
    </xdr:from>
    <xdr:to>
      <xdr:col>10</xdr:col>
      <xdr:colOff>114840</xdr:colOff>
      <xdr:row>18</xdr:row>
      <xdr:rowOff>21960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20</xdr:row>
      <xdr:rowOff>0</xdr:rowOff>
    </xdr:from>
    <xdr:to>
      <xdr:col>10</xdr:col>
      <xdr:colOff>114840</xdr:colOff>
      <xdr:row>35</xdr:row>
      <xdr:rowOff>22320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12</xdr:col>
      <xdr:colOff>0</xdr:colOff>
      <xdr:row>3</xdr:row>
      <xdr:rowOff>0</xdr:rowOff>
    </xdr:from>
    <xdr:to>
      <xdr:col>24</xdr:col>
      <xdr:colOff>581400</xdr:colOff>
      <xdr:row>18</xdr:row>
      <xdr:rowOff>21960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3</xdr:row>
      <xdr:rowOff>0</xdr:rowOff>
    </xdr:from>
    <xdr:to>
      <xdr:col>24</xdr:col>
      <xdr:colOff>78480</xdr:colOff>
      <xdr:row>19</xdr:row>
      <xdr:rowOff>79200</xdr:rowOff>
    </xdr:to>
    <xdr:graphicFrame macro="">
      <xdr:nvGraphicFramePr>
        <xdr:cNvPr id="5" name="Chart 1">
          <a:extLst>
            <a:ext uri="{FF2B5EF4-FFF2-40B4-BE49-F238E27FC236}">
              <a16:creationId xmlns:a16="http://schemas.microsoft.com/office/drawing/2014/main" id="{00000000-0008-0000-0C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4"/>
  <sheetViews>
    <sheetView zoomScaleNormal="100" workbookViewId="0"/>
  </sheetViews>
  <sheetFormatPr baseColWidth="10" defaultColWidth="8.7109375" defaultRowHeight="15" x14ac:dyDescent="0.25"/>
  <cols>
    <col min="1" max="1" width="52" customWidth="1"/>
    <col min="2" max="7" width="13" customWidth="1"/>
  </cols>
  <sheetData>
    <row r="1" spans="1:7" ht="16.5" x14ac:dyDescent="0.25">
      <c r="A1" s="1" t="s">
        <v>0</v>
      </c>
    </row>
    <row r="2" spans="1:7" x14ac:dyDescent="0.25">
      <c r="A2" s="2" t="s">
        <v>1</v>
      </c>
    </row>
    <row r="3" spans="1:7" x14ac:dyDescent="0.25">
      <c r="A3" t="s">
        <v>2</v>
      </c>
      <c r="B3" s="3">
        <f>B4-B14+1</f>
        <v>45670</v>
      </c>
    </row>
    <row r="4" spans="1:7" x14ac:dyDescent="0.25">
      <c r="A4" t="s">
        <v>3</v>
      </c>
      <c r="B4" s="4">
        <f>DATE(2026,6,6)</f>
        <v>46179</v>
      </c>
    </row>
    <row r="5" spans="1:7" x14ac:dyDescent="0.25">
      <c r="A5" t="s">
        <v>4</v>
      </c>
      <c r="B5" s="5">
        <v>30</v>
      </c>
    </row>
    <row r="7" spans="1:7" ht="25.5" x14ac:dyDescent="0.25">
      <c r="A7" s="6" t="s">
        <v>5</v>
      </c>
      <c r="B7" s="6" t="s">
        <v>6</v>
      </c>
      <c r="C7" s="6" t="s">
        <v>7</v>
      </c>
      <c r="D7" s="6" t="s">
        <v>8</v>
      </c>
      <c r="E7" s="6" t="s">
        <v>9</v>
      </c>
      <c r="F7" s="6" t="s">
        <v>10</v>
      </c>
      <c r="G7" s="6" t="s">
        <v>11</v>
      </c>
    </row>
    <row r="8" spans="1:7" x14ac:dyDescent="0.25">
      <c r="A8" s="7" t="s">
        <v>12</v>
      </c>
      <c r="B8" s="5">
        <v>3</v>
      </c>
      <c r="C8" s="7">
        <f>B8*$B$5</f>
        <v>90</v>
      </c>
      <c r="D8" s="7">
        <f>0</f>
        <v>0</v>
      </c>
      <c r="E8" s="7">
        <f>D8+C8</f>
        <v>90</v>
      </c>
      <c r="F8" s="3">
        <f>$B$3+D8</f>
        <v>45670</v>
      </c>
      <c r="G8" s="3">
        <f>$B$3+E8-1</f>
        <v>45759</v>
      </c>
    </row>
    <row r="9" spans="1:7" x14ac:dyDescent="0.25">
      <c r="A9" s="7" t="s">
        <v>13</v>
      </c>
      <c r="B9" s="5">
        <v>6</v>
      </c>
      <c r="C9" s="7">
        <f>B9*$B$5</f>
        <v>180</v>
      </c>
      <c r="D9" s="7">
        <f>E8</f>
        <v>90</v>
      </c>
      <c r="E9" s="7">
        <f>D9+C9</f>
        <v>270</v>
      </c>
      <c r="F9" s="3">
        <f>$B$3+D9</f>
        <v>45760</v>
      </c>
      <c r="G9" s="3">
        <f>$B$3+E9-1</f>
        <v>45939</v>
      </c>
    </row>
    <row r="10" spans="1:7" x14ac:dyDescent="0.25">
      <c r="A10" s="7" t="s">
        <v>14</v>
      </c>
      <c r="B10" s="5">
        <v>10</v>
      </c>
      <c r="C10" s="7">
        <f>B10*$B$5</f>
        <v>300</v>
      </c>
      <c r="D10" s="7">
        <f>E9</f>
        <v>270</v>
      </c>
      <c r="E10" s="7">
        <f>D10+C10</f>
        <v>570</v>
      </c>
      <c r="F10" s="3">
        <f>$B$3+D10</f>
        <v>45940</v>
      </c>
      <c r="G10" s="3">
        <f>$B$3+E10-1</f>
        <v>46239</v>
      </c>
    </row>
    <row r="11" spans="1:7" x14ac:dyDescent="0.25">
      <c r="A11" s="7" t="s">
        <v>15</v>
      </c>
      <c r="B11" s="5">
        <v>2</v>
      </c>
      <c r="C11" s="7">
        <f>B11*$B$5</f>
        <v>60</v>
      </c>
      <c r="D11" s="7">
        <f>E10</f>
        <v>570</v>
      </c>
      <c r="E11" s="7">
        <f>D11+C11</f>
        <v>630</v>
      </c>
      <c r="F11" s="3">
        <f>$B$3+D11</f>
        <v>46240</v>
      </c>
      <c r="G11" s="3">
        <f>$B$3+E11-1</f>
        <v>46299</v>
      </c>
    </row>
    <row r="12" spans="1:7" x14ac:dyDescent="0.25">
      <c r="A12" s="8" t="s">
        <v>16</v>
      </c>
      <c r="B12" s="8">
        <f>SUM(B8:B11)</f>
        <v>21</v>
      </c>
      <c r="C12" s="8">
        <f>SUM(C8:C11)</f>
        <v>630</v>
      </c>
      <c r="F12" s="9">
        <f>B3</f>
        <v>45670</v>
      </c>
      <c r="G12" s="9">
        <f>B3+C12-1</f>
        <v>46299</v>
      </c>
    </row>
    <row r="14" spans="1:7" x14ac:dyDescent="0.25">
      <c r="A14" t="s">
        <v>17</v>
      </c>
      <c r="B14" s="7">
        <f>E10-B15</f>
        <v>510</v>
      </c>
    </row>
    <row r="15" spans="1:7" x14ac:dyDescent="0.25">
      <c r="A15" t="s">
        <v>18</v>
      </c>
      <c r="B15" s="5">
        <v>60</v>
      </c>
    </row>
    <row r="16" spans="1:7" x14ac:dyDescent="0.25">
      <c r="A16" t="s">
        <v>19</v>
      </c>
      <c r="B16" s="10">
        <f>B4+B15</f>
        <v>46239</v>
      </c>
    </row>
    <row r="18" spans="1:3" x14ac:dyDescent="0.25">
      <c r="A18" s="8" t="s">
        <v>20</v>
      </c>
    </row>
    <row r="19" spans="1:3" x14ac:dyDescent="0.25">
      <c r="A19" s="7" t="s">
        <v>21</v>
      </c>
      <c r="B19" s="5">
        <v>2.25</v>
      </c>
      <c r="C19" s="2" t="s">
        <v>22</v>
      </c>
    </row>
    <row r="20" spans="1:3" x14ac:dyDescent="0.25">
      <c r="A20" s="7" t="s">
        <v>23</v>
      </c>
      <c r="B20" s="5">
        <v>1.95</v>
      </c>
      <c r="C20" s="2" t="s">
        <v>24</v>
      </c>
    </row>
    <row r="21" spans="1:3" x14ac:dyDescent="0.25">
      <c r="A21" s="7" t="s">
        <v>25</v>
      </c>
      <c r="B21" s="5">
        <v>1.88</v>
      </c>
      <c r="C21" s="2" t="s">
        <v>26</v>
      </c>
    </row>
    <row r="22" spans="1:3" x14ac:dyDescent="0.25">
      <c r="A22" s="7" t="s">
        <v>27</v>
      </c>
      <c r="B22" s="5">
        <v>1.62</v>
      </c>
      <c r="C22" s="2" t="s">
        <v>28</v>
      </c>
    </row>
    <row r="24" spans="1:3" x14ac:dyDescent="0.25">
      <c r="A24" s="2" t="s">
        <v>29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207"/>
  <sheetViews>
    <sheetView tabSelected="1" zoomScaleNormal="100"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A2" sqref="A2"/>
    </sheetView>
  </sheetViews>
  <sheetFormatPr baseColWidth="10" defaultColWidth="8.7109375" defaultRowHeight="15" x14ac:dyDescent="0.25"/>
  <cols>
    <col min="1" max="1" width="11" style="40" customWidth="1"/>
    <col min="2" max="2" width="4" style="40" customWidth="1"/>
    <col min="3" max="3" width="58" style="40" customWidth="1"/>
    <col min="4" max="4" width="21.28515625" style="40" customWidth="1"/>
    <col min="5" max="5" width="26" style="40" customWidth="1"/>
    <col min="6" max="6" width="13" style="40" customWidth="1"/>
    <col min="7" max="7" width="4.5703125" style="40" customWidth="1"/>
    <col min="8" max="10" width="5" style="40" customWidth="1"/>
    <col min="11" max="12" width="7" style="40" customWidth="1"/>
    <col min="13" max="13" width="6" style="40" customWidth="1"/>
    <col min="14" max="14" width="24" style="40" customWidth="1"/>
    <col min="15" max="15" width="50.42578125" style="40" customWidth="1"/>
    <col min="16" max="16" width="14" style="40" customWidth="1"/>
    <col min="17" max="17" width="22" style="40" customWidth="1"/>
    <col min="18" max="16384" width="8.7109375" style="40"/>
  </cols>
  <sheetData>
    <row r="1" spans="1:17" ht="16.5" x14ac:dyDescent="0.25">
      <c r="A1" s="39" t="s">
        <v>1209</v>
      </c>
    </row>
    <row r="2" spans="1:17" x14ac:dyDescent="0.25">
      <c r="A2" s="41" t="s">
        <v>30</v>
      </c>
    </row>
    <row r="3" spans="1:17" x14ac:dyDescent="0.25">
      <c r="A3" s="41" t="s">
        <v>31</v>
      </c>
    </row>
    <row r="4" spans="1:17" ht="25.5" x14ac:dyDescent="0.25">
      <c r="A4" s="6" t="s">
        <v>32</v>
      </c>
      <c r="B4" s="6" t="s">
        <v>33</v>
      </c>
      <c r="C4" s="6" t="s">
        <v>34</v>
      </c>
      <c r="D4" s="6" t="s">
        <v>5</v>
      </c>
      <c r="E4" s="6" t="s">
        <v>35</v>
      </c>
      <c r="F4" s="6" t="s">
        <v>36</v>
      </c>
      <c r="G4" s="6" t="s">
        <v>37</v>
      </c>
      <c r="H4" s="6" t="s">
        <v>38</v>
      </c>
      <c r="I4" s="6" t="s">
        <v>39</v>
      </c>
      <c r="J4" s="6" t="s">
        <v>40</v>
      </c>
      <c r="K4" s="6" t="s">
        <v>41</v>
      </c>
      <c r="L4" s="6" t="s">
        <v>42</v>
      </c>
      <c r="M4" s="6" t="s">
        <v>43</v>
      </c>
      <c r="N4" s="6" t="s">
        <v>44</v>
      </c>
      <c r="O4" s="6" t="s">
        <v>45</v>
      </c>
      <c r="P4" s="38" t="s">
        <v>46</v>
      </c>
      <c r="Q4" s="38" t="s">
        <v>47</v>
      </c>
    </row>
    <row r="5" spans="1:17" ht="25.5" x14ac:dyDescent="0.25">
      <c r="A5" s="42" t="s">
        <v>48</v>
      </c>
      <c r="B5" s="42">
        <v>1</v>
      </c>
      <c r="C5" s="43" t="s">
        <v>49</v>
      </c>
      <c r="D5" s="42"/>
      <c r="E5" s="42"/>
      <c r="F5" s="42"/>
      <c r="G5" s="42"/>
      <c r="H5" s="44"/>
      <c r="I5" s="44"/>
      <c r="J5" s="44"/>
      <c r="K5" s="44"/>
      <c r="L5" s="44"/>
      <c r="M5" s="44"/>
      <c r="N5" s="44"/>
      <c r="O5" s="44"/>
      <c r="P5" s="45"/>
      <c r="Q5" s="45"/>
    </row>
    <row r="6" spans="1:17" x14ac:dyDescent="0.25">
      <c r="A6" s="42" t="s">
        <v>50</v>
      </c>
      <c r="B6" s="42">
        <v>2</v>
      </c>
      <c r="C6" s="43" t="s">
        <v>51</v>
      </c>
      <c r="D6" s="42" t="s">
        <v>12</v>
      </c>
      <c r="E6" s="42"/>
      <c r="F6" s="42"/>
      <c r="G6" s="42"/>
      <c r="H6" s="44"/>
      <c r="I6" s="44"/>
      <c r="J6" s="44"/>
      <c r="K6" s="44"/>
      <c r="L6" s="44"/>
      <c r="M6" s="44"/>
      <c r="N6" s="44"/>
      <c r="O6" s="44"/>
      <c r="P6" s="45"/>
      <c r="Q6" s="45"/>
    </row>
    <row r="7" spans="1:17" ht="18" customHeight="1" x14ac:dyDescent="0.25">
      <c r="A7" s="46" t="s">
        <v>52</v>
      </c>
      <c r="B7" s="46">
        <v>3</v>
      </c>
      <c r="C7" s="46" t="s">
        <v>53</v>
      </c>
      <c r="D7" s="46" t="s">
        <v>12</v>
      </c>
      <c r="E7" s="46" t="s">
        <v>54</v>
      </c>
      <c r="F7" s="46" t="s">
        <v>55</v>
      </c>
      <c r="G7" s="46" t="s">
        <v>56</v>
      </c>
      <c r="H7" s="47">
        <v>2</v>
      </c>
      <c r="I7" s="47">
        <v>3</v>
      </c>
      <c r="J7" s="47">
        <v>4</v>
      </c>
      <c r="K7" s="48">
        <f>(H7+4*I7+J7)/6</f>
        <v>3</v>
      </c>
      <c r="L7" s="48">
        <f>(J7-H7)/6</f>
        <v>0.33333333333333331</v>
      </c>
      <c r="M7" s="48">
        <f>L7^2</f>
        <v>0.1111111111111111</v>
      </c>
      <c r="N7" s="47"/>
      <c r="O7" s="46" t="s">
        <v>57</v>
      </c>
      <c r="P7" s="49">
        <v>8781596</v>
      </c>
      <c r="Q7" s="50"/>
    </row>
    <row r="8" spans="1:17" x14ac:dyDescent="0.25">
      <c r="A8" s="51" t="s">
        <v>58</v>
      </c>
      <c r="B8" s="51">
        <v>3</v>
      </c>
      <c r="C8" s="52" t="s">
        <v>59</v>
      </c>
      <c r="D8" s="51" t="s">
        <v>12</v>
      </c>
      <c r="E8" s="51"/>
      <c r="F8" s="51"/>
      <c r="G8" s="51" t="s">
        <v>60</v>
      </c>
      <c r="H8" s="53"/>
      <c r="I8" s="53"/>
      <c r="J8" s="53"/>
      <c r="K8" s="53"/>
      <c r="L8" s="53"/>
      <c r="M8" s="53"/>
      <c r="N8" s="53"/>
      <c r="O8" s="53"/>
      <c r="P8" s="54"/>
      <c r="Q8" s="54"/>
    </row>
    <row r="9" spans="1:17" x14ac:dyDescent="0.25">
      <c r="A9" s="51" t="s">
        <v>61</v>
      </c>
      <c r="B9" s="51">
        <v>4</v>
      </c>
      <c r="C9" s="52" t="s">
        <v>62</v>
      </c>
      <c r="D9" s="51" t="s">
        <v>12</v>
      </c>
      <c r="E9" s="51"/>
      <c r="F9" s="51"/>
      <c r="G9" s="51" t="s">
        <v>60</v>
      </c>
      <c r="H9" s="53"/>
      <c r="I9" s="53"/>
      <c r="J9" s="53"/>
      <c r="K9" s="53"/>
      <c r="L9" s="53"/>
      <c r="M9" s="53"/>
      <c r="N9" s="53"/>
      <c r="O9" s="53"/>
      <c r="P9" s="54"/>
      <c r="Q9" s="54"/>
    </row>
    <row r="10" spans="1:17" ht="18" customHeight="1" x14ac:dyDescent="0.25">
      <c r="A10" s="46" t="s">
        <v>63</v>
      </c>
      <c r="B10" s="46">
        <v>5</v>
      </c>
      <c r="C10" s="46" t="s">
        <v>64</v>
      </c>
      <c r="D10" s="46" t="s">
        <v>12</v>
      </c>
      <c r="E10" s="46" t="s">
        <v>54</v>
      </c>
      <c r="F10" s="46" t="s">
        <v>55</v>
      </c>
      <c r="G10" s="46" t="s">
        <v>60</v>
      </c>
      <c r="H10" s="47">
        <v>14</v>
      </c>
      <c r="I10" s="47">
        <v>22</v>
      </c>
      <c r="J10" s="47">
        <v>36</v>
      </c>
      <c r="K10" s="48">
        <f>(H10+4*I10+J10)/6</f>
        <v>23</v>
      </c>
      <c r="L10" s="48">
        <f>(J10-H10)/6</f>
        <v>3.6666666666666665</v>
      </c>
      <c r="M10" s="48">
        <f>L10^2</f>
        <v>13.444444444444443</v>
      </c>
      <c r="N10" s="47" t="s">
        <v>65</v>
      </c>
      <c r="O10" s="46" t="s">
        <v>66</v>
      </c>
      <c r="P10" s="49">
        <v>48298776</v>
      </c>
      <c r="Q10" s="50" t="s">
        <v>67</v>
      </c>
    </row>
    <row r="11" spans="1:17" ht="18" customHeight="1" x14ac:dyDescent="0.25">
      <c r="A11" s="46" t="s">
        <v>68</v>
      </c>
      <c r="B11" s="46">
        <v>5</v>
      </c>
      <c r="C11" s="46" t="s">
        <v>69</v>
      </c>
      <c r="D11" s="46" t="s">
        <v>12</v>
      </c>
      <c r="E11" s="46" t="s">
        <v>54</v>
      </c>
      <c r="F11" s="46" t="s">
        <v>55</v>
      </c>
      <c r="G11" s="46" t="s">
        <v>60</v>
      </c>
      <c r="H11" s="47">
        <v>18</v>
      </c>
      <c r="I11" s="47">
        <v>33</v>
      </c>
      <c r="J11" s="47">
        <v>55</v>
      </c>
      <c r="K11" s="48">
        <f>(H11+4*I11+J11)/6</f>
        <v>34.166666666666664</v>
      </c>
      <c r="L11" s="48">
        <f>(J11-H11)/6</f>
        <v>6.166666666666667</v>
      </c>
      <c r="M11" s="48">
        <f>L11^2</f>
        <v>38.027777777777779</v>
      </c>
      <c r="N11" s="47" t="s">
        <v>70</v>
      </c>
      <c r="O11" s="46" t="s">
        <v>71</v>
      </c>
      <c r="P11" s="49">
        <v>65861967</v>
      </c>
      <c r="Q11" s="50" t="s">
        <v>72</v>
      </c>
    </row>
    <row r="12" spans="1:17" ht="18" customHeight="1" x14ac:dyDescent="0.25">
      <c r="A12" s="46" t="s">
        <v>73</v>
      </c>
      <c r="B12" s="46">
        <v>5</v>
      </c>
      <c r="C12" s="46" t="s">
        <v>74</v>
      </c>
      <c r="D12" s="46" t="s">
        <v>12</v>
      </c>
      <c r="E12" s="46" t="s">
        <v>54</v>
      </c>
      <c r="F12" s="46" t="s">
        <v>55</v>
      </c>
      <c r="G12" s="46" t="s">
        <v>60</v>
      </c>
      <c r="H12" s="47">
        <v>14</v>
      </c>
      <c r="I12" s="47">
        <v>22</v>
      </c>
      <c r="J12" s="47">
        <v>40</v>
      </c>
      <c r="K12" s="48">
        <f>(H12+4*I12+J12)/6</f>
        <v>23.666666666666668</v>
      </c>
      <c r="L12" s="48">
        <f>(J12-H12)/6</f>
        <v>4.333333333333333</v>
      </c>
      <c r="M12" s="48">
        <f>L12^2</f>
        <v>18.777777777777775</v>
      </c>
      <c r="N12" s="47" t="s">
        <v>75</v>
      </c>
      <c r="O12" s="46" t="s">
        <v>76</v>
      </c>
      <c r="P12" s="49">
        <v>48298776</v>
      </c>
      <c r="Q12" s="50" t="s">
        <v>77</v>
      </c>
    </row>
    <row r="13" spans="1:17" ht="18" customHeight="1" x14ac:dyDescent="0.25">
      <c r="A13" s="46" t="s">
        <v>78</v>
      </c>
      <c r="B13" s="46">
        <v>5</v>
      </c>
      <c r="C13" s="46" t="s">
        <v>79</v>
      </c>
      <c r="D13" s="46" t="s">
        <v>12</v>
      </c>
      <c r="E13" s="46" t="s">
        <v>54</v>
      </c>
      <c r="F13" s="46" t="s">
        <v>55</v>
      </c>
      <c r="G13" s="46" t="s">
        <v>60</v>
      </c>
      <c r="H13" s="47">
        <v>9</v>
      </c>
      <c r="I13" s="47">
        <v>14</v>
      </c>
      <c r="J13" s="47">
        <v>22</v>
      </c>
      <c r="K13" s="48">
        <f>(H13+4*I13+J13)/6</f>
        <v>14.5</v>
      </c>
      <c r="L13" s="48">
        <f>(J13-H13)/6</f>
        <v>2.1666666666666665</v>
      </c>
      <c r="M13" s="48">
        <f>L13^2</f>
        <v>4.6944444444444438</v>
      </c>
      <c r="N13" s="47" t="s">
        <v>75</v>
      </c>
      <c r="O13" s="46" t="s">
        <v>80</v>
      </c>
      <c r="P13" s="49">
        <v>30735585</v>
      </c>
      <c r="Q13" s="50" t="s">
        <v>77</v>
      </c>
    </row>
    <row r="14" spans="1:17" ht="18" customHeight="1" x14ac:dyDescent="0.25">
      <c r="A14" s="46" t="s">
        <v>81</v>
      </c>
      <c r="B14" s="46">
        <v>5</v>
      </c>
      <c r="C14" s="46" t="s">
        <v>82</v>
      </c>
      <c r="D14" s="46" t="s">
        <v>12</v>
      </c>
      <c r="E14" s="46" t="s">
        <v>54</v>
      </c>
      <c r="F14" s="46" t="s">
        <v>55</v>
      </c>
      <c r="G14" s="46" t="s">
        <v>60</v>
      </c>
      <c r="H14" s="47">
        <v>3</v>
      </c>
      <c r="I14" s="47">
        <v>6</v>
      </c>
      <c r="J14" s="47">
        <v>10</v>
      </c>
      <c r="K14" s="48">
        <f>(H14+4*I14+J14)/6</f>
        <v>6.166666666666667</v>
      </c>
      <c r="L14" s="48">
        <f>(J14-H14)/6</f>
        <v>1.1666666666666667</v>
      </c>
      <c r="M14" s="48">
        <f>L14^2</f>
        <v>1.3611111111111114</v>
      </c>
      <c r="N14" s="47" t="s">
        <v>83</v>
      </c>
      <c r="O14" s="46" t="s">
        <v>84</v>
      </c>
      <c r="P14" s="49">
        <v>17563191</v>
      </c>
      <c r="Q14" s="50" t="s">
        <v>85</v>
      </c>
    </row>
    <row r="15" spans="1:17" x14ac:dyDescent="0.25">
      <c r="A15" s="51" t="s">
        <v>86</v>
      </c>
      <c r="B15" s="51">
        <v>4</v>
      </c>
      <c r="C15" s="52" t="s">
        <v>87</v>
      </c>
      <c r="D15" s="51" t="s">
        <v>12</v>
      </c>
      <c r="E15" s="51"/>
      <c r="F15" s="51"/>
      <c r="G15" s="51" t="s">
        <v>60</v>
      </c>
      <c r="H15" s="53"/>
      <c r="I15" s="53"/>
      <c r="J15" s="53"/>
      <c r="K15" s="53"/>
      <c r="L15" s="53"/>
      <c r="M15" s="53"/>
      <c r="N15" s="53"/>
      <c r="O15" s="53"/>
      <c r="P15" s="54"/>
      <c r="Q15" s="54"/>
    </row>
    <row r="16" spans="1:17" ht="20.25" customHeight="1" x14ac:dyDescent="0.25">
      <c r="A16" s="46" t="s">
        <v>88</v>
      </c>
      <c r="B16" s="46">
        <v>5</v>
      </c>
      <c r="C16" s="46" t="s">
        <v>89</v>
      </c>
      <c r="D16" s="46" t="s">
        <v>12</v>
      </c>
      <c r="E16" s="46" t="s">
        <v>54</v>
      </c>
      <c r="F16" s="46" t="s">
        <v>90</v>
      </c>
      <c r="G16" s="46" t="s">
        <v>60</v>
      </c>
      <c r="H16" s="47">
        <v>9</v>
      </c>
      <c r="I16" s="47">
        <v>16</v>
      </c>
      <c r="J16" s="47">
        <v>27</v>
      </c>
      <c r="K16" s="48">
        <f>(H16+4*I16+J16)/6</f>
        <v>16.666666666666668</v>
      </c>
      <c r="L16" s="48">
        <f>(J16-H16)/6</f>
        <v>3</v>
      </c>
      <c r="M16" s="48">
        <f>L16^2</f>
        <v>9</v>
      </c>
      <c r="N16" s="47" t="s">
        <v>70</v>
      </c>
      <c r="O16" s="46" t="s">
        <v>91</v>
      </c>
      <c r="P16" s="49">
        <v>35126382</v>
      </c>
      <c r="Q16" s="50" t="s">
        <v>72</v>
      </c>
    </row>
    <row r="17" spans="1:17" ht="20.25" customHeight="1" x14ac:dyDescent="0.25">
      <c r="A17" s="46" t="s">
        <v>92</v>
      </c>
      <c r="B17" s="46">
        <v>5</v>
      </c>
      <c r="C17" s="46" t="s">
        <v>93</v>
      </c>
      <c r="D17" s="46" t="s">
        <v>12</v>
      </c>
      <c r="E17" s="46" t="s">
        <v>54</v>
      </c>
      <c r="F17" s="46" t="s">
        <v>94</v>
      </c>
      <c r="G17" s="46" t="s">
        <v>60</v>
      </c>
      <c r="H17" s="47">
        <v>7</v>
      </c>
      <c r="I17" s="47">
        <v>11</v>
      </c>
      <c r="J17" s="47">
        <v>20</v>
      </c>
      <c r="K17" s="48">
        <f>(H17+4*I17+J17)/6</f>
        <v>11.833333333333334</v>
      </c>
      <c r="L17" s="48">
        <f>(J17-H17)/6</f>
        <v>2.1666666666666665</v>
      </c>
      <c r="M17" s="48">
        <f>L17^2</f>
        <v>4.6944444444444438</v>
      </c>
      <c r="N17" s="47" t="s">
        <v>95</v>
      </c>
      <c r="O17" s="46" t="s">
        <v>96</v>
      </c>
      <c r="P17" s="49">
        <v>21953989</v>
      </c>
      <c r="Q17" s="50" t="s">
        <v>97</v>
      </c>
    </row>
    <row r="18" spans="1:17" ht="20.25" customHeight="1" x14ac:dyDescent="0.25">
      <c r="A18" s="46" t="s">
        <v>98</v>
      </c>
      <c r="B18" s="46">
        <v>5</v>
      </c>
      <c r="C18" s="46" t="s">
        <v>99</v>
      </c>
      <c r="D18" s="46" t="s">
        <v>12</v>
      </c>
      <c r="E18" s="46" t="s">
        <v>54</v>
      </c>
      <c r="F18" s="46" t="s">
        <v>90</v>
      </c>
      <c r="G18" s="46" t="s">
        <v>60</v>
      </c>
      <c r="H18" s="47">
        <v>3</v>
      </c>
      <c r="I18" s="47">
        <v>4</v>
      </c>
      <c r="J18" s="47">
        <v>8</v>
      </c>
      <c r="K18" s="48">
        <f>(H18+4*I18+J18)/6</f>
        <v>4.5</v>
      </c>
      <c r="L18" s="48">
        <f>(J18-H18)/6</f>
        <v>0.83333333333333337</v>
      </c>
      <c r="M18" s="48">
        <f>L18^2</f>
        <v>0.69444444444444453</v>
      </c>
      <c r="N18" s="47" t="s">
        <v>100</v>
      </c>
      <c r="O18" s="46" t="s">
        <v>101</v>
      </c>
      <c r="P18" s="49">
        <v>13172393</v>
      </c>
      <c r="Q18" s="50" t="s">
        <v>102</v>
      </c>
    </row>
    <row r="19" spans="1:17" ht="20.25" customHeight="1" x14ac:dyDescent="0.25">
      <c r="A19" s="46" t="s">
        <v>103</v>
      </c>
      <c r="B19" s="46">
        <v>5</v>
      </c>
      <c r="C19" s="46" t="s">
        <v>104</v>
      </c>
      <c r="D19" s="46" t="s">
        <v>12</v>
      </c>
      <c r="E19" s="46" t="s">
        <v>54</v>
      </c>
      <c r="F19" s="46" t="s">
        <v>90</v>
      </c>
      <c r="G19" s="46" t="s">
        <v>60</v>
      </c>
      <c r="H19" s="47">
        <v>7</v>
      </c>
      <c r="I19" s="47">
        <v>11</v>
      </c>
      <c r="J19" s="47">
        <v>20</v>
      </c>
      <c r="K19" s="48">
        <f>(H19+4*I19+J19)/6</f>
        <v>11.833333333333334</v>
      </c>
      <c r="L19" s="48">
        <f>(J19-H19)/6</f>
        <v>2.1666666666666665</v>
      </c>
      <c r="M19" s="48">
        <f>L19^2</f>
        <v>4.6944444444444438</v>
      </c>
      <c r="N19" s="47" t="s">
        <v>105</v>
      </c>
      <c r="O19" s="46" t="s">
        <v>106</v>
      </c>
      <c r="P19" s="49">
        <v>21953989</v>
      </c>
      <c r="Q19" s="50" t="s">
        <v>107</v>
      </c>
    </row>
    <row r="20" spans="1:17" x14ac:dyDescent="0.25">
      <c r="A20" s="51" t="s">
        <v>108</v>
      </c>
      <c r="B20" s="51">
        <v>4</v>
      </c>
      <c r="C20" s="52" t="s">
        <v>109</v>
      </c>
      <c r="D20" s="51" t="s">
        <v>12</v>
      </c>
      <c r="E20" s="51"/>
      <c r="F20" s="51"/>
      <c r="G20" s="51" t="s">
        <v>60</v>
      </c>
      <c r="H20" s="53"/>
      <c r="I20" s="53"/>
      <c r="J20" s="53"/>
      <c r="K20" s="53"/>
      <c r="L20" s="53"/>
      <c r="M20" s="53"/>
      <c r="N20" s="53"/>
      <c r="O20" s="53"/>
      <c r="P20" s="54"/>
      <c r="Q20" s="54"/>
    </row>
    <row r="21" spans="1:17" ht="18.75" customHeight="1" x14ac:dyDescent="0.25">
      <c r="A21" s="46" t="s">
        <v>110</v>
      </c>
      <c r="B21" s="46">
        <v>5</v>
      </c>
      <c r="C21" s="46" t="s">
        <v>111</v>
      </c>
      <c r="D21" s="46" t="s">
        <v>12</v>
      </c>
      <c r="E21" s="46" t="s">
        <v>54</v>
      </c>
      <c r="F21" s="46" t="s">
        <v>55</v>
      </c>
      <c r="G21" s="46" t="s">
        <v>60</v>
      </c>
      <c r="H21" s="47">
        <v>7</v>
      </c>
      <c r="I21" s="47">
        <v>11</v>
      </c>
      <c r="J21" s="47">
        <v>20</v>
      </c>
      <c r="K21" s="48">
        <f>(H21+4*I21+J21)/6</f>
        <v>11.833333333333334</v>
      </c>
      <c r="L21" s="48">
        <f>(J21-H21)/6</f>
        <v>2.1666666666666665</v>
      </c>
      <c r="M21" s="48">
        <f>L21^2</f>
        <v>4.6944444444444438</v>
      </c>
      <c r="N21" s="47" t="s">
        <v>65</v>
      </c>
      <c r="O21" s="46" t="s">
        <v>112</v>
      </c>
      <c r="P21" s="49">
        <v>21953989</v>
      </c>
      <c r="Q21" s="50" t="s">
        <v>67</v>
      </c>
    </row>
    <row r="22" spans="1:17" ht="18.75" customHeight="1" x14ac:dyDescent="0.25">
      <c r="A22" s="46" t="s">
        <v>113</v>
      </c>
      <c r="B22" s="46">
        <v>5</v>
      </c>
      <c r="C22" s="46" t="s">
        <v>114</v>
      </c>
      <c r="D22" s="46" t="s">
        <v>12</v>
      </c>
      <c r="E22" s="46" t="s">
        <v>54</v>
      </c>
      <c r="F22" s="46" t="s">
        <v>55</v>
      </c>
      <c r="G22" s="46" t="s">
        <v>60</v>
      </c>
      <c r="H22" s="47">
        <v>7</v>
      </c>
      <c r="I22" s="47">
        <v>11</v>
      </c>
      <c r="J22" s="47">
        <v>18</v>
      </c>
      <c r="K22" s="48">
        <f>(H22+4*I22+J22)/6</f>
        <v>11.5</v>
      </c>
      <c r="L22" s="48">
        <f>(J22-H22)/6</f>
        <v>1.8333333333333333</v>
      </c>
      <c r="M22" s="48">
        <f>L22^2</f>
        <v>3.3611111111111107</v>
      </c>
      <c r="N22" s="47" t="s">
        <v>115</v>
      </c>
      <c r="O22" s="46" t="s">
        <v>116</v>
      </c>
      <c r="P22" s="49">
        <v>21953989</v>
      </c>
      <c r="Q22" s="50" t="s">
        <v>117</v>
      </c>
    </row>
    <row r="23" spans="1:17" ht="18.75" customHeight="1" x14ac:dyDescent="0.25">
      <c r="A23" s="46" t="s">
        <v>118</v>
      </c>
      <c r="B23" s="46">
        <v>5</v>
      </c>
      <c r="C23" s="46" t="s">
        <v>119</v>
      </c>
      <c r="D23" s="46" t="s">
        <v>12</v>
      </c>
      <c r="E23" s="46" t="s">
        <v>54</v>
      </c>
      <c r="F23" s="46" t="s">
        <v>55</v>
      </c>
      <c r="G23" s="46" t="s">
        <v>60</v>
      </c>
      <c r="H23" s="47">
        <v>7</v>
      </c>
      <c r="I23" s="47">
        <v>11</v>
      </c>
      <c r="J23" s="47">
        <v>20</v>
      </c>
      <c r="K23" s="48">
        <f>(H23+4*I23+J23)/6</f>
        <v>11.833333333333334</v>
      </c>
      <c r="L23" s="48">
        <f>(J23-H23)/6</f>
        <v>2.1666666666666665</v>
      </c>
      <c r="M23" s="48">
        <f>L23^2</f>
        <v>4.6944444444444438</v>
      </c>
      <c r="N23" s="47" t="s">
        <v>120</v>
      </c>
      <c r="O23" s="46" t="s">
        <v>121</v>
      </c>
      <c r="P23" s="49">
        <v>21953989</v>
      </c>
      <c r="Q23" s="50" t="s">
        <v>122</v>
      </c>
    </row>
    <row r="24" spans="1:17" ht="18.75" customHeight="1" x14ac:dyDescent="0.25">
      <c r="A24" s="46" t="s">
        <v>123</v>
      </c>
      <c r="B24" s="46">
        <v>5</v>
      </c>
      <c r="C24" s="46" t="s">
        <v>124</v>
      </c>
      <c r="D24" s="46" t="s">
        <v>12</v>
      </c>
      <c r="E24" s="46" t="s">
        <v>54</v>
      </c>
      <c r="F24" s="46" t="s">
        <v>55</v>
      </c>
      <c r="G24" s="46" t="s">
        <v>60</v>
      </c>
      <c r="H24" s="47">
        <v>3</v>
      </c>
      <c r="I24" s="47">
        <v>4</v>
      </c>
      <c r="J24" s="47">
        <v>8</v>
      </c>
      <c r="K24" s="48">
        <f>(H24+4*I24+J24)/6</f>
        <v>4.5</v>
      </c>
      <c r="L24" s="48">
        <f>(J24-H24)/6</f>
        <v>0.83333333333333337</v>
      </c>
      <c r="M24" s="48">
        <f>L24^2</f>
        <v>0.69444444444444453</v>
      </c>
      <c r="N24" s="47" t="s">
        <v>125</v>
      </c>
      <c r="O24" s="46" t="s">
        <v>126</v>
      </c>
      <c r="P24" s="49">
        <v>13172393</v>
      </c>
      <c r="Q24" s="50" t="s">
        <v>127</v>
      </c>
    </row>
    <row r="25" spans="1:17" ht="18.75" customHeight="1" x14ac:dyDescent="0.25">
      <c r="A25" s="46" t="s">
        <v>128</v>
      </c>
      <c r="B25" s="46">
        <v>5</v>
      </c>
      <c r="C25" s="46" t="s">
        <v>129</v>
      </c>
      <c r="D25" s="46" t="s">
        <v>12</v>
      </c>
      <c r="E25" s="46" t="s">
        <v>54</v>
      </c>
      <c r="F25" s="46" t="s">
        <v>90</v>
      </c>
      <c r="G25" s="46" t="s">
        <v>60</v>
      </c>
      <c r="H25" s="47">
        <v>7</v>
      </c>
      <c r="I25" s="47">
        <v>11</v>
      </c>
      <c r="J25" s="47">
        <v>18</v>
      </c>
      <c r="K25" s="48">
        <f>(H25+4*I25+J25)/6</f>
        <v>11.5</v>
      </c>
      <c r="L25" s="48">
        <f>(J25-H25)/6</f>
        <v>1.8333333333333333</v>
      </c>
      <c r="M25" s="48">
        <f>L25^2</f>
        <v>3.3611111111111107</v>
      </c>
      <c r="N25" s="47" t="s">
        <v>125</v>
      </c>
      <c r="O25" s="46" t="s">
        <v>130</v>
      </c>
      <c r="P25" s="49">
        <v>21953989</v>
      </c>
      <c r="Q25" s="50" t="s">
        <v>127</v>
      </c>
    </row>
    <row r="26" spans="1:17" x14ac:dyDescent="0.25">
      <c r="A26" s="51" t="s">
        <v>131</v>
      </c>
      <c r="B26" s="51">
        <v>3</v>
      </c>
      <c r="C26" s="52" t="s">
        <v>132</v>
      </c>
      <c r="D26" s="51" t="s">
        <v>12</v>
      </c>
      <c r="E26" s="51"/>
      <c r="F26" s="51"/>
      <c r="G26" s="51"/>
      <c r="H26" s="53"/>
      <c r="I26" s="53"/>
      <c r="J26" s="53"/>
      <c r="K26" s="53"/>
      <c r="L26" s="53"/>
      <c r="M26" s="53"/>
      <c r="N26" s="53"/>
      <c r="O26" s="53"/>
      <c r="P26" s="54"/>
      <c r="Q26" s="54"/>
    </row>
    <row r="27" spans="1:17" x14ac:dyDescent="0.25">
      <c r="A27" s="51" t="s">
        <v>133</v>
      </c>
      <c r="B27" s="51">
        <v>4</v>
      </c>
      <c r="C27" s="52" t="s">
        <v>134</v>
      </c>
      <c r="D27" s="51" t="s">
        <v>12</v>
      </c>
      <c r="E27" s="51"/>
      <c r="F27" s="51"/>
      <c r="G27" s="51" t="s">
        <v>60</v>
      </c>
      <c r="H27" s="53"/>
      <c r="I27" s="53"/>
      <c r="J27" s="53"/>
      <c r="K27" s="53"/>
      <c r="L27" s="53"/>
      <c r="M27" s="53"/>
      <c r="N27" s="53"/>
      <c r="O27" s="53"/>
      <c r="P27" s="54"/>
      <c r="Q27" s="54"/>
    </row>
    <row r="28" spans="1:17" ht="63.75" x14ac:dyDescent="0.25">
      <c r="A28" s="46" t="s">
        <v>135</v>
      </c>
      <c r="B28" s="46">
        <v>5</v>
      </c>
      <c r="C28" s="46" t="s">
        <v>136</v>
      </c>
      <c r="D28" s="46" t="s">
        <v>12</v>
      </c>
      <c r="E28" s="46" t="s">
        <v>54</v>
      </c>
      <c r="F28" s="46" t="s">
        <v>90</v>
      </c>
      <c r="G28" s="46" t="s">
        <v>60</v>
      </c>
      <c r="H28" s="47">
        <v>11</v>
      </c>
      <c r="I28" s="47">
        <v>18</v>
      </c>
      <c r="J28" s="47">
        <v>32</v>
      </c>
      <c r="K28" s="48">
        <f>(H28+4*I28+J28)/6</f>
        <v>19.166666666666668</v>
      </c>
      <c r="L28" s="48">
        <f>(J28-H28)/6</f>
        <v>3.5</v>
      </c>
      <c r="M28" s="48">
        <f>L28^2</f>
        <v>12.25</v>
      </c>
      <c r="N28" s="47" t="s">
        <v>65</v>
      </c>
      <c r="O28" s="46" t="s">
        <v>137</v>
      </c>
      <c r="P28" s="49">
        <v>39517180</v>
      </c>
      <c r="Q28" s="50" t="s">
        <v>67</v>
      </c>
    </row>
    <row r="29" spans="1:17" ht="25.5" x14ac:dyDescent="0.25">
      <c r="A29" s="46" t="s">
        <v>138</v>
      </c>
      <c r="B29" s="46">
        <v>5</v>
      </c>
      <c r="C29" s="46" t="s">
        <v>139</v>
      </c>
      <c r="D29" s="46" t="s">
        <v>12</v>
      </c>
      <c r="E29" s="46" t="s">
        <v>54</v>
      </c>
      <c r="F29" s="46" t="s">
        <v>90</v>
      </c>
      <c r="G29" s="46" t="s">
        <v>60</v>
      </c>
      <c r="H29" s="47">
        <v>14</v>
      </c>
      <c r="I29" s="47">
        <v>22</v>
      </c>
      <c r="J29" s="47">
        <v>40</v>
      </c>
      <c r="K29" s="48">
        <f>(H29+4*I29+J29)/6</f>
        <v>23.666666666666668</v>
      </c>
      <c r="L29" s="48">
        <f>(J29-H29)/6</f>
        <v>4.333333333333333</v>
      </c>
      <c r="M29" s="48">
        <f>L29^2</f>
        <v>18.777777777777775</v>
      </c>
      <c r="N29" s="47" t="s">
        <v>140</v>
      </c>
      <c r="O29" s="46" t="s">
        <v>141</v>
      </c>
      <c r="P29" s="49">
        <v>48298776</v>
      </c>
      <c r="Q29" s="50" t="s">
        <v>142</v>
      </c>
    </row>
    <row r="30" spans="1:17" ht="25.5" x14ac:dyDescent="0.25">
      <c r="A30" s="46" t="s">
        <v>143</v>
      </c>
      <c r="B30" s="46">
        <v>5</v>
      </c>
      <c r="C30" s="46" t="s">
        <v>144</v>
      </c>
      <c r="D30" s="46" t="s">
        <v>12</v>
      </c>
      <c r="E30" s="46" t="s">
        <v>54</v>
      </c>
      <c r="F30" s="46" t="s">
        <v>55</v>
      </c>
      <c r="G30" s="46" t="s">
        <v>60</v>
      </c>
      <c r="H30" s="47">
        <v>9</v>
      </c>
      <c r="I30" s="47">
        <v>16</v>
      </c>
      <c r="J30" s="47">
        <v>27</v>
      </c>
      <c r="K30" s="48">
        <f>(H30+4*I30+J30)/6</f>
        <v>16.666666666666668</v>
      </c>
      <c r="L30" s="48">
        <f>(J30-H30)/6</f>
        <v>3</v>
      </c>
      <c r="M30" s="48">
        <f>L30^2</f>
        <v>9</v>
      </c>
      <c r="N30" s="47" t="s">
        <v>145</v>
      </c>
      <c r="O30" s="46" t="s">
        <v>146</v>
      </c>
      <c r="P30" s="49">
        <v>35126382</v>
      </c>
      <c r="Q30" s="50" t="s">
        <v>147</v>
      </c>
    </row>
    <row r="31" spans="1:17" ht="25.5" x14ac:dyDescent="0.25">
      <c r="A31" s="46" t="s">
        <v>148</v>
      </c>
      <c r="B31" s="46">
        <v>5</v>
      </c>
      <c r="C31" s="46" t="s">
        <v>149</v>
      </c>
      <c r="D31" s="46" t="s">
        <v>12</v>
      </c>
      <c r="E31" s="46" t="s">
        <v>54</v>
      </c>
      <c r="F31" s="46" t="s">
        <v>90</v>
      </c>
      <c r="G31" s="46" t="s">
        <v>60</v>
      </c>
      <c r="H31" s="47">
        <v>11</v>
      </c>
      <c r="I31" s="47">
        <v>18</v>
      </c>
      <c r="J31" s="47">
        <v>32</v>
      </c>
      <c r="K31" s="48">
        <f>(H31+4*I31+J31)/6</f>
        <v>19.166666666666668</v>
      </c>
      <c r="L31" s="48">
        <f>(J31-H31)/6</f>
        <v>3.5</v>
      </c>
      <c r="M31" s="48">
        <f>L31^2</f>
        <v>12.25</v>
      </c>
      <c r="N31" s="47" t="s">
        <v>145</v>
      </c>
      <c r="O31" s="46" t="s">
        <v>150</v>
      </c>
      <c r="P31" s="49">
        <v>39517180</v>
      </c>
      <c r="Q31" s="50" t="s">
        <v>147</v>
      </c>
    </row>
    <row r="32" spans="1:17" x14ac:dyDescent="0.25">
      <c r="A32" s="51" t="s">
        <v>151</v>
      </c>
      <c r="B32" s="51">
        <v>4</v>
      </c>
      <c r="C32" s="52" t="s">
        <v>152</v>
      </c>
      <c r="D32" s="51" t="s">
        <v>12</v>
      </c>
      <c r="E32" s="51"/>
      <c r="F32" s="51"/>
      <c r="G32" s="51" t="s">
        <v>153</v>
      </c>
      <c r="H32" s="53"/>
      <c r="I32" s="53"/>
      <c r="J32" s="53"/>
      <c r="K32" s="53"/>
      <c r="L32" s="53"/>
      <c r="M32" s="53"/>
      <c r="N32" s="53"/>
      <c r="O32" s="53"/>
      <c r="P32" s="54"/>
      <c r="Q32" s="54"/>
    </row>
    <row r="33" spans="1:17" ht="51" x14ac:dyDescent="0.25">
      <c r="A33" s="46" t="s">
        <v>154</v>
      </c>
      <c r="B33" s="46">
        <v>5</v>
      </c>
      <c r="C33" s="46" t="s">
        <v>155</v>
      </c>
      <c r="D33" s="46" t="s">
        <v>12</v>
      </c>
      <c r="E33" s="46" t="s">
        <v>54</v>
      </c>
      <c r="F33" s="46" t="s">
        <v>90</v>
      </c>
      <c r="G33" s="46" t="s">
        <v>153</v>
      </c>
      <c r="H33" s="47">
        <v>18</v>
      </c>
      <c r="I33" s="47">
        <v>32</v>
      </c>
      <c r="J33" s="47">
        <v>50</v>
      </c>
      <c r="K33" s="48">
        <f>(H33+4*I33+J33)/6</f>
        <v>32.666666666666664</v>
      </c>
      <c r="L33" s="48">
        <f>(J33-H33)/6</f>
        <v>5.333333333333333</v>
      </c>
      <c r="M33" s="48">
        <f>L33^2</f>
        <v>28.444444444444443</v>
      </c>
      <c r="N33" s="47" t="s">
        <v>65</v>
      </c>
      <c r="O33" s="46" t="s">
        <v>156</v>
      </c>
      <c r="P33" s="49">
        <v>65861967</v>
      </c>
      <c r="Q33" s="50" t="s">
        <v>67</v>
      </c>
    </row>
    <row r="34" spans="1:17" ht="25.5" x14ac:dyDescent="0.25">
      <c r="A34" s="46" t="s">
        <v>157</v>
      </c>
      <c r="B34" s="46">
        <v>5</v>
      </c>
      <c r="C34" s="46" t="s">
        <v>158</v>
      </c>
      <c r="D34" s="46" t="s">
        <v>12</v>
      </c>
      <c r="E34" s="46" t="s">
        <v>54</v>
      </c>
      <c r="F34" s="46" t="s">
        <v>55</v>
      </c>
      <c r="G34" s="46" t="s">
        <v>153</v>
      </c>
      <c r="H34" s="47">
        <v>16</v>
      </c>
      <c r="I34" s="47">
        <v>25</v>
      </c>
      <c r="J34" s="47">
        <v>40</v>
      </c>
      <c r="K34" s="48">
        <f>(H34+4*I34+J34)/6</f>
        <v>26</v>
      </c>
      <c r="L34" s="48">
        <f>(J34-H34)/6</f>
        <v>4</v>
      </c>
      <c r="M34" s="48">
        <f>L34^2</f>
        <v>16</v>
      </c>
      <c r="N34" s="47" t="s">
        <v>159</v>
      </c>
      <c r="O34" s="46" t="s">
        <v>160</v>
      </c>
      <c r="P34" s="49">
        <v>52689574</v>
      </c>
      <c r="Q34" s="50" t="s">
        <v>161</v>
      </c>
    </row>
    <row r="35" spans="1:17" ht="25.5" x14ac:dyDescent="0.25">
      <c r="A35" s="46" t="s">
        <v>162</v>
      </c>
      <c r="B35" s="46">
        <v>5</v>
      </c>
      <c r="C35" s="46" t="s">
        <v>163</v>
      </c>
      <c r="D35" s="46" t="s">
        <v>12</v>
      </c>
      <c r="E35" s="46" t="s">
        <v>54</v>
      </c>
      <c r="F35" s="46" t="s">
        <v>90</v>
      </c>
      <c r="G35" s="46" t="s">
        <v>153</v>
      </c>
      <c r="H35" s="47">
        <v>7</v>
      </c>
      <c r="I35" s="47">
        <v>11</v>
      </c>
      <c r="J35" s="47">
        <v>18</v>
      </c>
      <c r="K35" s="48">
        <f>(H35+4*I35+J35)/6</f>
        <v>11.5</v>
      </c>
      <c r="L35" s="48">
        <f>(J35-H35)/6</f>
        <v>1.8333333333333333</v>
      </c>
      <c r="M35" s="48">
        <f>L35^2</f>
        <v>3.3611111111111107</v>
      </c>
      <c r="N35" s="47" t="s">
        <v>164</v>
      </c>
      <c r="O35" s="46" t="s">
        <v>165</v>
      </c>
      <c r="P35" s="49">
        <v>21953989</v>
      </c>
      <c r="Q35" s="50" t="s">
        <v>166</v>
      </c>
    </row>
    <row r="36" spans="1:17" ht="25.5" x14ac:dyDescent="0.25">
      <c r="A36" s="46" t="s">
        <v>167</v>
      </c>
      <c r="B36" s="46">
        <v>5</v>
      </c>
      <c r="C36" s="46" t="s">
        <v>168</v>
      </c>
      <c r="D36" s="46" t="s">
        <v>12</v>
      </c>
      <c r="E36" s="46" t="s">
        <v>54</v>
      </c>
      <c r="F36" s="46" t="s">
        <v>90</v>
      </c>
      <c r="G36" s="46" t="s">
        <v>153</v>
      </c>
      <c r="H36" s="47">
        <v>7</v>
      </c>
      <c r="I36" s="47">
        <v>11</v>
      </c>
      <c r="J36" s="47">
        <v>18</v>
      </c>
      <c r="K36" s="48">
        <f>(H36+4*I36+J36)/6</f>
        <v>11.5</v>
      </c>
      <c r="L36" s="48">
        <f>(J36-H36)/6</f>
        <v>1.8333333333333333</v>
      </c>
      <c r="M36" s="48">
        <f>L36^2</f>
        <v>3.3611111111111107</v>
      </c>
      <c r="N36" s="47" t="s">
        <v>169</v>
      </c>
      <c r="O36" s="46" t="s">
        <v>170</v>
      </c>
      <c r="P36" s="49">
        <v>21953989</v>
      </c>
      <c r="Q36" s="50" t="s">
        <v>171</v>
      </c>
    </row>
    <row r="37" spans="1:17" x14ac:dyDescent="0.25">
      <c r="A37" s="51" t="s">
        <v>172</v>
      </c>
      <c r="B37" s="51">
        <v>4</v>
      </c>
      <c r="C37" s="52" t="s">
        <v>173</v>
      </c>
      <c r="D37" s="51" t="s">
        <v>12</v>
      </c>
      <c r="E37" s="51"/>
      <c r="F37" s="51"/>
      <c r="G37" s="51" t="s">
        <v>174</v>
      </c>
      <c r="H37" s="53"/>
      <c r="I37" s="53"/>
      <c r="J37" s="53"/>
      <c r="K37" s="53"/>
      <c r="L37" s="53"/>
      <c r="M37" s="53"/>
      <c r="N37" s="53"/>
      <c r="O37" s="53"/>
      <c r="P37" s="54"/>
      <c r="Q37" s="54"/>
    </row>
    <row r="38" spans="1:17" x14ac:dyDescent="0.25">
      <c r="A38" s="46" t="s">
        <v>175</v>
      </c>
      <c r="B38" s="46">
        <v>5</v>
      </c>
      <c r="C38" s="46" t="s">
        <v>176</v>
      </c>
      <c r="D38" s="46" t="s">
        <v>12</v>
      </c>
      <c r="E38" s="46" t="s">
        <v>177</v>
      </c>
      <c r="F38" s="46" t="s">
        <v>90</v>
      </c>
      <c r="G38" s="46" t="s">
        <v>174</v>
      </c>
      <c r="H38" s="47">
        <v>9</v>
      </c>
      <c r="I38" s="47">
        <v>14</v>
      </c>
      <c r="J38" s="47">
        <v>22</v>
      </c>
      <c r="K38" s="48">
        <f>(H38+4*I38+J38)/6</f>
        <v>14.5</v>
      </c>
      <c r="L38" s="48">
        <f>(J38-H38)/6</f>
        <v>2.1666666666666665</v>
      </c>
      <c r="M38" s="48">
        <f>L38^2</f>
        <v>4.6944444444444438</v>
      </c>
      <c r="N38" s="47" t="s">
        <v>65</v>
      </c>
      <c r="O38" s="46" t="s">
        <v>178</v>
      </c>
      <c r="P38" s="49">
        <v>875750</v>
      </c>
      <c r="Q38" s="50" t="s">
        <v>67</v>
      </c>
    </row>
    <row r="39" spans="1:17" x14ac:dyDescent="0.25">
      <c r="A39" s="46" t="s">
        <v>179</v>
      </c>
      <c r="B39" s="46">
        <v>5</v>
      </c>
      <c r="C39" s="46" t="s">
        <v>180</v>
      </c>
      <c r="D39" s="46" t="s">
        <v>12</v>
      </c>
      <c r="E39" s="46" t="s">
        <v>177</v>
      </c>
      <c r="F39" s="46" t="s">
        <v>55</v>
      </c>
      <c r="G39" s="46" t="s">
        <v>174</v>
      </c>
      <c r="H39" s="47">
        <v>7</v>
      </c>
      <c r="I39" s="47">
        <v>11</v>
      </c>
      <c r="J39" s="47">
        <v>20</v>
      </c>
      <c r="K39" s="48">
        <f>(H39+4*I39+J39)/6</f>
        <v>11.833333333333334</v>
      </c>
      <c r="L39" s="48">
        <f>(J39-H39)/6</f>
        <v>2.1666666666666665</v>
      </c>
      <c r="M39" s="48">
        <f>L39^2</f>
        <v>4.6944444444444438</v>
      </c>
      <c r="N39" s="47" t="s">
        <v>181</v>
      </c>
      <c r="O39" s="46" t="s">
        <v>182</v>
      </c>
      <c r="P39" s="49">
        <v>625535</v>
      </c>
      <c r="Q39" s="50" t="s">
        <v>183</v>
      </c>
    </row>
    <row r="40" spans="1:17" ht="51" x14ac:dyDescent="0.25">
      <c r="A40" s="46" t="s">
        <v>184</v>
      </c>
      <c r="B40" s="46">
        <v>5</v>
      </c>
      <c r="C40" s="46" t="s">
        <v>185</v>
      </c>
      <c r="D40" s="46" t="s">
        <v>12</v>
      </c>
      <c r="E40" s="46" t="s">
        <v>177</v>
      </c>
      <c r="F40" s="46" t="s">
        <v>90</v>
      </c>
      <c r="G40" s="46" t="s">
        <v>174</v>
      </c>
      <c r="H40" s="47">
        <v>16</v>
      </c>
      <c r="I40" s="47">
        <v>22</v>
      </c>
      <c r="J40" s="47">
        <v>36</v>
      </c>
      <c r="K40" s="48">
        <f>(H40+4*I40+J40)/6</f>
        <v>23.333333333333332</v>
      </c>
      <c r="L40" s="48">
        <f>(J40-H40)/6</f>
        <v>3.3333333333333335</v>
      </c>
      <c r="M40" s="48">
        <f>L40^2</f>
        <v>11.111111111111112</v>
      </c>
      <c r="N40" s="47" t="s">
        <v>186</v>
      </c>
      <c r="O40" s="46" t="s">
        <v>187</v>
      </c>
      <c r="P40" s="49">
        <v>1376178</v>
      </c>
      <c r="Q40" s="50" t="s">
        <v>188</v>
      </c>
    </row>
    <row r="41" spans="1:17" x14ac:dyDescent="0.25">
      <c r="A41" s="46" t="s">
        <v>189</v>
      </c>
      <c r="B41" s="46">
        <v>5</v>
      </c>
      <c r="C41" s="46" t="s">
        <v>190</v>
      </c>
      <c r="D41" s="46" t="s">
        <v>12</v>
      </c>
      <c r="E41" s="46" t="s">
        <v>177</v>
      </c>
      <c r="F41" s="46" t="s">
        <v>90</v>
      </c>
      <c r="G41" s="46" t="s">
        <v>174</v>
      </c>
      <c r="H41" s="47">
        <v>7</v>
      </c>
      <c r="I41" s="47">
        <v>11</v>
      </c>
      <c r="J41" s="47">
        <v>18</v>
      </c>
      <c r="K41" s="48">
        <f>(H41+4*I41+J41)/6</f>
        <v>11.5</v>
      </c>
      <c r="L41" s="48">
        <f>(J41-H41)/6</f>
        <v>1.8333333333333333</v>
      </c>
      <c r="M41" s="48">
        <f>L41^2</f>
        <v>3.3611111111111107</v>
      </c>
      <c r="N41" s="47" t="s">
        <v>191</v>
      </c>
      <c r="O41" s="46" t="s">
        <v>192</v>
      </c>
      <c r="P41" s="49">
        <v>625535</v>
      </c>
      <c r="Q41" s="50" t="s">
        <v>193</v>
      </c>
    </row>
    <row r="42" spans="1:17" x14ac:dyDescent="0.25">
      <c r="A42" s="51" t="s">
        <v>194</v>
      </c>
      <c r="B42" s="51">
        <v>4</v>
      </c>
      <c r="C42" s="52" t="s">
        <v>195</v>
      </c>
      <c r="D42" s="51" t="s">
        <v>12</v>
      </c>
      <c r="E42" s="51"/>
      <c r="F42" s="51"/>
      <c r="G42" s="51" t="s">
        <v>60</v>
      </c>
      <c r="H42" s="53"/>
      <c r="I42" s="53"/>
      <c r="J42" s="53"/>
      <c r="K42" s="53"/>
      <c r="L42" s="53"/>
      <c r="M42" s="53"/>
      <c r="N42" s="53"/>
      <c r="O42" s="53"/>
      <c r="P42" s="54"/>
      <c r="Q42" s="54"/>
    </row>
    <row r="43" spans="1:17" ht="18.75" customHeight="1" x14ac:dyDescent="0.25">
      <c r="A43" s="46" t="s">
        <v>196</v>
      </c>
      <c r="B43" s="46">
        <v>5</v>
      </c>
      <c r="C43" s="46" t="s">
        <v>197</v>
      </c>
      <c r="D43" s="46" t="s">
        <v>12</v>
      </c>
      <c r="E43" s="46" t="s">
        <v>54</v>
      </c>
      <c r="F43" s="46" t="s">
        <v>90</v>
      </c>
      <c r="G43" s="46" t="s">
        <v>60</v>
      </c>
      <c r="H43" s="47">
        <v>7</v>
      </c>
      <c r="I43" s="47">
        <v>11</v>
      </c>
      <c r="J43" s="47">
        <v>20</v>
      </c>
      <c r="K43" s="48">
        <f>(H43+4*I43+J43)/6</f>
        <v>11.833333333333334</v>
      </c>
      <c r="L43" s="48">
        <f>(J43-H43)/6</f>
        <v>2.1666666666666665</v>
      </c>
      <c r="M43" s="48">
        <f>L43^2</f>
        <v>4.6944444444444438</v>
      </c>
      <c r="N43" s="47" t="s">
        <v>65</v>
      </c>
      <c r="O43" s="46" t="s">
        <v>198</v>
      </c>
      <c r="P43" s="49">
        <v>21953989</v>
      </c>
      <c r="Q43" s="50" t="s">
        <v>67</v>
      </c>
    </row>
    <row r="44" spans="1:17" ht="18.75" customHeight="1" x14ac:dyDescent="0.25">
      <c r="A44" s="46" t="s">
        <v>199</v>
      </c>
      <c r="B44" s="46">
        <v>5</v>
      </c>
      <c r="C44" s="46" t="s">
        <v>200</v>
      </c>
      <c r="D44" s="46" t="s">
        <v>12</v>
      </c>
      <c r="E44" s="46" t="s">
        <v>54</v>
      </c>
      <c r="F44" s="46" t="s">
        <v>94</v>
      </c>
      <c r="G44" s="46" t="s">
        <v>60</v>
      </c>
      <c r="H44" s="47">
        <v>3</v>
      </c>
      <c r="I44" s="47">
        <v>6</v>
      </c>
      <c r="J44" s="47">
        <v>10</v>
      </c>
      <c r="K44" s="48">
        <f>(H44+4*I44+J44)/6</f>
        <v>6.166666666666667</v>
      </c>
      <c r="L44" s="48">
        <f>(J44-H44)/6</f>
        <v>1.1666666666666667</v>
      </c>
      <c r="M44" s="48">
        <f>L44^2</f>
        <v>1.3611111111111114</v>
      </c>
      <c r="N44" s="47" t="s">
        <v>201</v>
      </c>
      <c r="O44" s="46" t="s">
        <v>202</v>
      </c>
      <c r="P44" s="49">
        <v>17563191</v>
      </c>
      <c r="Q44" s="50" t="s">
        <v>203</v>
      </c>
    </row>
    <row r="45" spans="1:17" ht="18.75" customHeight="1" x14ac:dyDescent="0.25">
      <c r="A45" s="46" t="s">
        <v>204</v>
      </c>
      <c r="B45" s="46">
        <v>5</v>
      </c>
      <c r="C45" s="46" t="s">
        <v>205</v>
      </c>
      <c r="D45" s="46" t="s">
        <v>12</v>
      </c>
      <c r="E45" s="46" t="s">
        <v>54</v>
      </c>
      <c r="F45" s="46" t="s">
        <v>94</v>
      </c>
      <c r="G45" s="46" t="s">
        <v>60</v>
      </c>
      <c r="H45" s="47">
        <v>3</v>
      </c>
      <c r="I45" s="47">
        <v>4</v>
      </c>
      <c r="J45" s="47">
        <v>8</v>
      </c>
      <c r="K45" s="48">
        <f>(H45+4*I45+J45)/6</f>
        <v>4.5</v>
      </c>
      <c r="L45" s="48">
        <f>(J45-H45)/6</f>
        <v>0.83333333333333337</v>
      </c>
      <c r="M45" s="48">
        <f>L45^2</f>
        <v>0.69444444444444453</v>
      </c>
      <c r="N45" s="47" t="s">
        <v>206</v>
      </c>
      <c r="O45" s="46" t="s">
        <v>207</v>
      </c>
      <c r="P45" s="49">
        <v>13172393</v>
      </c>
      <c r="Q45" s="50" t="s">
        <v>208</v>
      </c>
    </row>
    <row r="46" spans="1:17" ht="18.75" customHeight="1" x14ac:dyDescent="0.25">
      <c r="A46" s="46" t="s">
        <v>209</v>
      </c>
      <c r="B46" s="46">
        <v>5</v>
      </c>
      <c r="C46" s="46" t="s">
        <v>210</v>
      </c>
      <c r="D46" s="46" t="s">
        <v>12</v>
      </c>
      <c r="E46" s="46" t="s">
        <v>54</v>
      </c>
      <c r="F46" s="46" t="s">
        <v>55</v>
      </c>
      <c r="G46" s="46" t="s">
        <v>60</v>
      </c>
      <c r="H46" s="47">
        <v>3</v>
      </c>
      <c r="I46" s="47">
        <v>4</v>
      </c>
      <c r="J46" s="47">
        <v>8</v>
      </c>
      <c r="K46" s="48">
        <f>(H46+4*I46+J46)/6</f>
        <v>4.5</v>
      </c>
      <c r="L46" s="48">
        <f>(J46-H46)/6</f>
        <v>0.83333333333333337</v>
      </c>
      <c r="M46" s="48">
        <f>L46^2</f>
        <v>0.69444444444444453</v>
      </c>
      <c r="N46" s="47" t="s">
        <v>211</v>
      </c>
      <c r="O46" s="46" t="s">
        <v>212</v>
      </c>
      <c r="P46" s="49">
        <v>13172393</v>
      </c>
      <c r="Q46" s="50" t="s">
        <v>213</v>
      </c>
    </row>
    <row r="47" spans="1:17" ht="18.75" customHeight="1" x14ac:dyDescent="0.25">
      <c r="A47" s="46" t="s">
        <v>214</v>
      </c>
      <c r="B47" s="46">
        <v>3</v>
      </c>
      <c r="C47" s="46" t="s">
        <v>215</v>
      </c>
      <c r="D47" s="46" t="s">
        <v>12</v>
      </c>
      <c r="E47" s="46"/>
      <c r="F47" s="46"/>
      <c r="G47" s="46"/>
      <c r="H47" s="55"/>
      <c r="I47" s="55"/>
      <c r="J47" s="55"/>
      <c r="K47" s="55"/>
      <c r="L47" s="55"/>
      <c r="M47" s="55"/>
      <c r="N47" s="47" t="s">
        <v>65</v>
      </c>
      <c r="O47" s="46" t="s">
        <v>216</v>
      </c>
      <c r="Q47" s="50" t="s">
        <v>67</v>
      </c>
    </row>
    <row r="48" spans="1:17" x14ac:dyDescent="0.25">
      <c r="A48" s="42" t="s">
        <v>217</v>
      </c>
      <c r="B48" s="42">
        <v>2</v>
      </c>
      <c r="C48" s="43" t="s">
        <v>218</v>
      </c>
      <c r="D48" s="42" t="s">
        <v>13</v>
      </c>
      <c r="E48" s="42"/>
      <c r="F48" s="42"/>
      <c r="G48" s="42"/>
      <c r="H48" s="44"/>
      <c r="I48" s="44"/>
      <c r="J48" s="44"/>
      <c r="K48" s="44"/>
      <c r="L48" s="44"/>
      <c r="M48" s="44"/>
      <c r="N48" s="44"/>
      <c r="O48" s="44"/>
      <c r="P48" s="45"/>
      <c r="Q48" s="45"/>
    </row>
    <row r="49" spans="1:17" x14ac:dyDescent="0.25">
      <c r="A49" s="51" t="s">
        <v>219</v>
      </c>
      <c r="B49" s="51">
        <v>3</v>
      </c>
      <c r="C49" s="52" t="s">
        <v>220</v>
      </c>
      <c r="D49" s="51" t="s">
        <v>13</v>
      </c>
      <c r="E49" s="51"/>
      <c r="F49" s="51"/>
      <c r="G49" s="51" t="s">
        <v>221</v>
      </c>
      <c r="H49" s="53"/>
      <c r="I49" s="53"/>
      <c r="J49" s="53"/>
      <c r="K49" s="53"/>
      <c r="L49" s="53"/>
      <c r="M49" s="53"/>
      <c r="N49" s="53"/>
      <c r="O49" s="53"/>
      <c r="P49" s="54"/>
      <c r="Q49" s="54"/>
    </row>
    <row r="50" spans="1:17" x14ac:dyDescent="0.25">
      <c r="A50" s="51" t="s">
        <v>222</v>
      </c>
      <c r="B50" s="51">
        <v>4</v>
      </c>
      <c r="C50" s="52" t="s">
        <v>223</v>
      </c>
      <c r="D50" s="51" t="s">
        <v>13</v>
      </c>
      <c r="E50" s="51"/>
      <c r="F50" s="51"/>
      <c r="G50" s="51" t="s">
        <v>221</v>
      </c>
      <c r="H50" s="53"/>
      <c r="I50" s="53"/>
      <c r="J50" s="53"/>
      <c r="K50" s="53"/>
      <c r="L50" s="53"/>
      <c r="M50" s="53"/>
      <c r="N50" s="53"/>
      <c r="O50" s="53"/>
      <c r="P50" s="54"/>
      <c r="Q50" s="54"/>
    </row>
    <row r="51" spans="1:17" ht="51" x14ac:dyDescent="0.25">
      <c r="A51" s="46" t="s">
        <v>224</v>
      </c>
      <c r="B51" s="46">
        <v>5</v>
      </c>
      <c r="C51" s="46" t="s">
        <v>225</v>
      </c>
      <c r="D51" s="46" t="s">
        <v>13</v>
      </c>
      <c r="E51" s="46" t="s">
        <v>54</v>
      </c>
      <c r="F51" s="46" t="s">
        <v>90</v>
      </c>
      <c r="G51" s="46" t="s">
        <v>221</v>
      </c>
      <c r="H51" s="47">
        <v>12</v>
      </c>
      <c r="I51" s="47">
        <v>20</v>
      </c>
      <c r="J51" s="47">
        <v>31</v>
      </c>
      <c r="K51" s="48">
        <f>(H51+4*I51+J51)/6</f>
        <v>20.5</v>
      </c>
      <c r="L51" s="48">
        <f>(J51-H51)/6</f>
        <v>3.1666666666666665</v>
      </c>
      <c r="M51" s="48">
        <f>L51^2</f>
        <v>10.027777777777777</v>
      </c>
      <c r="N51" s="47" t="s">
        <v>226</v>
      </c>
      <c r="O51" s="46" t="s">
        <v>227</v>
      </c>
      <c r="P51" s="49">
        <v>48298776</v>
      </c>
      <c r="Q51" s="50" t="s">
        <v>228</v>
      </c>
    </row>
    <row r="52" spans="1:17" ht="25.5" x14ac:dyDescent="0.25">
      <c r="A52" s="46" t="s">
        <v>229</v>
      </c>
      <c r="B52" s="46">
        <v>5</v>
      </c>
      <c r="C52" s="46" t="s">
        <v>230</v>
      </c>
      <c r="D52" s="46" t="s">
        <v>13</v>
      </c>
      <c r="E52" s="46" t="s">
        <v>54</v>
      </c>
      <c r="F52" s="46" t="s">
        <v>90</v>
      </c>
      <c r="G52" s="46" t="s">
        <v>221</v>
      </c>
      <c r="H52" s="47">
        <v>12</v>
      </c>
      <c r="I52" s="47">
        <v>18</v>
      </c>
      <c r="J52" s="47">
        <v>29</v>
      </c>
      <c r="K52" s="48">
        <f>(H52+4*I52+J52)/6</f>
        <v>18.833333333333332</v>
      </c>
      <c r="L52" s="48">
        <f>(J52-H52)/6</f>
        <v>2.8333333333333335</v>
      </c>
      <c r="M52" s="48">
        <f>L52^2</f>
        <v>8.0277777777777786</v>
      </c>
      <c r="N52" s="47" t="s">
        <v>231</v>
      </c>
      <c r="O52" s="46" t="s">
        <v>232</v>
      </c>
      <c r="P52" s="49">
        <v>43907978</v>
      </c>
      <c r="Q52" s="50" t="s">
        <v>233</v>
      </c>
    </row>
    <row r="53" spans="1:17" ht="25.5" x14ac:dyDescent="0.25">
      <c r="A53" s="46" t="s">
        <v>234</v>
      </c>
      <c r="B53" s="46">
        <v>5</v>
      </c>
      <c r="C53" s="46" t="s">
        <v>235</v>
      </c>
      <c r="D53" s="46" t="s">
        <v>13</v>
      </c>
      <c r="E53" s="46" t="s">
        <v>54</v>
      </c>
      <c r="F53" s="46" t="s">
        <v>90</v>
      </c>
      <c r="G53" s="46" t="s">
        <v>221</v>
      </c>
      <c r="H53" s="47">
        <v>12</v>
      </c>
      <c r="I53" s="47">
        <v>18</v>
      </c>
      <c r="J53" s="47">
        <v>27</v>
      </c>
      <c r="K53" s="48">
        <f>(H53+4*I53+J53)/6</f>
        <v>18.5</v>
      </c>
      <c r="L53" s="48">
        <f>(J53-H53)/6</f>
        <v>2.5</v>
      </c>
      <c r="M53" s="48">
        <f>L53^2</f>
        <v>6.25</v>
      </c>
      <c r="N53" s="47" t="s">
        <v>236</v>
      </c>
      <c r="O53" s="46" t="s">
        <v>237</v>
      </c>
      <c r="P53" s="49">
        <v>43907978</v>
      </c>
      <c r="Q53" s="50" t="s">
        <v>238</v>
      </c>
    </row>
    <row r="54" spans="1:17" ht="25.5" x14ac:dyDescent="0.25">
      <c r="A54" s="46" t="s">
        <v>239</v>
      </c>
      <c r="B54" s="46">
        <v>5</v>
      </c>
      <c r="C54" s="46" t="s">
        <v>240</v>
      </c>
      <c r="D54" s="46" t="s">
        <v>13</v>
      </c>
      <c r="E54" s="46" t="s">
        <v>54</v>
      </c>
      <c r="F54" s="46" t="s">
        <v>90</v>
      </c>
      <c r="G54" s="46" t="s">
        <v>221</v>
      </c>
      <c r="H54" s="47">
        <v>8</v>
      </c>
      <c r="I54" s="47">
        <v>12</v>
      </c>
      <c r="J54" s="47">
        <v>20</v>
      </c>
      <c r="K54" s="48">
        <f>(H54+4*I54+J54)/6</f>
        <v>12.666666666666666</v>
      </c>
      <c r="L54" s="48">
        <f>(J54-H54)/6</f>
        <v>2</v>
      </c>
      <c r="M54" s="48">
        <f>L54^2</f>
        <v>4</v>
      </c>
      <c r="N54" s="47" t="s">
        <v>236</v>
      </c>
      <c r="O54" s="46" t="s">
        <v>241</v>
      </c>
      <c r="P54" s="49">
        <v>30735585</v>
      </c>
      <c r="Q54" s="50" t="s">
        <v>238</v>
      </c>
    </row>
    <row r="55" spans="1:17" ht="25.5" x14ac:dyDescent="0.25">
      <c r="A55" s="46" t="s">
        <v>242</v>
      </c>
      <c r="B55" s="46">
        <v>5</v>
      </c>
      <c r="C55" s="46" t="s">
        <v>243</v>
      </c>
      <c r="D55" s="46" t="s">
        <v>13</v>
      </c>
      <c r="E55" s="46" t="s">
        <v>54</v>
      </c>
      <c r="F55" s="46" t="s">
        <v>90</v>
      </c>
      <c r="G55" s="46" t="s">
        <v>221</v>
      </c>
      <c r="H55" s="47">
        <v>8</v>
      </c>
      <c r="I55" s="47">
        <v>12</v>
      </c>
      <c r="J55" s="47">
        <v>20</v>
      </c>
      <c r="K55" s="48">
        <f>(H55+4*I55+J55)/6</f>
        <v>12.666666666666666</v>
      </c>
      <c r="L55" s="48">
        <f>(J55-H55)/6</f>
        <v>2</v>
      </c>
      <c r="M55" s="48">
        <f>L55^2</f>
        <v>4</v>
      </c>
      <c r="N55" s="47" t="s">
        <v>231</v>
      </c>
      <c r="O55" s="46" t="s">
        <v>244</v>
      </c>
      <c r="P55" s="49">
        <v>30735585</v>
      </c>
      <c r="Q55" s="50" t="s">
        <v>233</v>
      </c>
    </row>
    <row r="56" spans="1:17" x14ac:dyDescent="0.25">
      <c r="A56" s="51" t="s">
        <v>245</v>
      </c>
      <c r="B56" s="51">
        <v>4</v>
      </c>
      <c r="C56" s="52" t="s">
        <v>246</v>
      </c>
      <c r="D56" s="51" t="s">
        <v>13</v>
      </c>
      <c r="E56" s="51"/>
      <c r="F56" s="51"/>
      <c r="G56" s="51" t="s">
        <v>221</v>
      </c>
      <c r="H56" s="53"/>
      <c r="I56" s="53"/>
      <c r="J56" s="53"/>
      <c r="K56" s="53"/>
      <c r="L56" s="53"/>
      <c r="M56" s="53"/>
      <c r="N56" s="53"/>
      <c r="O56" s="53"/>
      <c r="P56" s="54"/>
      <c r="Q56" s="54"/>
    </row>
    <row r="57" spans="1:17" ht="21.75" customHeight="1" x14ac:dyDescent="0.25">
      <c r="A57" s="46" t="s">
        <v>247</v>
      </c>
      <c r="B57" s="46">
        <v>5</v>
      </c>
      <c r="C57" s="46" t="s">
        <v>248</v>
      </c>
      <c r="D57" s="46" t="s">
        <v>13</v>
      </c>
      <c r="E57" s="46" t="s">
        <v>54</v>
      </c>
      <c r="F57" s="46" t="s">
        <v>55</v>
      </c>
      <c r="G57" s="46" t="s">
        <v>221</v>
      </c>
      <c r="H57" s="47">
        <v>10</v>
      </c>
      <c r="I57" s="47">
        <v>16</v>
      </c>
      <c r="J57" s="47">
        <v>25</v>
      </c>
      <c r="K57" s="48">
        <f>(H57+4*I57+J57)/6</f>
        <v>16.5</v>
      </c>
      <c r="L57" s="48">
        <f>(J57-H57)/6</f>
        <v>2.5</v>
      </c>
      <c r="M57" s="48">
        <f>L57^2</f>
        <v>6.25</v>
      </c>
      <c r="N57" s="47" t="s">
        <v>249</v>
      </c>
      <c r="O57" s="46" t="s">
        <v>250</v>
      </c>
      <c r="P57" s="49">
        <v>39517180</v>
      </c>
      <c r="Q57" s="50" t="s">
        <v>251</v>
      </c>
    </row>
    <row r="58" spans="1:17" ht="21.75" customHeight="1" x14ac:dyDescent="0.25">
      <c r="A58" s="46" t="s">
        <v>252</v>
      </c>
      <c r="B58" s="46">
        <v>5</v>
      </c>
      <c r="C58" s="46" t="s">
        <v>253</v>
      </c>
      <c r="D58" s="46" t="s">
        <v>13</v>
      </c>
      <c r="E58" s="46" t="s">
        <v>54</v>
      </c>
      <c r="F58" s="46" t="s">
        <v>55</v>
      </c>
      <c r="G58" s="46" t="s">
        <v>221</v>
      </c>
      <c r="H58" s="47">
        <v>10</v>
      </c>
      <c r="I58" s="47">
        <v>16</v>
      </c>
      <c r="J58" s="47">
        <v>23</v>
      </c>
      <c r="K58" s="48">
        <f>(H58+4*I58+J58)/6</f>
        <v>16.166666666666668</v>
      </c>
      <c r="L58" s="48">
        <f>(J58-H58)/6</f>
        <v>2.1666666666666665</v>
      </c>
      <c r="M58" s="48">
        <f>L58^2</f>
        <v>4.6944444444444438</v>
      </c>
      <c r="N58" s="47" t="s">
        <v>254</v>
      </c>
      <c r="O58" s="46" t="s">
        <v>255</v>
      </c>
      <c r="P58" s="49">
        <v>35126382</v>
      </c>
      <c r="Q58" s="50" t="s">
        <v>256</v>
      </c>
    </row>
    <row r="59" spans="1:17" ht="21.75" customHeight="1" x14ac:dyDescent="0.25">
      <c r="A59" s="46" t="s">
        <v>257</v>
      </c>
      <c r="B59" s="46">
        <v>5</v>
      </c>
      <c r="C59" s="46" t="s">
        <v>258</v>
      </c>
      <c r="D59" s="46" t="s">
        <v>13</v>
      </c>
      <c r="E59" s="46" t="s">
        <v>54</v>
      </c>
      <c r="F59" s="46" t="s">
        <v>55</v>
      </c>
      <c r="G59" s="46" t="s">
        <v>221</v>
      </c>
      <c r="H59" s="47">
        <v>8</v>
      </c>
      <c r="I59" s="47">
        <v>14</v>
      </c>
      <c r="J59" s="47">
        <v>23</v>
      </c>
      <c r="K59" s="48">
        <f>(H59+4*I59+J59)/6</f>
        <v>14.5</v>
      </c>
      <c r="L59" s="48">
        <f>(J59-H59)/6</f>
        <v>2.5</v>
      </c>
      <c r="M59" s="48">
        <f>L59^2</f>
        <v>6.25</v>
      </c>
      <c r="N59" s="47" t="s">
        <v>259</v>
      </c>
      <c r="O59" s="46" t="s">
        <v>260</v>
      </c>
      <c r="P59" s="49">
        <v>35126382</v>
      </c>
      <c r="Q59" s="50" t="s">
        <v>261</v>
      </c>
    </row>
    <row r="60" spans="1:17" ht="21.75" customHeight="1" x14ac:dyDescent="0.25">
      <c r="A60" s="46" t="s">
        <v>262</v>
      </c>
      <c r="B60" s="46">
        <v>5</v>
      </c>
      <c r="C60" s="46" t="s">
        <v>263</v>
      </c>
      <c r="D60" s="46" t="s">
        <v>13</v>
      </c>
      <c r="E60" s="46" t="s">
        <v>54</v>
      </c>
      <c r="F60" s="46" t="s">
        <v>55</v>
      </c>
      <c r="G60" s="46" t="s">
        <v>221</v>
      </c>
      <c r="H60" s="47">
        <v>6</v>
      </c>
      <c r="I60" s="47">
        <v>10</v>
      </c>
      <c r="J60" s="47">
        <v>16</v>
      </c>
      <c r="K60" s="48">
        <f>(H60+4*I60+J60)/6</f>
        <v>10.333333333333334</v>
      </c>
      <c r="L60" s="48">
        <f>(J60-H60)/6</f>
        <v>1.6666666666666667</v>
      </c>
      <c r="M60" s="48">
        <f>L60^2</f>
        <v>2.7777777777777781</v>
      </c>
      <c r="N60" s="47" t="s">
        <v>259</v>
      </c>
      <c r="O60" s="46" t="s">
        <v>264</v>
      </c>
      <c r="P60" s="49">
        <v>21953989</v>
      </c>
      <c r="Q60" s="50" t="s">
        <v>261</v>
      </c>
    </row>
    <row r="61" spans="1:17" ht="21.75" customHeight="1" x14ac:dyDescent="0.25">
      <c r="A61" s="46" t="s">
        <v>265</v>
      </c>
      <c r="B61" s="46">
        <v>5</v>
      </c>
      <c r="C61" s="46" t="s">
        <v>266</v>
      </c>
      <c r="D61" s="46" t="s">
        <v>13</v>
      </c>
      <c r="E61" s="46" t="s">
        <v>54</v>
      </c>
      <c r="F61" s="46" t="s">
        <v>55</v>
      </c>
      <c r="G61" s="46" t="s">
        <v>221</v>
      </c>
      <c r="H61" s="47">
        <v>8</v>
      </c>
      <c r="I61" s="47">
        <v>12</v>
      </c>
      <c r="J61" s="47">
        <v>20</v>
      </c>
      <c r="K61" s="48">
        <f>(H61+4*I61+J61)/6</f>
        <v>12.666666666666666</v>
      </c>
      <c r="L61" s="48">
        <f>(J61-H61)/6</f>
        <v>2</v>
      </c>
      <c r="M61" s="48">
        <f>L61^2</f>
        <v>4</v>
      </c>
      <c r="N61" s="47" t="s">
        <v>267</v>
      </c>
      <c r="O61" s="46" t="s">
        <v>268</v>
      </c>
      <c r="P61" s="49">
        <v>30735585</v>
      </c>
      <c r="Q61" s="50" t="s">
        <v>269</v>
      </c>
    </row>
    <row r="62" spans="1:17" x14ac:dyDescent="0.25">
      <c r="A62" s="51" t="s">
        <v>270</v>
      </c>
      <c r="B62" s="51">
        <v>3</v>
      </c>
      <c r="C62" s="52" t="s">
        <v>271</v>
      </c>
      <c r="D62" s="51" t="s">
        <v>13</v>
      </c>
      <c r="E62" s="51"/>
      <c r="F62" s="51"/>
      <c r="G62" s="51" t="s">
        <v>221</v>
      </c>
      <c r="H62" s="53"/>
      <c r="I62" s="53"/>
      <c r="J62" s="53"/>
      <c r="K62" s="53"/>
      <c r="L62" s="53"/>
      <c r="M62" s="53"/>
      <c r="N62" s="53"/>
      <c r="O62" s="53"/>
      <c r="P62" s="54"/>
      <c r="Q62" s="54"/>
    </row>
    <row r="63" spans="1:17" x14ac:dyDescent="0.25">
      <c r="A63" s="51" t="s">
        <v>272</v>
      </c>
      <c r="B63" s="51">
        <v>4</v>
      </c>
      <c r="C63" s="52" t="s">
        <v>273</v>
      </c>
      <c r="D63" s="51" t="s">
        <v>13</v>
      </c>
      <c r="E63" s="51"/>
      <c r="F63" s="51"/>
      <c r="G63" s="51" t="s">
        <v>221</v>
      </c>
      <c r="H63" s="53"/>
      <c r="I63" s="53"/>
      <c r="J63" s="53"/>
      <c r="K63" s="53"/>
      <c r="L63" s="53"/>
      <c r="M63" s="53"/>
      <c r="N63" s="53"/>
      <c r="O63" s="53"/>
      <c r="P63" s="54"/>
      <c r="Q63" s="54"/>
    </row>
    <row r="64" spans="1:17" ht="19.5" customHeight="1" x14ac:dyDescent="0.25">
      <c r="A64" s="46" t="s">
        <v>274</v>
      </c>
      <c r="B64" s="46">
        <v>5</v>
      </c>
      <c r="C64" s="46" t="s">
        <v>275</v>
      </c>
      <c r="D64" s="46" t="s">
        <v>13</v>
      </c>
      <c r="E64" s="46" t="s">
        <v>54</v>
      </c>
      <c r="F64" s="46" t="s">
        <v>90</v>
      </c>
      <c r="G64" s="46" t="s">
        <v>221</v>
      </c>
      <c r="H64" s="47">
        <v>12</v>
      </c>
      <c r="I64" s="47">
        <v>18</v>
      </c>
      <c r="J64" s="47">
        <v>27</v>
      </c>
      <c r="K64" s="48">
        <f>(H64+4*I64+J64)/6</f>
        <v>18.5</v>
      </c>
      <c r="L64" s="48">
        <f>(J64-H64)/6</f>
        <v>2.5</v>
      </c>
      <c r="M64" s="48">
        <f>L64^2</f>
        <v>6.25</v>
      </c>
      <c r="N64" s="47" t="s">
        <v>249</v>
      </c>
      <c r="O64" s="46" t="s">
        <v>276</v>
      </c>
      <c r="P64" s="49">
        <v>43907978</v>
      </c>
      <c r="Q64" s="50" t="s">
        <v>251</v>
      </c>
    </row>
    <row r="65" spans="1:17" ht="19.5" customHeight="1" x14ac:dyDescent="0.25">
      <c r="A65" s="46" t="s">
        <v>277</v>
      </c>
      <c r="B65" s="46">
        <v>5</v>
      </c>
      <c r="C65" s="46" t="s">
        <v>278</v>
      </c>
      <c r="D65" s="46" t="s">
        <v>13</v>
      </c>
      <c r="E65" s="46" t="s">
        <v>54</v>
      </c>
      <c r="F65" s="46" t="s">
        <v>90</v>
      </c>
      <c r="G65" s="46" t="s">
        <v>221</v>
      </c>
      <c r="H65" s="47">
        <v>10</v>
      </c>
      <c r="I65" s="47">
        <v>16</v>
      </c>
      <c r="J65" s="47">
        <v>23</v>
      </c>
      <c r="K65" s="48">
        <f>(H65+4*I65+J65)/6</f>
        <v>16.166666666666668</v>
      </c>
      <c r="L65" s="48">
        <f>(J65-H65)/6</f>
        <v>2.1666666666666665</v>
      </c>
      <c r="M65" s="48">
        <f>L65^2</f>
        <v>4.6944444444444438</v>
      </c>
      <c r="N65" s="47" t="s">
        <v>279</v>
      </c>
      <c r="O65" s="46" t="s">
        <v>280</v>
      </c>
      <c r="P65" s="49">
        <v>35126382</v>
      </c>
      <c r="Q65" s="50" t="s">
        <v>281</v>
      </c>
    </row>
    <row r="66" spans="1:17" ht="19.5" customHeight="1" x14ac:dyDescent="0.25">
      <c r="A66" s="46" t="s">
        <v>282</v>
      </c>
      <c r="B66" s="46">
        <v>5</v>
      </c>
      <c r="C66" s="46" t="s">
        <v>283</v>
      </c>
      <c r="D66" s="46" t="s">
        <v>13</v>
      </c>
      <c r="E66" s="46" t="s">
        <v>54</v>
      </c>
      <c r="F66" s="46" t="s">
        <v>94</v>
      </c>
      <c r="G66" s="46" t="s">
        <v>221</v>
      </c>
      <c r="H66" s="47">
        <v>6</v>
      </c>
      <c r="I66" s="47">
        <v>10</v>
      </c>
      <c r="J66" s="47">
        <v>18</v>
      </c>
      <c r="K66" s="48">
        <f>(H66+4*I66+J66)/6</f>
        <v>10.666666666666666</v>
      </c>
      <c r="L66" s="48">
        <f>(J66-H66)/6</f>
        <v>2</v>
      </c>
      <c r="M66" s="48">
        <f>L66^2</f>
        <v>4</v>
      </c>
      <c r="N66" s="47" t="s">
        <v>284</v>
      </c>
      <c r="O66" s="46" t="s">
        <v>285</v>
      </c>
      <c r="P66" s="49">
        <v>21953989</v>
      </c>
      <c r="Q66" s="50" t="s">
        <v>286</v>
      </c>
    </row>
    <row r="67" spans="1:17" ht="19.5" customHeight="1" x14ac:dyDescent="0.25">
      <c r="A67" s="46" t="s">
        <v>287</v>
      </c>
      <c r="B67" s="46">
        <v>5</v>
      </c>
      <c r="C67" s="46" t="s">
        <v>288</v>
      </c>
      <c r="D67" s="46" t="s">
        <v>13</v>
      </c>
      <c r="E67" s="46" t="s">
        <v>54</v>
      </c>
      <c r="F67" s="46" t="s">
        <v>90</v>
      </c>
      <c r="G67" s="46" t="s">
        <v>221</v>
      </c>
      <c r="H67" s="47">
        <v>8</v>
      </c>
      <c r="I67" s="47">
        <v>12</v>
      </c>
      <c r="J67" s="47">
        <v>18</v>
      </c>
      <c r="K67" s="48">
        <f>(H67+4*I67+J67)/6</f>
        <v>12.333333333333334</v>
      </c>
      <c r="L67" s="48">
        <f>(J67-H67)/6</f>
        <v>1.6666666666666667</v>
      </c>
      <c r="M67" s="48">
        <f>L67^2</f>
        <v>2.7777777777777781</v>
      </c>
      <c r="N67" s="47" t="s">
        <v>284</v>
      </c>
      <c r="O67" s="46" t="s">
        <v>289</v>
      </c>
      <c r="P67" s="49">
        <v>26344787</v>
      </c>
      <c r="Q67" s="50" t="s">
        <v>286</v>
      </c>
    </row>
    <row r="68" spans="1:17" ht="19.5" customHeight="1" x14ac:dyDescent="0.25">
      <c r="A68" s="46" t="s">
        <v>290</v>
      </c>
      <c r="B68" s="46">
        <v>5</v>
      </c>
      <c r="C68" s="46" t="s">
        <v>291</v>
      </c>
      <c r="D68" s="46" t="s">
        <v>13</v>
      </c>
      <c r="E68" s="46" t="s">
        <v>54</v>
      </c>
      <c r="F68" s="46" t="s">
        <v>55</v>
      </c>
      <c r="G68" s="46" t="s">
        <v>221</v>
      </c>
      <c r="H68" s="47">
        <v>6</v>
      </c>
      <c r="I68" s="47">
        <v>10</v>
      </c>
      <c r="J68" s="47">
        <v>16</v>
      </c>
      <c r="K68" s="48">
        <f>(H68+4*I68+J68)/6</f>
        <v>10.333333333333334</v>
      </c>
      <c r="L68" s="48">
        <f>(J68-H68)/6</f>
        <v>1.6666666666666667</v>
      </c>
      <c r="M68" s="48">
        <f>L68^2</f>
        <v>2.7777777777777781</v>
      </c>
      <c r="N68" s="47" t="s">
        <v>292</v>
      </c>
      <c r="O68" s="46" t="s">
        <v>293</v>
      </c>
      <c r="P68" s="49">
        <v>21953989</v>
      </c>
      <c r="Q68" s="50" t="s">
        <v>294</v>
      </c>
    </row>
    <row r="69" spans="1:17" ht="25.5" x14ac:dyDescent="0.25">
      <c r="A69" s="51" t="s">
        <v>295</v>
      </c>
      <c r="B69" s="51">
        <v>4</v>
      </c>
      <c r="C69" s="52" t="s">
        <v>296</v>
      </c>
      <c r="D69" s="51" t="s">
        <v>13</v>
      </c>
      <c r="E69" s="51"/>
      <c r="F69" s="51"/>
      <c r="G69" s="51" t="s">
        <v>221</v>
      </c>
      <c r="H69" s="53"/>
      <c r="I69" s="53"/>
      <c r="J69" s="53"/>
      <c r="K69" s="53"/>
      <c r="L69" s="53"/>
      <c r="M69" s="53"/>
      <c r="N69" s="53"/>
      <c r="O69" s="53"/>
      <c r="P69" s="54"/>
      <c r="Q69" s="54"/>
    </row>
    <row r="70" spans="1:17" ht="18.75" customHeight="1" x14ac:dyDescent="0.25">
      <c r="A70" s="46" t="s">
        <v>297</v>
      </c>
      <c r="B70" s="46">
        <v>5</v>
      </c>
      <c r="C70" s="46" t="s">
        <v>298</v>
      </c>
      <c r="D70" s="46" t="s">
        <v>13</v>
      </c>
      <c r="E70" s="46" t="s">
        <v>54</v>
      </c>
      <c r="F70" s="46" t="s">
        <v>90</v>
      </c>
      <c r="G70" s="46" t="s">
        <v>221</v>
      </c>
      <c r="H70" s="47">
        <v>14</v>
      </c>
      <c r="I70" s="47">
        <v>21</v>
      </c>
      <c r="J70" s="47">
        <v>34</v>
      </c>
      <c r="K70" s="48">
        <f>(H70+4*I70+J70)/6</f>
        <v>22</v>
      </c>
      <c r="L70" s="48">
        <f>(J70-H70)/6</f>
        <v>3.3333333333333335</v>
      </c>
      <c r="M70" s="48">
        <f>L70^2</f>
        <v>11.111111111111112</v>
      </c>
      <c r="N70" s="47" t="s">
        <v>267</v>
      </c>
      <c r="O70" s="46" t="s">
        <v>299</v>
      </c>
      <c r="P70" s="49">
        <v>52689574</v>
      </c>
      <c r="Q70" s="50" t="s">
        <v>269</v>
      </c>
    </row>
    <row r="71" spans="1:17" ht="18.75" customHeight="1" x14ac:dyDescent="0.25">
      <c r="A71" s="46" t="s">
        <v>300</v>
      </c>
      <c r="B71" s="46">
        <v>5</v>
      </c>
      <c r="C71" s="46" t="s">
        <v>301</v>
      </c>
      <c r="D71" s="46" t="s">
        <v>13</v>
      </c>
      <c r="E71" s="46" t="s">
        <v>54</v>
      </c>
      <c r="F71" s="46" t="s">
        <v>90</v>
      </c>
      <c r="G71" s="46" t="s">
        <v>221</v>
      </c>
      <c r="H71" s="47">
        <v>14</v>
      </c>
      <c r="I71" s="47">
        <v>21</v>
      </c>
      <c r="J71" s="47">
        <v>34</v>
      </c>
      <c r="K71" s="48">
        <f>(H71+4*I71+J71)/6</f>
        <v>22</v>
      </c>
      <c r="L71" s="48">
        <f>(J71-H71)/6</f>
        <v>3.3333333333333335</v>
      </c>
      <c r="M71" s="48">
        <f>L71^2</f>
        <v>11.111111111111112</v>
      </c>
      <c r="N71" s="47" t="s">
        <v>267</v>
      </c>
      <c r="O71" s="46" t="s">
        <v>302</v>
      </c>
      <c r="P71" s="49">
        <v>52689574</v>
      </c>
      <c r="Q71" s="50" t="s">
        <v>269</v>
      </c>
    </row>
    <row r="72" spans="1:17" ht="18.75" customHeight="1" x14ac:dyDescent="0.25">
      <c r="A72" s="46" t="s">
        <v>303</v>
      </c>
      <c r="B72" s="46">
        <v>5</v>
      </c>
      <c r="C72" s="46" t="s">
        <v>304</v>
      </c>
      <c r="D72" s="46" t="s">
        <v>13</v>
      </c>
      <c r="E72" s="46" t="s">
        <v>54</v>
      </c>
      <c r="F72" s="46" t="s">
        <v>55</v>
      </c>
      <c r="G72" s="46" t="s">
        <v>221</v>
      </c>
      <c r="H72" s="47">
        <v>12</v>
      </c>
      <c r="I72" s="47">
        <v>20</v>
      </c>
      <c r="J72" s="47">
        <v>31</v>
      </c>
      <c r="K72" s="48">
        <f>(H72+4*I72+J72)/6</f>
        <v>20.5</v>
      </c>
      <c r="L72" s="48">
        <f>(J72-H72)/6</f>
        <v>3.1666666666666665</v>
      </c>
      <c r="M72" s="48">
        <f>L72^2</f>
        <v>10.027777777777777</v>
      </c>
      <c r="N72" s="47" t="s">
        <v>305</v>
      </c>
      <c r="O72" s="46" t="s">
        <v>306</v>
      </c>
      <c r="P72" s="49">
        <v>48298776</v>
      </c>
      <c r="Q72" s="50" t="s">
        <v>307</v>
      </c>
    </row>
    <row r="73" spans="1:17" ht="18.75" customHeight="1" x14ac:dyDescent="0.25">
      <c r="A73" s="46" t="s">
        <v>308</v>
      </c>
      <c r="B73" s="46">
        <v>5</v>
      </c>
      <c r="C73" s="46" t="s">
        <v>309</v>
      </c>
      <c r="D73" s="46" t="s">
        <v>13</v>
      </c>
      <c r="E73" s="46" t="s">
        <v>54</v>
      </c>
      <c r="F73" s="46" t="s">
        <v>90</v>
      </c>
      <c r="G73" s="46" t="s">
        <v>221</v>
      </c>
      <c r="H73" s="47">
        <v>8</v>
      </c>
      <c r="I73" s="47">
        <v>12</v>
      </c>
      <c r="J73" s="47">
        <v>18</v>
      </c>
      <c r="K73" s="48">
        <f>(H73+4*I73+J73)/6</f>
        <v>12.333333333333334</v>
      </c>
      <c r="L73" s="48">
        <f>(J73-H73)/6</f>
        <v>1.6666666666666667</v>
      </c>
      <c r="M73" s="48">
        <f>L73^2</f>
        <v>2.7777777777777781</v>
      </c>
      <c r="N73" s="47" t="s">
        <v>310</v>
      </c>
      <c r="O73" s="46" t="s">
        <v>311</v>
      </c>
      <c r="P73" s="49">
        <v>26344787</v>
      </c>
      <c r="Q73" s="50" t="s">
        <v>312</v>
      </c>
    </row>
    <row r="74" spans="1:17" ht="18.75" customHeight="1" x14ac:dyDescent="0.25">
      <c r="A74" s="46" t="s">
        <v>313</v>
      </c>
      <c r="B74" s="46">
        <v>5</v>
      </c>
      <c r="C74" s="46" t="s">
        <v>314</v>
      </c>
      <c r="D74" s="46" t="s">
        <v>13</v>
      </c>
      <c r="E74" s="46" t="s">
        <v>54</v>
      </c>
      <c r="F74" s="46" t="s">
        <v>90</v>
      </c>
      <c r="G74" s="46" t="s">
        <v>221</v>
      </c>
      <c r="H74" s="47">
        <v>8</v>
      </c>
      <c r="I74" s="47">
        <v>12</v>
      </c>
      <c r="J74" s="47">
        <v>18</v>
      </c>
      <c r="K74" s="48">
        <f>(H74+4*I74+J74)/6</f>
        <v>12.333333333333334</v>
      </c>
      <c r="L74" s="48">
        <f>(J74-H74)/6</f>
        <v>1.6666666666666667</v>
      </c>
      <c r="M74" s="48">
        <f>L74^2</f>
        <v>2.7777777777777781</v>
      </c>
      <c r="N74" s="47" t="s">
        <v>315</v>
      </c>
      <c r="O74" s="46" t="s">
        <v>316</v>
      </c>
      <c r="P74" s="49">
        <v>26344787</v>
      </c>
      <c r="Q74" s="50" t="s">
        <v>317</v>
      </c>
    </row>
    <row r="75" spans="1:17" x14ac:dyDescent="0.25">
      <c r="A75" s="51" t="s">
        <v>318</v>
      </c>
      <c r="B75" s="51">
        <v>4</v>
      </c>
      <c r="C75" s="52" t="s">
        <v>319</v>
      </c>
      <c r="D75" s="51" t="s">
        <v>13</v>
      </c>
      <c r="E75" s="51"/>
      <c r="F75" s="51"/>
      <c r="G75" s="51" t="s">
        <v>221</v>
      </c>
      <c r="H75" s="53"/>
      <c r="I75" s="53"/>
      <c r="J75" s="53"/>
      <c r="K75" s="53"/>
      <c r="L75" s="53"/>
      <c r="M75" s="53"/>
      <c r="N75" s="53"/>
      <c r="O75" s="53"/>
      <c r="P75" s="54"/>
      <c r="Q75" s="54"/>
    </row>
    <row r="76" spans="1:17" ht="17.25" customHeight="1" x14ac:dyDescent="0.25">
      <c r="A76" s="46" t="s">
        <v>320</v>
      </c>
      <c r="B76" s="46">
        <v>5</v>
      </c>
      <c r="C76" s="46" t="s">
        <v>321</v>
      </c>
      <c r="D76" s="46" t="s">
        <v>13</v>
      </c>
      <c r="E76" s="46" t="s">
        <v>54</v>
      </c>
      <c r="F76" s="46" t="s">
        <v>90</v>
      </c>
      <c r="G76" s="46" t="s">
        <v>221</v>
      </c>
      <c r="H76" s="47">
        <v>12</v>
      </c>
      <c r="I76" s="47">
        <v>18</v>
      </c>
      <c r="J76" s="47">
        <v>29</v>
      </c>
      <c r="K76" s="48">
        <f t="shared" ref="K76:K81" si="0">(H76+4*I76+J76)/6</f>
        <v>18.833333333333332</v>
      </c>
      <c r="L76" s="48">
        <f t="shared" ref="L76:L81" si="1">(J76-H76)/6</f>
        <v>2.8333333333333335</v>
      </c>
      <c r="M76" s="48">
        <f t="shared" ref="M76:M81" si="2">L76^2</f>
        <v>8.0277777777777786</v>
      </c>
      <c r="N76" s="47" t="s">
        <v>292</v>
      </c>
      <c r="O76" s="46" t="s">
        <v>322</v>
      </c>
      <c r="P76" s="49">
        <v>43907978</v>
      </c>
      <c r="Q76" s="50" t="s">
        <v>294</v>
      </c>
    </row>
    <row r="77" spans="1:17" ht="17.25" customHeight="1" x14ac:dyDescent="0.25">
      <c r="A77" s="46" t="s">
        <v>323</v>
      </c>
      <c r="B77" s="46">
        <v>5</v>
      </c>
      <c r="C77" s="46" t="s">
        <v>324</v>
      </c>
      <c r="D77" s="46" t="s">
        <v>13</v>
      </c>
      <c r="E77" s="46" t="s">
        <v>54</v>
      </c>
      <c r="F77" s="46" t="s">
        <v>90</v>
      </c>
      <c r="G77" s="46" t="s">
        <v>221</v>
      </c>
      <c r="H77" s="47">
        <v>8</v>
      </c>
      <c r="I77" s="47">
        <v>12</v>
      </c>
      <c r="J77" s="47">
        <v>20</v>
      </c>
      <c r="K77" s="48">
        <f t="shared" si="0"/>
        <v>12.666666666666666</v>
      </c>
      <c r="L77" s="48">
        <f t="shared" si="1"/>
        <v>2</v>
      </c>
      <c r="M77" s="48">
        <f t="shared" si="2"/>
        <v>4</v>
      </c>
      <c r="N77" s="47" t="s">
        <v>325</v>
      </c>
      <c r="O77" s="46" t="s">
        <v>326</v>
      </c>
      <c r="P77" s="49">
        <v>30735585</v>
      </c>
      <c r="Q77" s="50" t="s">
        <v>327</v>
      </c>
    </row>
    <row r="78" spans="1:17" ht="17.25" customHeight="1" x14ac:dyDescent="0.25">
      <c r="A78" s="46" t="s">
        <v>328</v>
      </c>
      <c r="B78" s="46">
        <v>5</v>
      </c>
      <c r="C78" s="46" t="s">
        <v>329</v>
      </c>
      <c r="D78" s="46" t="s">
        <v>13</v>
      </c>
      <c r="E78" s="46" t="s">
        <v>54</v>
      </c>
      <c r="F78" s="46" t="s">
        <v>90</v>
      </c>
      <c r="G78" s="46" t="s">
        <v>221</v>
      </c>
      <c r="H78" s="47">
        <v>6</v>
      </c>
      <c r="I78" s="47">
        <v>10</v>
      </c>
      <c r="J78" s="47">
        <v>16</v>
      </c>
      <c r="K78" s="48">
        <f t="shared" si="0"/>
        <v>10.333333333333334</v>
      </c>
      <c r="L78" s="48">
        <f t="shared" si="1"/>
        <v>1.6666666666666667</v>
      </c>
      <c r="M78" s="48">
        <f t="shared" si="2"/>
        <v>2.7777777777777781</v>
      </c>
      <c r="N78" s="47" t="s">
        <v>330</v>
      </c>
      <c r="O78" s="46" t="s">
        <v>331</v>
      </c>
      <c r="P78" s="49">
        <v>21953989</v>
      </c>
      <c r="Q78" s="50" t="s">
        <v>332</v>
      </c>
    </row>
    <row r="79" spans="1:17" ht="17.25" customHeight="1" x14ac:dyDescent="0.25">
      <c r="A79" s="46" t="s">
        <v>333</v>
      </c>
      <c r="B79" s="46">
        <v>5</v>
      </c>
      <c r="C79" s="46" t="s">
        <v>334</v>
      </c>
      <c r="D79" s="46" t="s">
        <v>13</v>
      </c>
      <c r="E79" s="46" t="s">
        <v>54</v>
      </c>
      <c r="F79" s="46" t="s">
        <v>90</v>
      </c>
      <c r="G79" s="46" t="s">
        <v>221</v>
      </c>
      <c r="H79" s="47">
        <v>6</v>
      </c>
      <c r="I79" s="47">
        <v>10</v>
      </c>
      <c r="J79" s="47">
        <v>16</v>
      </c>
      <c r="K79" s="48">
        <f t="shared" si="0"/>
        <v>10.333333333333334</v>
      </c>
      <c r="L79" s="48">
        <f t="shared" si="1"/>
        <v>1.6666666666666667</v>
      </c>
      <c r="M79" s="48">
        <f t="shared" si="2"/>
        <v>2.7777777777777781</v>
      </c>
      <c r="N79" s="47" t="s">
        <v>335</v>
      </c>
      <c r="O79" s="46" t="s">
        <v>336</v>
      </c>
      <c r="P79" s="49">
        <v>21953989</v>
      </c>
      <c r="Q79" s="50" t="s">
        <v>337</v>
      </c>
    </row>
    <row r="80" spans="1:17" ht="17.25" customHeight="1" x14ac:dyDescent="0.25">
      <c r="A80" s="46" t="s">
        <v>338</v>
      </c>
      <c r="B80" s="46">
        <v>5</v>
      </c>
      <c r="C80" s="46" t="s">
        <v>339</v>
      </c>
      <c r="D80" s="46" t="s">
        <v>13</v>
      </c>
      <c r="E80" s="46" t="s">
        <v>54</v>
      </c>
      <c r="F80" s="46" t="s">
        <v>90</v>
      </c>
      <c r="G80" s="46" t="s">
        <v>221</v>
      </c>
      <c r="H80" s="47">
        <v>6</v>
      </c>
      <c r="I80" s="47">
        <v>10</v>
      </c>
      <c r="J80" s="47">
        <v>16</v>
      </c>
      <c r="K80" s="48">
        <f t="shared" si="0"/>
        <v>10.333333333333334</v>
      </c>
      <c r="L80" s="48">
        <f t="shared" si="1"/>
        <v>1.6666666666666667</v>
      </c>
      <c r="M80" s="48">
        <f t="shared" si="2"/>
        <v>2.7777777777777781</v>
      </c>
      <c r="N80" s="47" t="s">
        <v>340</v>
      </c>
      <c r="O80" s="46" t="s">
        <v>341</v>
      </c>
      <c r="P80" s="49">
        <v>21953989</v>
      </c>
      <c r="Q80" s="50" t="s">
        <v>342</v>
      </c>
    </row>
    <row r="81" spans="1:17" ht="17.25" customHeight="1" x14ac:dyDescent="0.25">
      <c r="A81" s="46" t="s">
        <v>343</v>
      </c>
      <c r="B81" s="46">
        <v>3</v>
      </c>
      <c r="C81" s="46" t="s">
        <v>344</v>
      </c>
      <c r="D81" s="46" t="s">
        <v>13</v>
      </c>
      <c r="E81" s="46" t="s">
        <v>54</v>
      </c>
      <c r="F81" s="46" t="s">
        <v>55</v>
      </c>
      <c r="G81" s="46" t="s">
        <v>345</v>
      </c>
      <c r="H81" s="47">
        <v>3</v>
      </c>
      <c r="I81" s="47">
        <v>6</v>
      </c>
      <c r="J81" s="47">
        <v>10</v>
      </c>
      <c r="K81" s="48">
        <f t="shared" si="0"/>
        <v>6.166666666666667</v>
      </c>
      <c r="L81" s="48">
        <f t="shared" si="1"/>
        <v>1.1666666666666667</v>
      </c>
      <c r="M81" s="48">
        <f t="shared" si="2"/>
        <v>1.3611111111111114</v>
      </c>
      <c r="N81" s="47" t="s">
        <v>346</v>
      </c>
      <c r="O81" s="46" t="s">
        <v>347</v>
      </c>
      <c r="P81" s="49">
        <v>17563191</v>
      </c>
      <c r="Q81" s="50" t="s">
        <v>348</v>
      </c>
    </row>
    <row r="82" spans="1:17" ht="23.25" customHeight="1" x14ac:dyDescent="0.25">
      <c r="A82" s="46" t="s">
        <v>349</v>
      </c>
      <c r="B82" s="46">
        <v>3</v>
      </c>
      <c r="C82" s="46" t="s">
        <v>350</v>
      </c>
      <c r="D82" s="46" t="s">
        <v>13</v>
      </c>
      <c r="E82" s="46"/>
      <c r="F82" s="46"/>
      <c r="G82" s="46"/>
      <c r="H82" s="55"/>
      <c r="I82" s="55"/>
      <c r="J82" s="55"/>
      <c r="K82" s="55"/>
      <c r="L82" s="55"/>
      <c r="M82" s="55"/>
      <c r="N82" s="47" t="s">
        <v>351</v>
      </c>
      <c r="O82" s="46" t="s">
        <v>216</v>
      </c>
      <c r="Q82" s="50" t="s">
        <v>352</v>
      </c>
    </row>
    <row r="83" spans="1:17" ht="18" customHeight="1" x14ac:dyDescent="0.25">
      <c r="A83" s="46" t="s">
        <v>353</v>
      </c>
      <c r="B83" s="46">
        <v>3</v>
      </c>
      <c r="C83" s="46" t="s">
        <v>354</v>
      </c>
      <c r="D83" s="46" t="s">
        <v>13</v>
      </c>
      <c r="E83" s="46"/>
      <c r="F83" s="46"/>
      <c r="G83" s="46"/>
      <c r="H83" s="55"/>
      <c r="I83" s="55"/>
      <c r="J83" s="55"/>
      <c r="K83" s="55"/>
      <c r="L83" s="55"/>
      <c r="M83" s="55"/>
      <c r="N83" s="47" t="s">
        <v>355</v>
      </c>
      <c r="O83" s="46" t="s">
        <v>216</v>
      </c>
      <c r="Q83" s="50" t="s">
        <v>356</v>
      </c>
    </row>
    <row r="84" spans="1:17" x14ac:dyDescent="0.25">
      <c r="A84" s="42" t="s">
        <v>357</v>
      </c>
      <c r="B84" s="42">
        <v>2</v>
      </c>
      <c r="C84" s="43" t="s">
        <v>358</v>
      </c>
      <c r="D84" s="42" t="s">
        <v>14</v>
      </c>
      <c r="E84" s="42"/>
      <c r="F84" s="42"/>
      <c r="G84" s="42"/>
      <c r="H84" s="44"/>
      <c r="I84" s="44"/>
      <c r="J84" s="44"/>
      <c r="K84" s="44"/>
      <c r="L84" s="44"/>
      <c r="M84" s="44"/>
      <c r="N84" s="44"/>
      <c r="O84" s="44"/>
      <c r="P84" s="45"/>
      <c r="Q84" s="45"/>
    </row>
    <row r="85" spans="1:17" x14ac:dyDescent="0.25">
      <c r="A85" s="51" t="s">
        <v>359</v>
      </c>
      <c r="B85" s="51">
        <v>3</v>
      </c>
      <c r="C85" s="52" t="s">
        <v>360</v>
      </c>
      <c r="D85" s="51" t="s">
        <v>14</v>
      </c>
      <c r="E85" s="51"/>
      <c r="F85" s="51"/>
      <c r="G85" s="51"/>
      <c r="H85" s="53"/>
      <c r="I85" s="53"/>
      <c r="J85" s="53"/>
      <c r="K85" s="53"/>
      <c r="L85" s="53"/>
      <c r="M85" s="53"/>
      <c r="N85" s="53"/>
      <c r="O85" s="53"/>
      <c r="P85" s="54"/>
      <c r="Q85" s="54"/>
    </row>
    <row r="86" spans="1:17" x14ac:dyDescent="0.25">
      <c r="A86" s="51" t="s">
        <v>361</v>
      </c>
      <c r="B86" s="51">
        <v>4</v>
      </c>
      <c r="C86" s="52" t="s">
        <v>362</v>
      </c>
      <c r="D86" s="51" t="s">
        <v>14</v>
      </c>
      <c r="E86" s="51"/>
      <c r="F86" s="51"/>
      <c r="G86" s="51" t="s">
        <v>363</v>
      </c>
      <c r="H86" s="53"/>
      <c r="I86" s="53"/>
      <c r="J86" s="53"/>
      <c r="K86" s="53"/>
      <c r="L86" s="53"/>
      <c r="M86" s="53"/>
      <c r="N86" s="53"/>
      <c r="O86" s="53"/>
      <c r="P86" s="54"/>
      <c r="Q86" s="54"/>
    </row>
    <row r="87" spans="1:17" x14ac:dyDescent="0.25">
      <c r="A87" s="46" t="s">
        <v>364</v>
      </c>
      <c r="B87" s="46">
        <v>5</v>
      </c>
      <c r="C87" s="46" t="s">
        <v>365</v>
      </c>
      <c r="D87" s="46" t="s">
        <v>14</v>
      </c>
      <c r="E87" s="46" t="s">
        <v>366</v>
      </c>
      <c r="F87" s="46" t="s">
        <v>90</v>
      </c>
      <c r="G87" s="46" t="s">
        <v>56</v>
      </c>
      <c r="H87" s="47">
        <v>3</v>
      </c>
      <c r="I87" s="47">
        <v>6</v>
      </c>
      <c r="J87" s="47">
        <v>9</v>
      </c>
      <c r="K87" s="48">
        <f t="shared" ref="K87:K105" si="3">(H87+4*I87+J87)/6</f>
        <v>6</v>
      </c>
      <c r="L87" s="48">
        <f t="shared" ref="L87:L105" si="4">(J87-H87)/6</f>
        <v>1</v>
      </c>
      <c r="M87" s="48">
        <f t="shared" ref="M87:M105" si="5">L87^2</f>
        <v>1</v>
      </c>
      <c r="N87" s="47" t="s">
        <v>355</v>
      </c>
      <c r="O87" s="46" t="s">
        <v>367</v>
      </c>
      <c r="P87" s="49">
        <v>141694108</v>
      </c>
      <c r="Q87" s="50" t="s">
        <v>356</v>
      </c>
    </row>
    <row r="88" spans="1:17" x14ac:dyDescent="0.25">
      <c r="A88" s="46" t="s">
        <v>368</v>
      </c>
      <c r="B88" s="46">
        <v>5</v>
      </c>
      <c r="C88" s="46" t="s">
        <v>369</v>
      </c>
      <c r="D88" s="46" t="s">
        <v>14</v>
      </c>
      <c r="E88" s="46" t="s">
        <v>366</v>
      </c>
      <c r="F88" s="46" t="s">
        <v>90</v>
      </c>
      <c r="G88" s="46" t="s">
        <v>370</v>
      </c>
      <c r="H88" s="47">
        <v>3</v>
      </c>
      <c r="I88" s="47">
        <v>4</v>
      </c>
      <c r="J88" s="47">
        <v>8</v>
      </c>
      <c r="K88" s="48">
        <f t="shared" si="3"/>
        <v>4.5</v>
      </c>
      <c r="L88" s="48">
        <f t="shared" si="4"/>
        <v>0.83333333333333337</v>
      </c>
      <c r="M88" s="48">
        <f t="shared" si="5"/>
        <v>0.69444444444444453</v>
      </c>
      <c r="N88" s="47" t="s">
        <v>371</v>
      </c>
      <c r="O88" s="46" t="s">
        <v>372</v>
      </c>
      <c r="P88" s="49">
        <v>106270581</v>
      </c>
      <c r="Q88" s="50" t="s">
        <v>373</v>
      </c>
    </row>
    <row r="89" spans="1:17" x14ac:dyDescent="0.25">
      <c r="A89" s="46" t="s">
        <v>374</v>
      </c>
      <c r="B89" s="46">
        <v>5</v>
      </c>
      <c r="C89" s="46" t="s">
        <v>375</v>
      </c>
      <c r="D89" s="46" t="s">
        <v>14</v>
      </c>
      <c r="E89" s="46" t="s">
        <v>366</v>
      </c>
      <c r="F89" s="46" t="s">
        <v>90</v>
      </c>
      <c r="G89" s="46" t="s">
        <v>363</v>
      </c>
      <c r="H89" s="47">
        <v>3</v>
      </c>
      <c r="I89" s="47">
        <v>6</v>
      </c>
      <c r="J89" s="47">
        <v>10</v>
      </c>
      <c r="K89" s="48">
        <f t="shared" si="3"/>
        <v>6.166666666666667</v>
      </c>
      <c r="L89" s="48">
        <f t="shared" si="4"/>
        <v>1.1666666666666667</v>
      </c>
      <c r="M89" s="48">
        <f t="shared" si="5"/>
        <v>1.3611111111111114</v>
      </c>
      <c r="N89" s="47" t="s">
        <v>376</v>
      </c>
      <c r="O89" s="46" t="s">
        <v>377</v>
      </c>
      <c r="P89" s="49">
        <v>141694108</v>
      </c>
      <c r="Q89" s="50" t="s">
        <v>378</v>
      </c>
    </row>
    <row r="90" spans="1:17" x14ac:dyDescent="0.25">
      <c r="A90" s="46" t="s">
        <v>379</v>
      </c>
      <c r="B90" s="46">
        <v>5</v>
      </c>
      <c r="C90" s="46" t="s">
        <v>380</v>
      </c>
      <c r="D90" s="46" t="s">
        <v>14</v>
      </c>
      <c r="E90" s="46" t="s">
        <v>366</v>
      </c>
      <c r="F90" s="46" t="s">
        <v>90</v>
      </c>
      <c r="G90" s="46" t="s">
        <v>381</v>
      </c>
      <c r="H90" s="47">
        <v>8</v>
      </c>
      <c r="I90" s="47">
        <v>11</v>
      </c>
      <c r="J90" s="47">
        <v>19</v>
      </c>
      <c r="K90" s="48">
        <f t="shared" si="3"/>
        <v>11.833333333333334</v>
      </c>
      <c r="L90" s="48">
        <f t="shared" si="4"/>
        <v>1.8333333333333333</v>
      </c>
      <c r="M90" s="48">
        <f t="shared" si="5"/>
        <v>3.3611111111111107</v>
      </c>
      <c r="N90" s="47" t="s">
        <v>382</v>
      </c>
      <c r="O90" s="46" t="s">
        <v>383</v>
      </c>
      <c r="P90" s="49">
        <v>247964690</v>
      </c>
      <c r="Q90" s="50" t="s">
        <v>384</v>
      </c>
    </row>
    <row r="91" spans="1:17" x14ac:dyDescent="0.25">
      <c r="A91" s="46" t="s">
        <v>385</v>
      </c>
      <c r="B91" s="46">
        <v>5</v>
      </c>
      <c r="C91" s="46" t="s">
        <v>386</v>
      </c>
      <c r="D91" s="46" t="s">
        <v>14</v>
      </c>
      <c r="E91" s="46" t="s">
        <v>387</v>
      </c>
      <c r="F91" s="46" t="s">
        <v>90</v>
      </c>
      <c r="G91" s="46" t="s">
        <v>363</v>
      </c>
      <c r="H91" s="47">
        <v>9</v>
      </c>
      <c r="I91" s="47">
        <v>13</v>
      </c>
      <c r="J91" s="47">
        <v>21</v>
      </c>
      <c r="K91" s="48">
        <f t="shared" si="3"/>
        <v>13.666666666666666</v>
      </c>
      <c r="L91" s="48">
        <f t="shared" si="4"/>
        <v>2</v>
      </c>
      <c r="M91" s="48">
        <f t="shared" si="5"/>
        <v>4</v>
      </c>
      <c r="N91" s="47" t="s">
        <v>388</v>
      </c>
      <c r="O91" s="46" t="s">
        <v>389</v>
      </c>
      <c r="P91" s="49">
        <v>123561108</v>
      </c>
      <c r="Q91" s="50" t="s">
        <v>390</v>
      </c>
    </row>
    <row r="92" spans="1:17" x14ac:dyDescent="0.25">
      <c r="A92" s="46" t="s">
        <v>391</v>
      </c>
      <c r="B92" s="46">
        <v>5</v>
      </c>
      <c r="C92" s="46" t="s">
        <v>392</v>
      </c>
      <c r="D92" s="46" t="s">
        <v>14</v>
      </c>
      <c r="E92" s="46" t="s">
        <v>387</v>
      </c>
      <c r="F92" s="46" t="s">
        <v>90</v>
      </c>
      <c r="G92" s="46" t="s">
        <v>363</v>
      </c>
      <c r="H92" s="47">
        <v>11</v>
      </c>
      <c r="I92" s="47">
        <v>17</v>
      </c>
      <c r="J92" s="47">
        <v>26</v>
      </c>
      <c r="K92" s="48">
        <f t="shared" si="3"/>
        <v>17.5</v>
      </c>
      <c r="L92" s="48">
        <f t="shared" si="4"/>
        <v>2.5</v>
      </c>
      <c r="M92" s="48">
        <f t="shared" si="5"/>
        <v>6.25</v>
      </c>
      <c r="N92" s="47" t="s">
        <v>393</v>
      </c>
      <c r="O92" s="46" t="s">
        <v>394</v>
      </c>
      <c r="P92" s="49">
        <v>154451386</v>
      </c>
      <c r="Q92" s="50" t="s">
        <v>395</v>
      </c>
    </row>
    <row r="93" spans="1:17" x14ac:dyDescent="0.25">
      <c r="A93" s="46" t="s">
        <v>396</v>
      </c>
      <c r="B93" s="46">
        <v>5</v>
      </c>
      <c r="C93" s="46" t="s">
        <v>397</v>
      </c>
      <c r="D93" s="46" t="s">
        <v>14</v>
      </c>
      <c r="E93" s="46" t="s">
        <v>387</v>
      </c>
      <c r="F93" s="46" t="s">
        <v>90</v>
      </c>
      <c r="G93" s="46" t="s">
        <v>363</v>
      </c>
      <c r="H93" s="47">
        <v>13</v>
      </c>
      <c r="I93" s="47">
        <v>19</v>
      </c>
      <c r="J93" s="47">
        <v>30</v>
      </c>
      <c r="K93" s="48">
        <f t="shared" si="3"/>
        <v>19.833333333333332</v>
      </c>
      <c r="L93" s="48">
        <f t="shared" si="4"/>
        <v>2.8333333333333335</v>
      </c>
      <c r="M93" s="48">
        <f t="shared" si="5"/>
        <v>8.0277777777777786</v>
      </c>
      <c r="N93" s="47" t="s">
        <v>393</v>
      </c>
      <c r="O93" s="46" t="s">
        <v>398</v>
      </c>
      <c r="P93" s="49">
        <v>169896524</v>
      </c>
      <c r="Q93" s="50" t="s">
        <v>395</v>
      </c>
    </row>
    <row r="94" spans="1:17" x14ac:dyDescent="0.25">
      <c r="A94" s="46" t="s">
        <v>399</v>
      </c>
      <c r="B94" s="46">
        <v>5</v>
      </c>
      <c r="C94" s="46" t="s">
        <v>400</v>
      </c>
      <c r="D94" s="46" t="s">
        <v>14</v>
      </c>
      <c r="E94" s="46" t="s">
        <v>387</v>
      </c>
      <c r="F94" s="46" t="s">
        <v>90</v>
      </c>
      <c r="G94" s="46" t="s">
        <v>363</v>
      </c>
      <c r="H94" s="47">
        <v>15</v>
      </c>
      <c r="I94" s="47">
        <v>22</v>
      </c>
      <c r="J94" s="47">
        <v>34</v>
      </c>
      <c r="K94" s="48">
        <f t="shared" si="3"/>
        <v>22.833333333333332</v>
      </c>
      <c r="L94" s="48">
        <f t="shared" si="4"/>
        <v>3.1666666666666665</v>
      </c>
      <c r="M94" s="48">
        <f t="shared" si="5"/>
        <v>10.027777777777777</v>
      </c>
      <c r="N94" s="47" t="s">
        <v>401</v>
      </c>
      <c r="O94" s="46" t="s">
        <v>402</v>
      </c>
      <c r="P94" s="49">
        <v>200786801</v>
      </c>
      <c r="Q94" s="50" t="s">
        <v>403</v>
      </c>
    </row>
    <row r="95" spans="1:17" x14ac:dyDescent="0.25">
      <c r="A95" s="46" t="s">
        <v>404</v>
      </c>
      <c r="B95" s="46">
        <v>5</v>
      </c>
      <c r="C95" s="46" t="s">
        <v>405</v>
      </c>
      <c r="D95" s="46" t="s">
        <v>14</v>
      </c>
      <c r="E95" s="46" t="s">
        <v>387</v>
      </c>
      <c r="F95" s="46" t="s">
        <v>90</v>
      </c>
      <c r="G95" s="46" t="s">
        <v>363</v>
      </c>
      <c r="H95" s="47">
        <v>13</v>
      </c>
      <c r="I95" s="47">
        <v>21</v>
      </c>
      <c r="J95" s="47">
        <v>32</v>
      </c>
      <c r="K95" s="48">
        <f t="shared" si="3"/>
        <v>21.5</v>
      </c>
      <c r="L95" s="48">
        <f t="shared" si="4"/>
        <v>3.1666666666666665</v>
      </c>
      <c r="M95" s="48">
        <f t="shared" si="5"/>
        <v>10.027777777777777</v>
      </c>
      <c r="N95" s="47" t="s">
        <v>406</v>
      </c>
      <c r="O95" s="46" t="s">
        <v>407</v>
      </c>
      <c r="P95" s="49">
        <v>185341663</v>
      </c>
      <c r="Q95" s="50" t="s">
        <v>408</v>
      </c>
    </row>
    <row r="96" spans="1:17" x14ac:dyDescent="0.25">
      <c r="A96" s="46" t="s">
        <v>409</v>
      </c>
      <c r="B96" s="46">
        <v>5</v>
      </c>
      <c r="C96" s="46" t="s">
        <v>410</v>
      </c>
      <c r="D96" s="46" t="s">
        <v>14</v>
      </c>
      <c r="E96" s="46" t="s">
        <v>387</v>
      </c>
      <c r="F96" s="46" t="s">
        <v>90</v>
      </c>
      <c r="G96" s="46" t="s">
        <v>363</v>
      </c>
      <c r="H96" s="47">
        <v>13</v>
      </c>
      <c r="I96" s="47">
        <v>19</v>
      </c>
      <c r="J96" s="47">
        <v>30</v>
      </c>
      <c r="K96" s="48">
        <f t="shared" si="3"/>
        <v>19.833333333333332</v>
      </c>
      <c r="L96" s="48">
        <f t="shared" si="4"/>
        <v>2.8333333333333335</v>
      </c>
      <c r="M96" s="48">
        <f t="shared" si="5"/>
        <v>8.0277777777777786</v>
      </c>
      <c r="N96" s="47" t="s">
        <v>393</v>
      </c>
      <c r="O96" s="46" t="s">
        <v>411</v>
      </c>
      <c r="P96" s="49">
        <v>169896524</v>
      </c>
      <c r="Q96" s="50" t="s">
        <v>395</v>
      </c>
    </row>
    <row r="97" spans="1:17" x14ac:dyDescent="0.25">
      <c r="A97" s="46" t="s">
        <v>412</v>
      </c>
      <c r="B97" s="46">
        <v>5</v>
      </c>
      <c r="C97" s="46" t="s">
        <v>413</v>
      </c>
      <c r="D97" s="46" t="s">
        <v>14</v>
      </c>
      <c r="E97" s="46" t="s">
        <v>387</v>
      </c>
      <c r="F97" s="46" t="s">
        <v>90</v>
      </c>
      <c r="G97" s="46" t="s">
        <v>363</v>
      </c>
      <c r="H97" s="47">
        <v>11</v>
      </c>
      <c r="I97" s="47">
        <v>17</v>
      </c>
      <c r="J97" s="47">
        <v>26</v>
      </c>
      <c r="K97" s="48">
        <f t="shared" si="3"/>
        <v>17.5</v>
      </c>
      <c r="L97" s="48">
        <f t="shared" si="4"/>
        <v>2.5</v>
      </c>
      <c r="M97" s="48">
        <f t="shared" si="5"/>
        <v>6.25</v>
      </c>
      <c r="N97" s="47" t="s">
        <v>414</v>
      </c>
      <c r="O97" s="46" t="s">
        <v>415</v>
      </c>
      <c r="P97" s="49">
        <v>154451386</v>
      </c>
      <c r="Q97" s="50" t="s">
        <v>416</v>
      </c>
    </row>
    <row r="98" spans="1:17" x14ac:dyDescent="0.25">
      <c r="A98" s="46" t="s">
        <v>417</v>
      </c>
      <c r="B98" s="46">
        <v>5</v>
      </c>
      <c r="C98" s="46" t="s">
        <v>418</v>
      </c>
      <c r="D98" s="46" t="s">
        <v>14</v>
      </c>
      <c r="E98" s="46" t="s">
        <v>387</v>
      </c>
      <c r="F98" s="46" t="s">
        <v>90</v>
      </c>
      <c r="G98" s="46" t="s">
        <v>363</v>
      </c>
      <c r="H98" s="47">
        <v>9</v>
      </c>
      <c r="I98" s="47">
        <v>15</v>
      </c>
      <c r="J98" s="47">
        <v>22</v>
      </c>
      <c r="K98" s="48">
        <f t="shared" si="3"/>
        <v>15.166666666666666</v>
      </c>
      <c r="L98" s="48">
        <f t="shared" si="4"/>
        <v>2.1666666666666665</v>
      </c>
      <c r="M98" s="48">
        <f t="shared" si="5"/>
        <v>4.6944444444444438</v>
      </c>
      <c r="N98" s="47" t="s">
        <v>419</v>
      </c>
      <c r="O98" s="46" t="s">
        <v>420</v>
      </c>
      <c r="P98" s="49">
        <v>123561108</v>
      </c>
      <c r="Q98" s="50" t="s">
        <v>421</v>
      </c>
    </row>
    <row r="99" spans="1:17" x14ac:dyDescent="0.25">
      <c r="A99" s="46" t="s">
        <v>422</v>
      </c>
      <c r="B99" s="46">
        <v>5</v>
      </c>
      <c r="C99" s="46" t="s">
        <v>423</v>
      </c>
      <c r="D99" s="46" t="s">
        <v>14</v>
      </c>
      <c r="E99" s="46" t="s">
        <v>387</v>
      </c>
      <c r="F99" s="46" t="s">
        <v>94</v>
      </c>
      <c r="G99" s="46" t="s">
        <v>363</v>
      </c>
      <c r="H99" s="47">
        <v>9</v>
      </c>
      <c r="I99" s="47">
        <v>13</v>
      </c>
      <c r="J99" s="47">
        <v>21</v>
      </c>
      <c r="K99" s="48">
        <f t="shared" si="3"/>
        <v>13.666666666666666</v>
      </c>
      <c r="L99" s="48">
        <f t="shared" si="4"/>
        <v>2</v>
      </c>
      <c r="M99" s="48">
        <f t="shared" si="5"/>
        <v>4</v>
      </c>
      <c r="N99" s="47" t="s">
        <v>424</v>
      </c>
      <c r="O99" s="46" t="s">
        <v>425</v>
      </c>
      <c r="P99" s="49">
        <v>123561108</v>
      </c>
      <c r="Q99" s="50" t="s">
        <v>426</v>
      </c>
    </row>
    <row r="100" spans="1:17" x14ac:dyDescent="0.25">
      <c r="A100" s="46" t="s">
        <v>427</v>
      </c>
      <c r="B100" s="46">
        <v>5</v>
      </c>
      <c r="C100" s="46" t="s">
        <v>428</v>
      </c>
      <c r="D100" s="46" t="s">
        <v>14</v>
      </c>
      <c r="E100" s="46" t="s">
        <v>387</v>
      </c>
      <c r="F100" s="46" t="s">
        <v>90</v>
      </c>
      <c r="G100" s="46" t="s">
        <v>363</v>
      </c>
      <c r="H100" s="47">
        <v>8</v>
      </c>
      <c r="I100" s="47">
        <v>11</v>
      </c>
      <c r="J100" s="47">
        <v>21</v>
      </c>
      <c r="K100" s="48">
        <f t="shared" si="3"/>
        <v>12.166666666666666</v>
      </c>
      <c r="L100" s="48">
        <f t="shared" si="4"/>
        <v>2.1666666666666665</v>
      </c>
      <c r="M100" s="48">
        <f t="shared" si="5"/>
        <v>4.6944444444444438</v>
      </c>
      <c r="N100" s="47" t="s">
        <v>429</v>
      </c>
      <c r="O100" s="46" t="s">
        <v>430</v>
      </c>
      <c r="P100" s="49">
        <v>108115970</v>
      </c>
      <c r="Q100" s="50" t="s">
        <v>431</v>
      </c>
    </row>
    <row r="101" spans="1:17" ht="25.5" x14ac:dyDescent="0.25">
      <c r="A101" s="46" t="s">
        <v>432</v>
      </c>
      <c r="B101" s="46">
        <v>5</v>
      </c>
      <c r="C101" s="46" t="s">
        <v>433</v>
      </c>
      <c r="D101" s="46" t="s">
        <v>14</v>
      </c>
      <c r="E101" s="46" t="s">
        <v>387</v>
      </c>
      <c r="F101" s="46" t="s">
        <v>90</v>
      </c>
      <c r="G101" s="46" t="s">
        <v>363</v>
      </c>
      <c r="H101" s="47">
        <v>8</v>
      </c>
      <c r="I101" s="47">
        <v>11</v>
      </c>
      <c r="J101" s="47">
        <v>17</v>
      </c>
      <c r="K101" s="48">
        <f t="shared" si="3"/>
        <v>11.5</v>
      </c>
      <c r="L101" s="48">
        <f t="shared" si="4"/>
        <v>1.5</v>
      </c>
      <c r="M101" s="48">
        <f t="shared" si="5"/>
        <v>2.25</v>
      </c>
      <c r="N101" s="47" t="s">
        <v>434</v>
      </c>
      <c r="O101" s="46" t="s">
        <v>435</v>
      </c>
      <c r="P101" s="49">
        <v>92670831</v>
      </c>
      <c r="Q101" s="50" t="s">
        <v>436</v>
      </c>
    </row>
    <row r="102" spans="1:17" ht="25.5" x14ac:dyDescent="0.25">
      <c r="A102" s="46" t="s">
        <v>437</v>
      </c>
      <c r="B102" s="46">
        <v>5</v>
      </c>
      <c r="C102" s="46" t="s">
        <v>438</v>
      </c>
      <c r="D102" s="46" t="s">
        <v>14</v>
      </c>
      <c r="E102" s="46" t="s">
        <v>387</v>
      </c>
      <c r="F102" s="46" t="s">
        <v>90</v>
      </c>
      <c r="G102" s="46" t="s">
        <v>363</v>
      </c>
      <c r="H102" s="47">
        <v>8</v>
      </c>
      <c r="I102" s="47">
        <v>11</v>
      </c>
      <c r="J102" s="47">
        <v>19</v>
      </c>
      <c r="K102" s="48">
        <f t="shared" si="3"/>
        <v>11.833333333333334</v>
      </c>
      <c r="L102" s="48">
        <f t="shared" si="4"/>
        <v>1.8333333333333333</v>
      </c>
      <c r="M102" s="48">
        <f t="shared" si="5"/>
        <v>3.3611111111111107</v>
      </c>
      <c r="N102" s="47" t="s">
        <v>406</v>
      </c>
      <c r="O102" s="46" t="s">
        <v>439</v>
      </c>
      <c r="P102" s="49">
        <v>108115970</v>
      </c>
      <c r="Q102" s="50" t="s">
        <v>408</v>
      </c>
    </row>
    <row r="103" spans="1:17" x14ac:dyDescent="0.25">
      <c r="A103" s="46" t="s">
        <v>440</v>
      </c>
      <c r="B103" s="46">
        <v>5</v>
      </c>
      <c r="C103" s="46" t="s">
        <v>441</v>
      </c>
      <c r="D103" s="46" t="s">
        <v>14</v>
      </c>
      <c r="E103" s="46" t="s">
        <v>387</v>
      </c>
      <c r="F103" s="46" t="s">
        <v>90</v>
      </c>
      <c r="G103" s="46" t="s">
        <v>363</v>
      </c>
      <c r="H103" s="47">
        <v>8</v>
      </c>
      <c r="I103" s="47">
        <v>11</v>
      </c>
      <c r="J103" s="47">
        <v>19</v>
      </c>
      <c r="K103" s="48">
        <f t="shared" si="3"/>
        <v>11.833333333333334</v>
      </c>
      <c r="L103" s="48">
        <f t="shared" si="4"/>
        <v>1.8333333333333333</v>
      </c>
      <c r="M103" s="48">
        <f t="shared" si="5"/>
        <v>3.3611111111111107</v>
      </c>
      <c r="N103" s="47" t="s">
        <v>442</v>
      </c>
      <c r="O103" s="46" t="s">
        <v>443</v>
      </c>
      <c r="P103" s="49">
        <v>108115970</v>
      </c>
      <c r="Q103" s="50" t="s">
        <v>444</v>
      </c>
    </row>
    <row r="104" spans="1:17" x14ac:dyDescent="0.25">
      <c r="A104" s="46" t="s">
        <v>445</v>
      </c>
      <c r="B104" s="46">
        <v>5</v>
      </c>
      <c r="C104" s="46" t="s">
        <v>446</v>
      </c>
      <c r="D104" s="46" t="s">
        <v>14</v>
      </c>
      <c r="E104" s="46" t="s">
        <v>387</v>
      </c>
      <c r="F104" s="46" t="s">
        <v>90</v>
      </c>
      <c r="G104" s="46" t="s">
        <v>363</v>
      </c>
      <c r="H104" s="47">
        <v>8</v>
      </c>
      <c r="I104" s="47">
        <v>11</v>
      </c>
      <c r="J104" s="47">
        <v>19</v>
      </c>
      <c r="K104" s="48">
        <f t="shared" si="3"/>
        <v>11.833333333333334</v>
      </c>
      <c r="L104" s="48">
        <f t="shared" si="4"/>
        <v>1.8333333333333333</v>
      </c>
      <c r="M104" s="48">
        <f t="shared" si="5"/>
        <v>3.3611111111111107</v>
      </c>
      <c r="N104" s="47" t="s">
        <v>447</v>
      </c>
      <c r="O104" s="46" t="s">
        <v>448</v>
      </c>
      <c r="P104" s="49">
        <v>108115970</v>
      </c>
      <c r="Q104" s="50" t="s">
        <v>449</v>
      </c>
    </row>
    <row r="105" spans="1:17" x14ac:dyDescent="0.25">
      <c r="A105" s="46" t="s">
        <v>450</v>
      </c>
      <c r="B105" s="46">
        <v>5</v>
      </c>
      <c r="C105" s="46" t="s">
        <v>451</v>
      </c>
      <c r="D105" s="46" t="s">
        <v>14</v>
      </c>
      <c r="E105" s="46" t="s">
        <v>387</v>
      </c>
      <c r="F105" s="46" t="s">
        <v>90</v>
      </c>
      <c r="G105" s="46" t="s">
        <v>363</v>
      </c>
      <c r="H105" s="47">
        <v>6</v>
      </c>
      <c r="I105" s="47">
        <v>9</v>
      </c>
      <c r="J105" s="47">
        <v>15</v>
      </c>
      <c r="K105" s="48">
        <f t="shared" si="3"/>
        <v>9.5</v>
      </c>
      <c r="L105" s="48">
        <f t="shared" si="4"/>
        <v>1.5</v>
      </c>
      <c r="M105" s="48">
        <f t="shared" si="5"/>
        <v>2.25</v>
      </c>
      <c r="N105" s="47" t="s">
        <v>452</v>
      </c>
      <c r="O105" s="46" t="s">
        <v>453</v>
      </c>
      <c r="P105" s="49">
        <v>77225694</v>
      </c>
      <c r="Q105" s="50" t="s">
        <v>454</v>
      </c>
    </row>
    <row r="106" spans="1:17" ht="25.5" x14ac:dyDescent="0.25">
      <c r="A106" s="51" t="s">
        <v>455</v>
      </c>
      <c r="B106" s="51">
        <v>4</v>
      </c>
      <c r="C106" s="52" t="s">
        <v>456</v>
      </c>
      <c r="D106" s="51" t="s">
        <v>14</v>
      </c>
      <c r="E106" s="51"/>
      <c r="F106" s="51"/>
      <c r="G106" s="51" t="s">
        <v>457</v>
      </c>
      <c r="H106" s="53"/>
      <c r="I106" s="53"/>
      <c r="J106" s="53"/>
      <c r="K106" s="53"/>
      <c r="L106" s="53"/>
      <c r="M106" s="53"/>
      <c r="N106" s="53"/>
      <c r="O106" s="53"/>
      <c r="P106" s="54"/>
      <c r="Q106" s="54"/>
    </row>
    <row r="107" spans="1:17" x14ac:dyDescent="0.25">
      <c r="A107" s="46" t="s">
        <v>458</v>
      </c>
      <c r="B107" s="46">
        <v>5</v>
      </c>
      <c r="C107" s="46" t="s">
        <v>459</v>
      </c>
      <c r="D107" s="46" t="s">
        <v>14</v>
      </c>
      <c r="E107" s="46" t="s">
        <v>460</v>
      </c>
      <c r="F107" s="46" t="s">
        <v>90</v>
      </c>
      <c r="G107" s="46" t="s">
        <v>457</v>
      </c>
      <c r="H107" s="47">
        <v>11</v>
      </c>
      <c r="I107" s="47">
        <v>17</v>
      </c>
      <c r="J107" s="47">
        <v>26</v>
      </c>
      <c r="K107" s="48">
        <f t="shared" ref="K107:K114" si="6">(H107+4*I107+J107)/6</f>
        <v>17.5</v>
      </c>
      <c r="L107" s="48">
        <f t="shared" ref="L107:L114" si="7">(J107-H107)/6</f>
        <v>2.5</v>
      </c>
      <c r="M107" s="48">
        <f t="shared" ref="M107:M114" si="8">L107^2</f>
        <v>6.25</v>
      </c>
      <c r="N107" s="47" t="s">
        <v>393</v>
      </c>
      <c r="O107" s="46" t="s">
        <v>461</v>
      </c>
      <c r="P107" s="49">
        <v>138320090</v>
      </c>
      <c r="Q107" s="50" t="s">
        <v>395</v>
      </c>
    </row>
    <row r="108" spans="1:17" x14ac:dyDescent="0.25">
      <c r="A108" s="46" t="s">
        <v>462</v>
      </c>
      <c r="B108" s="46">
        <v>5</v>
      </c>
      <c r="C108" s="46" t="s">
        <v>463</v>
      </c>
      <c r="D108" s="46" t="s">
        <v>14</v>
      </c>
      <c r="E108" s="46" t="s">
        <v>460</v>
      </c>
      <c r="F108" s="46" t="s">
        <v>90</v>
      </c>
      <c r="G108" s="46" t="s">
        <v>457</v>
      </c>
      <c r="H108" s="47">
        <v>8</v>
      </c>
      <c r="I108" s="47">
        <v>11</v>
      </c>
      <c r="J108" s="47">
        <v>17</v>
      </c>
      <c r="K108" s="48">
        <f t="shared" si="6"/>
        <v>11.5</v>
      </c>
      <c r="L108" s="48">
        <f t="shared" si="7"/>
        <v>1.5</v>
      </c>
      <c r="M108" s="48">
        <f t="shared" si="8"/>
        <v>2.25</v>
      </c>
      <c r="N108" s="47" t="s">
        <v>464</v>
      </c>
      <c r="O108" s="46" t="s">
        <v>465</v>
      </c>
      <c r="P108" s="49">
        <v>82992054</v>
      </c>
      <c r="Q108" s="50" t="s">
        <v>466</v>
      </c>
    </row>
    <row r="109" spans="1:17" x14ac:dyDescent="0.25">
      <c r="A109" s="46" t="s">
        <v>467</v>
      </c>
      <c r="B109" s="46">
        <v>5</v>
      </c>
      <c r="C109" s="46" t="s">
        <v>468</v>
      </c>
      <c r="D109" s="46" t="s">
        <v>14</v>
      </c>
      <c r="E109" s="46" t="s">
        <v>460</v>
      </c>
      <c r="F109" s="46" t="s">
        <v>90</v>
      </c>
      <c r="G109" s="46" t="s">
        <v>457</v>
      </c>
      <c r="H109" s="47">
        <v>13</v>
      </c>
      <c r="I109" s="47">
        <v>19</v>
      </c>
      <c r="J109" s="47">
        <v>28</v>
      </c>
      <c r="K109" s="48">
        <f t="shared" si="6"/>
        <v>19.5</v>
      </c>
      <c r="L109" s="48">
        <f t="shared" si="7"/>
        <v>2.5</v>
      </c>
      <c r="M109" s="48">
        <f t="shared" si="8"/>
        <v>6.25</v>
      </c>
      <c r="N109" s="47" t="s">
        <v>469</v>
      </c>
      <c r="O109" s="46" t="s">
        <v>470</v>
      </c>
      <c r="P109" s="49">
        <v>152152099</v>
      </c>
      <c r="Q109" s="50" t="s">
        <v>471</v>
      </c>
    </row>
    <row r="110" spans="1:17" x14ac:dyDescent="0.25">
      <c r="A110" s="46" t="s">
        <v>472</v>
      </c>
      <c r="B110" s="46">
        <v>5</v>
      </c>
      <c r="C110" s="46" t="s">
        <v>473</v>
      </c>
      <c r="D110" s="46" t="s">
        <v>14</v>
      </c>
      <c r="E110" s="46" t="s">
        <v>460</v>
      </c>
      <c r="F110" s="46" t="s">
        <v>90</v>
      </c>
      <c r="G110" s="46" t="s">
        <v>457</v>
      </c>
      <c r="H110" s="47">
        <v>11</v>
      </c>
      <c r="I110" s="47">
        <v>17</v>
      </c>
      <c r="J110" s="47">
        <v>26</v>
      </c>
      <c r="K110" s="48">
        <f t="shared" si="6"/>
        <v>17.5</v>
      </c>
      <c r="L110" s="48">
        <f t="shared" si="7"/>
        <v>2.5</v>
      </c>
      <c r="M110" s="48">
        <f t="shared" si="8"/>
        <v>6.25</v>
      </c>
      <c r="N110" s="47" t="s">
        <v>469</v>
      </c>
      <c r="O110" s="46" t="s">
        <v>474</v>
      </c>
      <c r="P110" s="49">
        <v>138320090</v>
      </c>
      <c r="Q110" s="50" t="s">
        <v>471</v>
      </c>
    </row>
    <row r="111" spans="1:17" x14ac:dyDescent="0.25">
      <c r="A111" s="46" t="s">
        <v>475</v>
      </c>
      <c r="B111" s="46">
        <v>5</v>
      </c>
      <c r="C111" s="46" t="s">
        <v>476</v>
      </c>
      <c r="D111" s="46" t="s">
        <v>14</v>
      </c>
      <c r="E111" s="46" t="s">
        <v>460</v>
      </c>
      <c r="F111" s="46" t="s">
        <v>90</v>
      </c>
      <c r="G111" s="46" t="s">
        <v>457</v>
      </c>
      <c r="H111" s="47">
        <v>8</v>
      </c>
      <c r="I111" s="47">
        <v>11</v>
      </c>
      <c r="J111" s="47">
        <v>17</v>
      </c>
      <c r="K111" s="48">
        <f t="shared" si="6"/>
        <v>11.5</v>
      </c>
      <c r="L111" s="48">
        <f t="shared" si="7"/>
        <v>1.5</v>
      </c>
      <c r="M111" s="48">
        <f t="shared" si="8"/>
        <v>2.25</v>
      </c>
      <c r="N111" s="47" t="s">
        <v>477</v>
      </c>
      <c r="O111" s="46" t="s">
        <v>478</v>
      </c>
      <c r="P111" s="49">
        <v>82992054</v>
      </c>
      <c r="Q111" s="50" t="s">
        <v>479</v>
      </c>
    </row>
    <row r="112" spans="1:17" x14ac:dyDescent="0.25">
      <c r="A112" s="46" t="s">
        <v>480</v>
      </c>
      <c r="B112" s="46">
        <v>5</v>
      </c>
      <c r="C112" s="46" t="s">
        <v>481</v>
      </c>
      <c r="D112" s="46" t="s">
        <v>14</v>
      </c>
      <c r="E112" s="46" t="s">
        <v>460</v>
      </c>
      <c r="F112" s="46" t="s">
        <v>94</v>
      </c>
      <c r="G112" s="46" t="s">
        <v>457</v>
      </c>
      <c r="H112" s="47">
        <v>8</v>
      </c>
      <c r="I112" s="47">
        <v>11</v>
      </c>
      <c r="J112" s="47">
        <v>19</v>
      </c>
      <c r="K112" s="48">
        <f t="shared" si="6"/>
        <v>11.833333333333334</v>
      </c>
      <c r="L112" s="48">
        <f t="shared" si="7"/>
        <v>1.8333333333333333</v>
      </c>
      <c r="M112" s="48">
        <f t="shared" si="8"/>
        <v>3.3611111111111107</v>
      </c>
      <c r="N112" s="47" t="s">
        <v>482</v>
      </c>
      <c r="O112" s="46" t="s">
        <v>483</v>
      </c>
      <c r="P112" s="49">
        <v>96824063</v>
      </c>
      <c r="Q112" s="50" t="s">
        <v>484</v>
      </c>
    </row>
    <row r="113" spans="1:17" x14ac:dyDescent="0.25">
      <c r="A113" s="46" t="s">
        <v>485</v>
      </c>
      <c r="B113" s="46">
        <v>5</v>
      </c>
      <c r="C113" s="46" t="s">
        <v>486</v>
      </c>
      <c r="D113" s="46" t="s">
        <v>14</v>
      </c>
      <c r="E113" s="46" t="s">
        <v>460</v>
      </c>
      <c r="F113" s="46" t="s">
        <v>90</v>
      </c>
      <c r="G113" s="46" t="s">
        <v>457</v>
      </c>
      <c r="H113" s="47">
        <v>6</v>
      </c>
      <c r="I113" s="47">
        <v>9</v>
      </c>
      <c r="J113" s="47">
        <v>15</v>
      </c>
      <c r="K113" s="48">
        <f t="shared" si="6"/>
        <v>9.5</v>
      </c>
      <c r="L113" s="48">
        <f t="shared" si="7"/>
        <v>1.5</v>
      </c>
      <c r="M113" s="48">
        <f t="shared" si="8"/>
        <v>2.25</v>
      </c>
      <c r="N113" s="47" t="s">
        <v>482</v>
      </c>
      <c r="O113" s="46" t="s">
        <v>487</v>
      </c>
      <c r="P113" s="49">
        <v>69160045</v>
      </c>
      <c r="Q113" s="50" t="s">
        <v>484</v>
      </c>
    </row>
    <row r="114" spans="1:17" x14ac:dyDescent="0.25">
      <c r="A114" s="46" t="s">
        <v>488</v>
      </c>
      <c r="B114" s="46">
        <v>5</v>
      </c>
      <c r="C114" s="46" t="s">
        <v>489</v>
      </c>
      <c r="D114" s="46" t="s">
        <v>14</v>
      </c>
      <c r="E114" s="46" t="s">
        <v>460</v>
      </c>
      <c r="F114" s="46" t="s">
        <v>94</v>
      </c>
      <c r="G114" s="46" t="s">
        <v>457</v>
      </c>
      <c r="H114" s="47">
        <v>4</v>
      </c>
      <c r="I114" s="47">
        <v>6</v>
      </c>
      <c r="J114" s="47">
        <v>10</v>
      </c>
      <c r="K114" s="48">
        <f t="shared" si="6"/>
        <v>6.333333333333333</v>
      </c>
      <c r="L114" s="48">
        <f t="shared" si="7"/>
        <v>1</v>
      </c>
      <c r="M114" s="48">
        <f t="shared" si="8"/>
        <v>1</v>
      </c>
      <c r="N114" s="47" t="s">
        <v>482</v>
      </c>
      <c r="O114" s="46" t="s">
        <v>490</v>
      </c>
      <c r="P114" s="49">
        <v>55328037</v>
      </c>
      <c r="Q114" s="50" t="s">
        <v>484</v>
      </c>
    </row>
    <row r="115" spans="1:17" x14ac:dyDescent="0.25">
      <c r="A115" s="51" t="s">
        <v>491</v>
      </c>
      <c r="B115" s="51">
        <v>3</v>
      </c>
      <c r="C115" s="52" t="s">
        <v>492</v>
      </c>
      <c r="D115" s="51" t="s">
        <v>14</v>
      </c>
      <c r="E115" s="51"/>
      <c r="F115" s="51"/>
      <c r="G115" s="51"/>
      <c r="H115" s="53"/>
      <c r="I115" s="53"/>
      <c r="J115" s="53"/>
      <c r="K115" s="53"/>
      <c r="L115" s="53"/>
      <c r="M115" s="53"/>
      <c r="N115" s="53"/>
      <c r="O115" s="53"/>
      <c r="P115" s="54"/>
      <c r="Q115" s="54"/>
    </row>
    <row r="116" spans="1:17" x14ac:dyDescent="0.25">
      <c r="A116" s="51" t="s">
        <v>493</v>
      </c>
      <c r="B116" s="51">
        <v>4</v>
      </c>
      <c r="C116" s="52" t="s">
        <v>494</v>
      </c>
      <c r="D116" s="51" t="s">
        <v>14</v>
      </c>
      <c r="E116" s="51"/>
      <c r="F116" s="51"/>
      <c r="G116" s="51" t="s">
        <v>495</v>
      </c>
      <c r="H116" s="53"/>
      <c r="I116" s="53"/>
      <c r="J116" s="53"/>
      <c r="K116" s="53"/>
      <c r="L116" s="53"/>
      <c r="M116" s="53"/>
      <c r="N116" s="53"/>
      <c r="O116" s="53"/>
      <c r="P116" s="54"/>
      <c r="Q116" s="54"/>
    </row>
    <row r="117" spans="1:17" x14ac:dyDescent="0.25">
      <c r="A117" s="46" t="s">
        <v>496</v>
      </c>
      <c r="B117" s="46">
        <v>5</v>
      </c>
      <c r="C117" s="46" t="s">
        <v>497</v>
      </c>
      <c r="D117" s="46" t="s">
        <v>14</v>
      </c>
      <c r="E117" s="46" t="s">
        <v>498</v>
      </c>
      <c r="F117" s="46" t="s">
        <v>90</v>
      </c>
      <c r="G117" s="46" t="s">
        <v>495</v>
      </c>
      <c r="H117" s="47">
        <v>8</v>
      </c>
      <c r="I117" s="47">
        <v>11</v>
      </c>
      <c r="J117" s="47">
        <v>19</v>
      </c>
      <c r="K117" s="48">
        <f t="shared" ref="K117:K126" si="9">(H117+4*I117+J117)/6</f>
        <v>11.833333333333334</v>
      </c>
      <c r="L117" s="48">
        <f t="shared" ref="L117:L126" si="10">(J117-H117)/6</f>
        <v>1.8333333333333333</v>
      </c>
      <c r="M117" s="48">
        <f t="shared" ref="M117:M126" si="11">L117^2</f>
        <v>3.3611111111111107</v>
      </c>
      <c r="N117" s="47" t="s">
        <v>499</v>
      </c>
      <c r="O117" s="46" t="s">
        <v>500</v>
      </c>
      <c r="P117" s="49">
        <v>334451068</v>
      </c>
      <c r="Q117" s="50" t="s">
        <v>501</v>
      </c>
    </row>
    <row r="118" spans="1:17" x14ac:dyDescent="0.25">
      <c r="A118" s="46" t="s">
        <v>502</v>
      </c>
      <c r="B118" s="46">
        <v>5</v>
      </c>
      <c r="C118" s="46" t="s">
        <v>503</v>
      </c>
      <c r="D118" s="46" t="s">
        <v>14</v>
      </c>
      <c r="E118" s="46" t="s">
        <v>498</v>
      </c>
      <c r="F118" s="46" t="s">
        <v>90</v>
      </c>
      <c r="G118" s="46" t="s">
        <v>495</v>
      </c>
      <c r="H118" s="47">
        <v>6</v>
      </c>
      <c r="I118" s="47">
        <v>9</v>
      </c>
      <c r="J118" s="47">
        <v>15</v>
      </c>
      <c r="K118" s="48">
        <f t="shared" si="9"/>
        <v>9.5</v>
      </c>
      <c r="L118" s="48">
        <f t="shared" si="10"/>
        <v>1.5</v>
      </c>
      <c r="M118" s="48">
        <f t="shared" si="11"/>
        <v>2.25</v>
      </c>
      <c r="N118" s="47" t="s">
        <v>504</v>
      </c>
      <c r="O118" s="46" t="s">
        <v>505</v>
      </c>
      <c r="P118" s="49">
        <v>238893620</v>
      </c>
      <c r="Q118" s="50" t="s">
        <v>506</v>
      </c>
    </row>
    <row r="119" spans="1:17" x14ac:dyDescent="0.25">
      <c r="A119" s="46" t="s">
        <v>507</v>
      </c>
      <c r="B119" s="46">
        <v>5</v>
      </c>
      <c r="C119" s="46" t="s">
        <v>508</v>
      </c>
      <c r="D119" s="46" t="s">
        <v>14</v>
      </c>
      <c r="E119" s="46" t="s">
        <v>498</v>
      </c>
      <c r="F119" s="46" t="s">
        <v>90</v>
      </c>
      <c r="G119" s="46" t="s">
        <v>495</v>
      </c>
      <c r="H119" s="47">
        <v>9</v>
      </c>
      <c r="I119" s="47">
        <v>13</v>
      </c>
      <c r="J119" s="47">
        <v>22</v>
      </c>
      <c r="K119" s="48">
        <f t="shared" si="9"/>
        <v>13.833333333333334</v>
      </c>
      <c r="L119" s="48">
        <f t="shared" si="10"/>
        <v>2.1666666666666665</v>
      </c>
      <c r="M119" s="48">
        <f t="shared" si="11"/>
        <v>4.6944444444444438</v>
      </c>
      <c r="N119" s="47" t="s">
        <v>504</v>
      </c>
      <c r="O119" s="46" t="s">
        <v>509</v>
      </c>
      <c r="P119" s="49">
        <v>382229792</v>
      </c>
      <c r="Q119" s="50" t="s">
        <v>506</v>
      </c>
    </row>
    <row r="120" spans="1:17" x14ac:dyDescent="0.25">
      <c r="A120" s="46" t="s">
        <v>510</v>
      </c>
      <c r="B120" s="46">
        <v>5</v>
      </c>
      <c r="C120" s="46" t="s">
        <v>511</v>
      </c>
      <c r="D120" s="46" t="s">
        <v>14</v>
      </c>
      <c r="E120" s="46" t="s">
        <v>498</v>
      </c>
      <c r="F120" s="46" t="s">
        <v>90</v>
      </c>
      <c r="G120" s="46" t="s">
        <v>495</v>
      </c>
      <c r="H120" s="47">
        <v>8</v>
      </c>
      <c r="I120" s="47">
        <v>11</v>
      </c>
      <c r="J120" s="47">
        <v>19</v>
      </c>
      <c r="K120" s="48">
        <f t="shared" si="9"/>
        <v>11.833333333333334</v>
      </c>
      <c r="L120" s="48">
        <f t="shared" si="10"/>
        <v>1.8333333333333333</v>
      </c>
      <c r="M120" s="48">
        <f t="shared" si="11"/>
        <v>3.3611111111111107</v>
      </c>
      <c r="N120" s="47" t="s">
        <v>512</v>
      </c>
      <c r="O120" s="46" t="s">
        <v>513</v>
      </c>
      <c r="P120" s="49">
        <v>334451068</v>
      </c>
      <c r="Q120" s="50" t="s">
        <v>514</v>
      </c>
    </row>
    <row r="121" spans="1:17" x14ac:dyDescent="0.25">
      <c r="A121" s="46" t="s">
        <v>515</v>
      </c>
      <c r="B121" s="46">
        <v>5</v>
      </c>
      <c r="C121" s="46" t="s">
        <v>516</v>
      </c>
      <c r="D121" s="46" t="s">
        <v>14</v>
      </c>
      <c r="E121" s="46" t="s">
        <v>498</v>
      </c>
      <c r="F121" s="46" t="s">
        <v>90</v>
      </c>
      <c r="G121" s="46" t="s">
        <v>495</v>
      </c>
      <c r="H121" s="47">
        <v>9</v>
      </c>
      <c r="I121" s="47">
        <v>13</v>
      </c>
      <c r="J121" s="47">
        <v>21</v>
      </c>
      <c r="K121" s="48">
        <f t="shared" si="9"/>
        <v>13.666666666666666</v>
      </c>
      <c r="L121" s="48">
        <f t="shared" si="10"/>
        <v>2</v>
      </c>
      <c r="M121" s="48">
        <f t="shared" si="11"/>
        <v>4</v>
      </c>
      <c r="N121" s="47" t="s">
        <v>517</v>
      </c>
      <c r="O121" s="46" t="s">
        <v>518</v>
      </c>
      <c r="P121" s="49">
        <v>382229792</v>
      </c>
      <c r="Q121" s="50" t="s">
        <v>519</v>
      </c>
    </row>
    <row r="122" spans="1:17" x14ac:dyDescent="0.25">
      <c r="A122" s="46" t="s">
        <v>520</v>
      </c>
      <c r="B122" s="46">
        <v>5</v>
      </c>
      <c r="C122" s="46" t="s">
        <v>521</v>
      </c>
      <c r="D122" s="46" t="s">
        <v>14</v>
      </c>
      <c r="E122" s="46" t="s">
        <v>498</v>
      </c>
      <c r="F122" s="46" t="s">
        <v>90</v>
      </c>
      <c r="G122" s="46" t="s">
        <v>495</v>
      </c>
      <c r="H122" s="47">
        <v>8</v>
      </c>
      <c r="I122" s="47">
        <v>11</v>
      </c>
      <c r="J122" s="47">
        <v>17</v>
      </c>
      <c r="K122" s="48">
        <f t="shared" si="9"/>
        <v>11.5</v>
      </c>
      <c r="L122" s="48">
        <f t="shared" si="10"/>
        <v>1.5</v>
      </c>
      <c r="M122" s="48">
        <f t="shared" si="11"/>
        <v>2.25</v>
      </c>
      <c r="N122" s="47" t="s">
        <v>522</v>
      </c>
      <c r="O122" s="46" t="s">
        <v>523</v>
      </c>
      <c r="P122" s="49">
        <v>286672344</v>
      </c>
      <c r="Q122" s="50" t="s">
        <v>524</v>
      </c>
    </row>
    <row r="123" spans="1:17" x14ac:dyDescent="0.25">
      <c r="A123" s="46" t="s">
        <v>525</v>
      </c>
      <c r="B123" s="46">
        <v>5</v>
      </c>
      <c r="C123" s="46" t="s">
        <v>526</v>
      </c>
      <c r="D123" s="46" t="s">
        <v>14</v>
      </c>
      <c r="E123" s="46" t="s">
        <v>498</v>
      </c>
      <c r="F123" s="46" t="s">
        <v>94</v>
      </c>
      <c r="G123" s="46" t="s">
        <v>495</v>
      </c>
      <c r="H123" s="47">
        <v>3</v>
      </c>
      <c r="I123" s="47">
        <v>4</v>
      </c>
      <c r="J123" s="47">
        <v>8</v>
      </c>
      <c r="K123" s="48">
        <f t="shared" si="9"/>
        <v>4.5</v>
      </c>
      <c r="L123" s="48">
        <f t="shared" si="10"/>
        <v>0.83333333333333337</v>
      </c>
      <c r="M123" s="48">
        <f t="shared" si="11"/>
        <v>0.69444444444444453</v>
      </c>
      <c r="N123" s="47" t="s">
        <v>527</v>
      </c>
      <c r="O123" s="46" t="s">
        <v>528</v>
      </c>
      <c r="P123" s="49">
        <v>143336172</v>
      </c>
      <c r="Q123" s="50" t="s">
        <v>529</v>
      </c>
    </row>
    <row r="124" spans="1:17" x14ac:dyDescent="0.25">
      <c r="A124" s="46" t="s">
        <v>530</v>
      </c>
      <c r="B124" s="46">
        <v>5</v>
      </c>
      <c r="C124" s="46" t="s">
        <v>531</v>
      </c>
      <c r="D124" s="46" t="s">
        <v>14</v>
      </c>
      <c r="E124" s="46" t="s">
        <v>498</v>
      </c>
      <c r="F124" s="46" t="s">
        <v>90</v>
      </c>
      <c r="G124" s="46" t="s">
        <v>495</v>
      </c>
      <c r="H124" s="47">
        <v>8</v>
      </c>
      <c r="I124" s="47">
        <v>11</v>
      </c>
      <c r="J124" s="47">
        <v>17</v>
      </c>
      <c r="K124" s="48">
        <f t="shared" si="9"/>
        <v>11.5</v>
      </c>
      <c r="L124" s="48">
        <f t="shared" si="10"/>
        <v>1.5</v>
      </c>
      <c r="M124" s="48">
        <f t="shared" si="11"/>
        <v>2.25</v>
      </c>
      <c r="N124" s="47" t="s">
        <v>532</v>
      </c>
      <c r="O124" s="46" t="s">
        <v>533</v>
      </c>
      <c r="P124" s="49">
        <v>286672344</v>
      </c>
      <c r="Q124" s="50" t="s">
        <v>534</v>
      </c>
    </row>
    <row r="125" spans="1:17" x14ac:dyDescent="0.25">
      <c r="A125" s="46" t="s">
        <v>535</v>
      </c>
      <c r="B125" s="46">
        <v>5</v>
      </c>
      <c r="C125" s="46" t="s">
        <v>536</v>
      </c>
      <c r="D125" s="46" t="s">
        <v>14</v>
      </c>
      <c r="E125" s="46" t="s">
        <v>498</v>
      </c>
      <c r="F125" s="46" t="s">
        <v>90</v>
      </c>
      <c r="G125" s="46" t="s">
        <v>495</v>
      </c>
      <c r="H125" s="47">
        <v>6</v>
      </c>
      <c r="I125" s="47">
        <v>9</v>
      </c>
      <c r="J125" s="47">
        <v>15</v>
      </c>
      <c r="K125" s="48">
        <f t="shared" si="9"/>
        <v>9.5</v>
      </c>
      <c r="L125" s="48">
        <f t="shared" si="10"/>
        <v>1.5</v>
      </c>
      <c r="M125" s="48">
        <f t="shared" si="11"/>
        <v>2.25</v>
      </c>
      <c r="N125" s="47" t="s">
        <v>537</v>
      </c>
      <c r="O125" s="46" t="s">
        <v>538</v>
      </c>
      <c r="P125" s="49">
        <v>238893620</v>
      </c>
      <c r="Q125" s="50" t="s">
        <v>539</v>
      </c>
    </row>
    <row r="126" spans="1:17" x14ac:dyDescent="0.25">
      <c r="A126" s="46" t="s">
        <v>540</v>
      </c>
      <c r="B126" s="46">
        <v>5</v>
      </c>
      <c r="C126" s="46" t="s">
        <v>541</v>
      </c>
      <c r="D126" s="46" t="s">
        <v>14</v>
      </c>
      <c r="E126" s="46" t="s">
        <v>498</v>
      </c>
      <c r="F126" s="46" t="s">
        <v>90</v>
      </c>
      <c r="G126" s="46" t="s">
        <v>495</v>
      </c>
      <c r="H126" s="47">
        <v>8</v>
      </c>
      <c r="I126" s="47">
        <v>11</v>
      </c>
      <c r="J126" s="47">
        <v>19</v>
      </c>
      <c r="K126" s="48">
        <f t="shared" si="9"/>
        <v>11.833333333333334</v>
      </c>
      <c r="L126" s="48">
        <f t="shared" si="10"/>
        <v>1.8333333333333333</v>
      </c>
      <c r="M126" s="48">
        <f t="shared" si="11"/>
        <v>3.3611111111111107</v>
      </c>
      <c r="N126" s="47" t="s">
        <v>527</v>
      </c>
      <c r="O126" s="46" t="s">
        <v>542</v>
      </c>
      <c r="P126" s="49">
        <v>334451068</v>
      </c>
      <c r="Q126" s="50" t="s">
        <v>529</v>
      </c>
    </row>
    <row r="127" spans="1:17" x14ac:dyDescent="0.25">
      <c r="A127" s="51" t="s">
        <v>543</v>
      </c>
      <c r="B127" s="51">
        <v>4</v>
      </c>
      <c r="C127" s="52" t="s">
        <v>544</v>
      </c>
      <c r="D127" s="51" t="s">
        <v>14</v>
      </c>
      <c r="E127" s="51"/>
      <c r="F127" s="51"/>
      <c r="G127" s="51" t="s">
        <v>545</v>
      </c>
      <c r="H127" s="53"/>
      <c r="I127" s="53"/>
      <c r="J127" s="53"/>
      <c r="K127" s="53"/>
      <c r="L127" s="53"/>
      <c r="M127" s="53"/>
      <c r="N127" s="53"/>
      <c r="O127" s="53"/>
      <c r="P127" s="54"/>
      <c r="Q127" s="54"/>
    </row>
    <row r="128" spans="1:17" x14ac:dyDescent="0.25">
      <c r="A128" s="46" t="s">
        <v>546</v>
      </c>
      <c r="B128" s="46">
        <v>5</v>
      </c>
      <c r="C128" s="46" t="s">
        <v>547</v>
      </c>
      <c r="D128" s="46" t="s">
        <v>14</v>
      </c>
      <c r="E128" s="46" t="s">
        <v>498</v>
      </c>
      <c r="F128" s="46" t="s">
        <v>90</v>
      </c>
      <c r="G128" s="46" t="s">
        <v>545</v>
      </c>
      <c r="H128" s="47">
        <v>3</v>
      </c>
      <c r="I128" s="47">
        <v>4</v>
      </c>
      <c r="J128" s="47">
        <v>8</v>
      </c>
      <c r="K128" s="48">
        <f t="shared" ref="K128:K133" si="12">(H128+4*I128+J128)/6</f>
        <v>4.5</v>
      </c>
      <c r="L128" s="48">
        <f t="shared" ref="L128:L133" si="13">(J128-H128)/6</f>
        <v>0.83333333333333337</v>
      </c>
      <c r="M128" s="48">
        <f t="shared" ref="M128:M133" si="14">L128^2</f>
        <v>0.69444444444444453</v>
      </c>
      <c r="N128" s="47" t="s">
        <v>548</v>
      </c>
      <c r="O128" s="46" t="s">
        <v>549</v>
      </c>
      <c r="P128" s="49">
        <v>143336172</v>
      </c>
      <c r="Q128" s="50" t="s">
        <v>550</v>
      </c>
    </row>
    <row r="129" spans="1:17" x14ac:dyDescent="0.25">
      <c r="A129" s="46" t="s">
        <v>551</v>
      </c>
      <c r="B129" s="46">
        <v>5</v>
      </c>
      <c r="C129" s="46" t="s">
        <v>552</v>
      </c>
      <c r="D129" s="46" t="s">
        <v>14</v>
      </c>
      <c r="E129" s="46" t="s">
        <v>498</v>
      </c>
      <c r="F129" s="46" t="s">
        <v>90</v>
      </c>
      <c r="G129" s="46" t="s">
        <v>545</v>
      </c>
      <c r="H129" s="47">
        <v>8</v>
      </c>
      <c r="I129" s="47">
        <v>11</v>
      </c>
      <c r="J129" s="47">
        <v>19</v>
      </c>
      <c r="K129" s="48">
        <f t="shared" si="12"/>
        <v>11.833333333333334</v>
      </c>
      <c r="L129" s="48">
        <f t="shared" si="13"/>
        <v>1.8333333333333333</v>
      </c>
      <c r="M129" s="48">
        <f t="shared" si="14"/>
        <v>3.3611111111111107</v>
      </c>
      <c r="N129" s="47" t="s">
        <v>553</v>
      </c>
      <c r="O129" s="46" t="s">
        <v>554</v>
      </c>
      <c r="P129" s="49">
        <v>334451068</v>
      </c>
      <c r="Q129" s="50" t="s">
        <v>555</v>
      </c>
    </row>
    <row r="130" spans="1:17" x14ac:dyDescent="0.25">
      <c r="A130" s="46" t="s">
        <v>556</v>
      </c>
      <c r="B130" s="46">
        <v>5</v>
      </c>
      <c r="C130" s="46" t="s">
        <v>557</v>
      </c>
      <c r="D130" s="46" t="s">
        <v>14</v>
      </c>
      <c r="E130" s="46" t="s">
        <v>498</v>
      </c>
      <c r="F130" s="46" t="s">
        <v>90</v>
      </c>
      <c r="G130" s="46" t="s">
        <v>545</v>
      </c>
      <c r="H130" s="47">
        <v>8</v>
      </c>
      <c r="I130" s="47">
        <v>11</v>
      </c>
      <c r="J130" s="47">
        <v>19</v>
      </c>
      <c r="K130" s="48">
        <f t="shared" si="12"/>
        <v>11.833333333333334</v>
      </c>
      <c r="L130" s="48">
        <f t="shared" si="13"/>
        <v>1.8333333333333333</v>
      </c>
      <c r="M130" s="48">
        <f t="shared" si="14"/>
        <v>3.3611111111111107</v>
      </c>
      <c r="N130" s="47" t="s">
        <v>558</v>
      </c>
      <c r="O130" s="46" t="s">
        <v>559</v>
      </c>
      <c r="P130" s="49">
        <v>334451068</v>
      </c>
      <c r="Q130" s="50" t="s">
        <v>560</v>
      </c>
    </row>
    <row r="131" spans="1:17" x14ac:dyDescent="0.25">
      <c r="A131" s="46" t="s">
        <v>561</v>
      </c>
      <c r="B131" s="46">
        <v>5</v>
      </c>
      <c r="C131" s="46" t="s">
        <v>562</v>
      </c>
      <c r="D131" s="46" t="s">
        <v>14</v>
      </c>
      <c r="E131" s="46" t="s">
        <v>498</v>
      </c>
      <c r="F131" s="46" t="s">
        <v>94</v>
      </c>
      <c r="G131" s="46" t="s">
        <v>545</v>
      </c>
      <c r="H131" s="47">
        <v>6</v>
      </c>
      <c r="I131" s="47">
        <v>9</v>
      </c>
      <c r="J131" s="47">
        <v>15</v>
      </c>
      <c r="K131" s="48">
        <f t="shared" si="12"/>
        <v>9.5</v>
      </c>
      <c r="L131" s="48">
        <f t="shared" si="13"/>
        <v>1.5</v>
      </c>
      <c r="M131" s="48">
        <f t="shared" si="14"/>
        <v>2.25</v>
      </c>
      <c r="N131" s="47" t="s">
        <v>563</v>
      </c>
      <c r="O131" s="46" t="s">
        <v>564</v>
      </c>
      <c r="P131" s="49">
        <v>238893620</v>
      </c>
      <c r="Q131" s="50" t="s">
        <v>565</v>
      </c>
    </row>
    <row r="132" spans="1:17" x14ac:dyDescent="0.25">
      <c r="A132" s="46" t="s">
        <v>566</v>
      </c>
      <c r="B132" s="46">
        <v>5</v>
      </c>
      <c r="C132" s="46" t="s">
        <v>567</v>
      </c>
      <c r="D132" s="46" t="s">
        <v>14</v>
      </c>
      <c r="E132" s="46" t="s">
        <v>498</v>
      </c>
      <c r="F132" s="46" t="s">
        <v>90</v>
      </c>
      <c r="G132" s="46" t="s">
        <v>545</v>
      </c>
      <c r="H132" s="47">
        <v>3</v>
      </c>
      <c r="I132" s="47">
        <v>4</v>
      </c>
      <c r="J132" s="47">
        <v>8</v>
      </c>
      <c r="K132" s="48">
        <f t="shared" si="12"/>
        <v>4.5</v>
      </c>
      <c r="L132" s="48">
        <f t="shared" si="13"/>
        <v>0.83333333333333337</v>
      </c>
      <c r="M132" s="48">
        <f t="shared" si="14"/>
        <v>0.69444444444444453</v>
      </c>
      <c r="N132" s="47" t="s">
        <v>568</v>
      </c>
      <c r="O132" s="46" t="s">
        <v>569</v>
      </c>
      <c r="P132" s="49">
        <v>143336172</v>
      </c>
      <c r="Q132" s="50" t="s">
        <v>570</v>
      </c>
    </row>
    <row r="133" spans="1:17" x14ac:dyDescent="0.25">
      <c r="A133" s="46" t="s">
        <v>571</v>
      </c>
      <c r="B133" s="46">
        <v>5</v>
      </c>
      <c r="C133" s="46" t="s">
        <v>572</v>
      </c>
      <c r="D133" s="46" t="s">
        <v>14</v>
      </c>
      <c r="E133" s="46" t="s">
        <v>498</v>
      </c>
      <c r="F133" s="46" t="s">
        <v>90</v>
      </c>
      <c r="G133" s="46" t="s">
        <v>545</v>
      </c>
      <c r="H133" s="47">
        <v>3</v>
      </c>
      <c r="I133" s="47">
        <v>4</v>
      </c>
      <c r="J133" s="47">
        <v>8</v>
      </c>
      <c r="K133" s="48">
        <f t="shared" si="12"/>
        <v>4.5</v>
      </c>
      <c r="L133" s="48">
        <f t="shared" si="13"/>
        <v>0.83333333333333337</v>
      </c>
      <c r="M133" s="48">
        <f t="shared" si="14"/>
        <v>0.69444444444444453</v>
      </c>
      <c r="N133" s="47" t="s">
        <v>568</v>
      </c>
      <c r="O133" s="46" t="s">
        <v>573</v>
      </c>
      <c r="P133" s="49">
        <v>143336170</v>
      </c>
      <c r="Q133" s="50" t="s">
        <v>570</v>
      </c>
    </row>
    <row r="134" spans="1:17" x14ac:dyDescent="0.25">
      <c r="A134" s="51" t="s">
        <v>574</v>
      </c>
      <c r="B134" s="51">
        <v>4</v>
      </c>
      <c r="C134" s="52" t="s">
        <v>575</v>
      </c>
      <c r="D134" s="51" t="s">
        <v>14</v>
      </c>
      <c r="E134" s="51"/>
      <c r="F134" s="51"/>
      <c r="G134" s="51" t="s">
        <v>363</v>
      </c>
      <c r="H134" s="53"/>
      <c r="I134" s="53"/>
      <c r="J134" s="53"/>
      <c r="K134" s="53"/>
      <c r="L134" s="53"/>
      <c r="M134" s="53"/>
      <c r="N134" s="53"/>
      <c r="O134" s="53"/>
      <c r="P134" s="54"/>
      <c r="Q134" s="54"/>
    </row>
    <row r="135" spans="1:17" x14ac:dyDescent="0.25">
      <c r="A135" s="46" t="s">
        <v>576</v>
      </c>
      <c r="B135" s="46">
        <v>5</v>
      </c>
      <c r="C135" s="46" t="s">
        <v>577</v>
      </c>
      <c r="D135" s="46" t="s">
        <v>14</v>
      </c>
      <c r="E135" s="46" t="s">
        <v>578</v>
      </c>
      <c r="F135" s="46" t="s">
        <v>90</v>
      </c>
      <c r="G135" s="46" t="s">
        <v>363</v>
      </c>
      <c r="H135" s="47">
        <v>19</v>
      </c>
      <c r="I135" s="47">
        <v>28</v>
      </c>
      <c r="J135" s="47">
        <v>45</v>
      </c>
      <c r="K135" s="48">
        <f t="shared" ref="K135:K141" si="15">(H135+4*I135+J135)/6</f>
        <v>29.333333333333332</v>
      </c>
      <c r="L135" s="48">
        <f t="shared" ref="L135:L141" si="16">(J135-H135)/6</f>
        <v>4.333333333333333</v>
      </c>
      <c r="M135" s="48">
        <f t="shared" ref="M135:M141" si="17">L135^2</f>
        <v>18.777777777777775</v>
      </c>
      <c r="N135" s="47" t="s">
        <v>393</v>
      </c>
      <c r="O135" s="46" t="s">
        <v>579</v>
      </c>
      <c r="P135" s="49">
        <v>93750872</v>
      </c>
      <c r="Q135" s="50" t="s">
        <v>395</v>
      </c>
    </row>
    <row r="136" spans="1:17" x14ac:dyDescent="0.25">
      <c r="A136" s="46" t="s">
        <v>580</v>
      </c>
      <c r="B136" s="46">
        <v>5</v>
      </c>
      <c r="C136" s="46" t="s">
        <v>581</v>
      </c>
      <c r="D136" s="46" t="s">
        <v>14</v>
      </c>
      <c r="E136" s="46" t="s">
        <v>578</v>
      </c>
      <c r="F136" s="46" t="s">
        <v>90</v>
      </c>
      <c r="G136" s="46" t="s">
        <v>363</v>
      </c>
      <c r="H136" s="47">
        <v>11</v>
      </c>
      <c r="I136" s="47">
        <v>17</v>
      </c>
      <c r="J136" s="47">
        <v>26</v>
      </c>
      <c r="K136" s="48">
        <f t="shared" si="15"/>
        <v>17.5</v>
      </c>
      <c r="L136" s="48">
        <f t="shared" si="16"/>
        <v>2.5</v>
      </c>
      <c r="M136" s="48">
        <f t="shared" si="17"/>
        <v>6.25</v>
      </c>
      <c r="N136" s="47" t="s">
        <v>582</v>
      </c>
      <c r="O136" s="46" t="s">
        <v>583</v>
      </c>
      <c r="P136" s="49">
        <v>58594295</v>
      </c>
      <c r="Q136" s="50" t="s">
        <v>584</v>
      </c>
    </row>
    <row r="137" spans="1:17" x14ac:dyDescent="0.25">
      <c r="A137" s="46" t="s">
        <v>585</v>
      </c>
      <c r="B137" s="46">
        <v>5</v>
      </c>
      <c r="C137" s="46" t="s">
        <v>586</v>
      </c>
      <c r="D137" s="46" t="s">
        <v>14</v>
      </c>
      <c r="E137" s="46" t="s">
        <v>578</v>
      </c>
      <c r="F137" s="46" t="s">
        <v>90</v>
      </c>
      <c r="G137" s="46" t="s">
        <v>363</v>
      </c>
      <c r="H137" s="47">
        <v>17</v>
      </c>
      <c r="I137" s="47">
        <v>26</v>
      </c>
      <c r="J137" s="47">
        <v>41</v>
      </c>
      <c r="K137" s="48">
        <f t="shared" si="15"/>
        <v>27</v>
      </c>
      <c r="L137" s="48">
        <f t="shared" si="16"/>
        <v>4</v>
      </c>
      <c r="M137" s="48">
        <f t="shared" si="17"/>
        <v>16</v>
      </c>
      <c r="N137" s="47" t="s">
        <v>587</v>
      </c>
      <c r="O137" s="46" t="s">
        <v>588</v>
      </c>
      <c r="P137" s="49">
        <v>87891442</v>
      </c>
      <c r="Q137" s="50" t="s">
        <v>589</v>
      </c>
    </row>
    <row r="138" spans="1:17" x14ac:dyDescent="0.25">
      <c r="A138" s="46" t="s">
        <v>590</v>
      </c>
      <c r="B138" s="46">
        <v>5</v>
      </c>
      <c r="C138" s="46" t="s">
        <v>591</v>
      </c>
      <c r="D138" s="46" t="s">
        <v>14</v>
      </c>
      <c r="E138" s="46" t="s">
        <v>578</v>
      </c>
      <c r="F138" s="46" t="s">
        <v>90</v>
      </c>
      <c r="G138" s="46" t="s">
        <v>363</v>
      </c>
      <c r="H138" s="47">
        <v>13</v>
      </c>
      <c r="I138" s="47">
        <v>21</v>
      </c>
      <c r="J138" s="47">
        <v>32</v>
      </c>
      <c r="K138" s="48">
        <f t="shared" si="15"/>
        <v>21.5</v>
      </c>
      <c r="L138" s="48">
        <f t="shared" si="16"/>
        <v>3.1666666666666665</v>
      </c>
      <c r="M138" s="48">
        <f t="shared" si="17"/>
        <v>10.027777777777777</v>
      </c>
      <c r="N138" s="47" t="s">
        <v>592</v>
      </c>
      <c r="O138" s="46" t="s">
        <v>593</v>
      </c>
      <c r="P138" s="49">
        <v>70313154</v>
      </c>
      <c r="Q138" s="50" t="s">
        <v>594</v>
      </c>
    </row>
    <row r="139" spans="1:17" x14ac:dyDescent="0.25">
      <c r="A139" s="46" t="s">
        <v>595</v>
      </c>
      <c r="B139" s="46">
        <v>5</v>
      </c>
      <c r="C139" s="46" t="s">
        <v>596</v>
      </c>
      <c r="D139" s="46" t="s">
        <v>14</v>
      </c>
      <c r="E139" s="46" t="s">
        <v>578</v>
      </c>
      <c r="F139" s="46" t="s">
        <v>94</v>
      </c>
      <c r="G139" s="46" t="s">
        <v>363</v>
      </c>
      <c r="H139" s="47">
        <v>6</v>
      </c>
      <c r="I139" s="47">
        <v>9</v>
      </c>
      <c r="J139" s="47">
        <v>15</v>
      </c>
      <c r="K139" s="48">
        <f t="shared" si="15"/>
        <v>9.5</v>
      </c>
      <c r="L139" s="48">
        <f t="shared" si="16"/>
        <v>1.5</v>
      </c>
      <c r="M139" s="48">
        <f t="shared" si="17"/>
        <v>2.25</v>
      </c>
      <c r="N139" s="47" t="s">
        <v>597</v>
      </c>
      <c r="O139" s="46" t="s">
        <v>598</v>
      </c>
      <c r="P139" s="49">
        <v>29297147</v>
      </c>
      <c r="Q139" s="50" t="s">
        <v>599</v>
      </c>
    </row>
    <row r="140" spans="1:17" x14ac:dyDescent="0.25">
      <c r="A140" s="46" t="s">
        <v>600</v>
      </c>
      <c r="B140" s="46">
        <v>5</v>
      </c>
      <c r="C140" s="46" t="s">
        <v>601</v>
      </c>
      <c r="D140" s="46" t="s">
        <v>14</v>
      </c>
      <c r="E140" s="46" t="s">
        <v>578</v>
      </c>
      <c r="F140" s="46" t="s">
        <v>90</v>
      </c>
      <c r="G140" s="46" t="s">
        <v>363</v>
      </c>
      <c r="H140" s="47">
        <v>6</v>
      </c>
      <c r="I140" s="47">
        <v>9</v>
      </c>
      <c r="J140" s="47">
        <v>15</v>
      </c>
      <c r="K140" s="48">
        <f t="shared" si="15"/>
        <v>9.5</v>
      </c>
      <c r="L140" s="48">
        <f t="shared" si="16"/>
        <v>1.5</v>
      </c>
      <c r="M140" s="48">
        <f t="shared" si="17"/>
        <v>2.25</v>
      </c>
      <c r="N140" s="47" t="s">
        <v>597</v>
      </c>
      <c r="O140" s="46" t="s">
        <v>602</v>
      </c>
      <c r="P140" s="49">
        <v>29297147</v>
      </c>
      <c r="Q140" s="50" t="s">
        <v>599</v>
      </c>
    </row>
    <row r="141" spans="1:17" x14ac:dyDescent="0.25">
      <c r="A141" s="46" t="s">
        <v>603</v>
      </c>
      <c r="B141" s="46">
        <v>5</v>
      </c>
      <c r="C141" s="46" t="s">
        <v>604</v>
      </c>
      <c r="D141" s="46" t="s">
        <v>14</v>
      </c>
      <c r="E141" s="46" t="s">
        <v>578</v>
      </c>
      <c r="F141" s="46" t="s">
        <v>90</v>
      </c>
      <c r="G141" s="46" t="s">
        <v>363</v>
      </c>
      <c r="H141" s="47">
        <v>8</v>
      </c>
      <c r="I141" s="47">
        <v>11</v>
      </c>
      <c r="J141" s="47">
        <v>19</v>
      </c>
      <c r="K141" s="48">
        <f t="shared" si="15"/>
        <v>11.833333333333334</v>
      </c>
      <c r="L141" s="48">
        <f t="shared" si="16"/>
        <v>1.8333333333333333</v>
      </c>
      <c r="M141" s="48">
        <f t="shared" si="17"/>
        <v>3.3611111111111107</v>
      </c>
      <c r="N141" s="47" t="s">
        <v>587</v>
      </c>
      <c r="O141" s="46" t="s">
        <v>605</v>
      </c>
      <c r="P141" s="49">
        <v>41016006</v>
      </c>
      <c r="Q141" s="50" t="s">
        <v>589</v>
      </c>
    </row>
    <row r="142" spans="1:17" x14ac:dyDescent="0.25">
      <c r="A142" s="51" t="s">
        <v>606</v>
      </c>
      <c r="B142" s="51">
        <v>3</v>
      </c>
      <c r="C142" s="52" t="s">
        <v>607</v>
      </c>
      <c r="D142" s="51" t="s">
        <v>14</v>
      </c>
      <c r="E142" s="51"/>
      <c r="F142" s="51"/>
      <c r="G142" s="51"/>
      <c r="H142" s="53"/>
      <c r="I142" s="53"/>
      <c r="J142" s="53"/>
      <c r="K142" s="53"/>
      <c r="L142" s="53"/>
      <c r="M142" s="53"/>
      <c r="N142" s="53"/>
      <c r="O142" s="53"/>
      <c r="P142" s="54"/>
      <c r="Q142" s="54"/>
    </row>
    <row r="143" spans="1:17" x14ac:dyDescent="0.25">
      <c r="A143" s="51" t="s">
        <v>608</v>
      </c>
      <c r="B143" s="51">
        <v>4</v>
      </c>
      <c r="C143" s="52" t="s">
        <v>609</v>
      </c>
      <c r="D143" s="51" t="s">
        <v>14</v>
      </c>
      <c r="E143" s="51"/>
      <c r="F143" s="51"/>
      <c r="G143" s="51" t="s">
        <v>610</v>
      </c>
      <c r="H143" s="53"/>
      <c r="I143" s="53"/>
      <c r="J143" s="53"/>
      <c r="K143" s="53"/>
      <c r="L143" s="53"/>
      <c r="M143" s="53"/>
      <c r="N143" s="53"/>
      <c r="O143" s="53"/>
      <c r="P143" s="54"/>
      <c r="Q143" s="54"/>
    </row>
    <row r="144" spans="1:17" ht="17.25" customHeight="1" x14ac:dyDescent="0.25">
      <c r="A144" s="46" t="s">
        <v>611</v>
      </c>
      <c r="B144" s="46">
        <v>5</v>
      </c>
      <c r="C144" s="46" t="s">
        <v>612</v>
      </c>
      <c r="D144" s="46" t="s">
        <v>14</v>
      </c>
      <c r="E144" s="46" t="s">
        <v>613</v>
      </c>
      <c r="F144" s="46" t="s">
        <v>90</v>
      </c>
      <c r="G144" s="46" t="s">
        <v>610</v>
      </c>
      <c r="H144" s="47">
        <v>9</v>
      </c>
      <c r="I144" s="47">
        <v>15</v>
      </c>
      <c r="J144" s="47">
        <v>22</v>
      </c>
      <c r="K144" s="48">
        <f t="shared" ref="K144:K151" si="18">(H144+4*I144+J144)/6</f>
        <v>15.166666666666666</v>
      </c>
      <c r="L144" s="48">
        <f t="shared" ref="L144:L151" si="19">(J144-H144)/6</f>
        <v>2.1666666666666665</v>
      </c>
      <c r="M144" s="48">
        <f t="shared" ref="M144:M151" si="20">L144^2</f>
        <v>4.6944444444444438</v>
      </c>
      <c r="N144" s="47" t="s">
        <v>527</v>
      </c>
      <c r="O144" s="46" t="s">
        <v>614</v>
      </c>
      <c r="P144" s="49">
        <v>177920842</v>
      </c>
      <c r="Q144" s="50" t="s">
        <v>529</v>
      </c>
    </row>
    <row r="145" spans="1:17" ht="17.25" customHeight="1" x14ac:dyDescent="0.25">
      <c r="A145" s="46" t="s">
        <v>615</v>
      </c>
      <c r="B145" s="46">
        <v>5</v>
      </c>
      <c r="C145" s="46" t="s">
        <v>616</v>
      </c>
      <c r="D145" s="46" t="s">
        <v>14</v>
      </c>
      <c r="E145" s="46" t="s">
        <v>613</v>
      </c>
      <c r="F145" s="46" t="s">
        <v>90</v>
      </c>
      <c r="G145" s="46" t="s">
        <v>610</v>
      </c>
      <c r="H145" s="47">
        <v>8</v>
      </c>
      <c r="I145" s="47">
        <v>11</v>
      </c>
      <c r="J145" s="47">
        <v>17</v>
      </c>
      <c r="K145" s="48">
        <f t="shared" si="18"/>
        <v>11.5</v>
      </c>
      <c r="L145" s="48">
        <f t="shared" si="19"/>
        <v>1.5</v>
      </c>
      <c r="M145" s="48">
        <f t="shared" si="20"/>
        <v>2.25</v>
      </c>
      <c r="N145" s="47" t="s">
        <v>617</v>
      </c>
      <c r="O145" s="46" t="s">
        <v>618</v>
      </c>
      <c r="P145" s="49">
        <v>133440632</v>
      </c>
      <c r="Q145" s="50" t="s">
        <v>619</v>
      </c>
    </row>
    <row r="146" spans="1:17" ht="17.25" customHeight="1" x14ac:dyDescent="0.25">
      <c r="A146" s="46" t="s">
        <v>620</v>
      </c>
      <c r="B146" s="46">
        <v>5</v>
      </c>
      <c r="C146" s="46" t="s">
        <v>621</v>
      </c>
      <c r="D146" s="46" t="s">
        <v>14</v>
      </c>
      <c r="E146" s="46" t="s">
        <v>613</v>
      </c>
      <c r="F146" s="46" t="s">
        <v>90</v>
      </c>
      <c r="G146" s="46" t="s">
        <v>610</v>
      </c>
      <c r="H146" s="47">
        <v>9</v>
      </c>
      <c r="I146" s="47">
        <v>15</v>
      </c>
      <c r="J146" s="47">
        <v>22</v>
      </c>
      <c r="K146" s="48">
        <f t="shared" si="18"/>
        <v>15.166666666666666</v>
      </c>
      <c r="L146" s="48">
        <f t="shared" si="19"/>
        <v>2.1666666666666665</v>
      </c>
      <c r="M146" s="48">
        <f t="shared" si="20"/>
        <v>4.6944444444444438</v>
      </c>
      <c r="N146" s="47" t="s">
        <v>617</v>
      </c>
      <c r="O146" s="46" t="s">
        <v>622</v>
      </c>
      <c r="P146" s="49">
        <v>177920842</v>
      </c>
      <c r="Q146" s="50" t="s">
        <v>619</v>
      </c>
    </row>
    <row r="147" spans="1:17" ht="17.25" customHeight="1" x14ac:dyDescent="0.25">
      <c r="A147" s="46" t="s">
        <v>623</v>
      </c>
      <c r="B147" s="46">
        <v>5</v>
      </c>
      <c r="C147" s="46" t="s">
        <v>624</v>
      </c>
      <c r="D147" s="46" t="s">
        <v>14</v>
      </c>
      <c r="E147" s="46" t="s">
        <v>613</v>
      </c>
      <c r="F147" s="46" t="s">
        <v>90</v>
      </c>
      <c r="G147" s="46" t="s">
        <v>610</v>
      </c>
      <c r="H147" s="47">
        <v>8</v>
      </c>
      <c r="I147" s="47">
        <v>11</v>
      </c>
      <c r="J147" s="47">
        <v>17</v>
      </c>
      <c r="K147" s="48">
        <f t="shared" si="18"/>
        <v>11.5</v>
      </c>
      <c r="L147" s="48">
        <f t="shared" si="19"/>
        <v>1.5</v>
      </c>
      <c r="M147" s="48">
        <f t="shared" si="20"/>
        <v>2.25</v>
      </c>
      <c r="N147" s="47" t="s">
        <v>625</v>
      </c>
      <c r="O147" s="46" t="s">
        <v>626</v>
      </c>
      <c r="P147" s="49">
        <v>133440632</v>
      </c>
      <c r="Q147" s="50" t="s">
        <v>627</v>
      </c>
    </row>
    <row r="148" spans="1:17" ht="17.25" customHeight="1" x14ac:dyDescent="0.25">
      <c r="A148" s="46" t="s">
        <v>628</v>
      </c>
      <c r="B148" s="46">
        <v>5</v>
      </c>
      <c r="C148" s="46" t="s">
        <v>629</v>
      </c>
      <c r="D148" s="46" t="s">
        <v>14</v>
      </c>
      <c r="E148" s="46" t="s">
        <v>613</v>
      </c>
      <c r="F148" s="46" t="s">
        <v>90</v>
      </c>
      <c r="G148" s="46" t="s">
        <v>610</v>
      </c>
      <c r="H148" s="47">
        <v>9</v>
      </c>
      <c r="I148" s="47">
        <v>15</v>
      </c>
      <c r="J148" s="47">
        <v>22</v>
      </c>
      <c r="K148" s="48">
        <f t="shared" si="18"/>
        <v>15.166666666666666</v>
      </c>
      <c r="L148" s="48">
        <f t="shared" si="19"/>
        <v>2.1666666666666665</v>
      </c>
      <c r="M148" s="48">
        <f t="shared" si="20"/>
        <v>4.6944444444444438</v>
      </c>
      <c r="N148" s="47" t="s">
        <v>630</v>
      </c>
      <c r="O148" s="46" t="s">
        <v>631</v>
      </c>
      <c r="P148" s="49">
        <v>177920842</v>
      </c>
      <c r="Q148" s="50" t="s">
        <v>632</v>
      </c>
    </row>
    <row r="149" spans="1:17" ht="17.25" customHeight="1" x14ac:dyDescent="0.25">
      <c r="A149" s="46" t="s">
        <v>633</v>
      </c>
      <c r="B149" s="46">
        <v>5</v>
      </c>
      <c r="C149" s="46" t="s">
        <v>634</v>
      </c>
      <c r="D149" s="46" t="s">
        <v>14</v>
      </c>
      <c r="E149" s="46" t="s">
        <v>613</v>
      </c>
      <c r="F149" s="46" t="s">
        <v>90</v>
      </c>
      <c r="G149" s="46" t="s">
        <v>610</v>
      </c>
      <c r="H149" s="47">
        <v>8</v>
      </c>
      <c r="I149" s="47">
        <v>11</v>
      </c>
      <c r="J149" s="47">
        <v>19</v>
      </c>
      <c r="K149" s="48">
        <f t="shared" si="18"/>
        <v>11.833333333333334</v>
      </c>
      <c r="L149" s="48">
        <f t="shared" si="19"/>
        <v>1.8333333333333333</v>
      </c>
      <c r="M149" s="48">
        <f t="shared" si="20"/>
        <v>3.3611111111111107</v>
      </c>
      <c r="N149" s="47" t="s">
        <v>635</v>
      </c>
      <c r="O149" s="46" t="s">
        <v>636</v>
      </c>
      <c r="P149" s="49">
        <v>155680737</v>
      </c>
      <c r="Q149" s="50" t="s">
        <v>637</v>
      </c>
    </row>
    <row r="150" spans="1:17" ht="17.25" customHeight="1" x14ac:dyDescent="0.25">
      <c r="A150" s="46" t="s">
        <v>638</v>
      </c>
      <c r="B150" s="46">
        <v>5</v>
      </c>
      <c r="C150" s="46" t="s">
        <v>639</v>
      </c>
      <c r="D150" s="46" t="s">
        <v>14</v>
      </c>
      <c r="E150" s="46" t="s">
        <v>613</v>
      </c>
      <c r="F150" s="46" t="s">
        <v>90</v>
      </c>
      <c r="G150" s="46" t="s">
        <v>610</v>
      </c>
      <c r="H150" s="47">
        <v>6</v>
      </c>
      <c r="I150" s="47">
        <v>9</v>
      </c>
      <c r="J150" s="47">
        <v>15</v>
      </c>
      <c r="K150" s="48">
        <f t="shared" si="18"/>
        <v>9.5</v>
      </c>
      <c r="L150" s="48">
        <f t="shared" si="19"/>
        <v>1.5</v>
      </c>
      <c r="M150" s="48">
        <f t="shared" si="20"/>
        <v>2.25</v>
      </c>
      <c r="N150" s="47" t="s">
        <v>640</v>
      </c>
      <c r="O150" s="46" t="s">
        <v>641</v>
      </c>
      <c r="P150" s="49">
        <v>111200526</v>
      </c>
      <c r="Q150" s="50" t="s">
        <v>642</v>
      </c>
    </row>
    <row r="151" spans="1:17" ht="17.25" customHeight="1" x14ac:dyDescent="0.25">
      <c r="A151" s="46" t="s">
        <v>643</v>
      </c>
      <c r="B151" s="46">
        <v>5</v>
      </c>
      <c r="C151" s="46" t="s">
        <v>644</v>
      </c>
      <c r="D151" s="46" t="s">
        <v>14</v>
      </c>
      <c r="E151" s="46" t="s">
        <v>613</v>
      </c>
      <c r="F151" s="46" t="s">
        <v>90</v>
      </c>
      <c r="G151" s="46" t="s">
        <v>610</v>
      </c>
      <c r="H151" s="47">
        <v>4</v>
      </c>
      <c r="I151" s="47">
        <v>6</v>
      </c>
      <c r="J151" s="47">
        <v>10</v>
      </c>
      <c r="K151" s="48">
        <f t="shared" si="18"/>
        <v>6.333333333333333</v>
      </c>
      <c r="L151" s="48">
        <f t="shared" si="19"/>
        <v>1</v>
      </c>
      <c r="M151" s="48">
        <f t="shared" si="20"/>
        <v>1</v>
      </c>
      <c r="N151" s="47" t="s">
        <v>635</v>
      </c>
      <c r="O151" s="46" t="s">
        <v>645</v>
      </c>
      <c r="P151" s="49">
        <v>88960422</v>
      </c>
      <c r="Q151" s="50" t="s">
        <v>637</v>
      </c>
    </row>
    <row r="152" spans="1:17" x14ac:dyDescent="0.25">
      <c r="A152" s="51" t="s">
        <v>646</v>
      </c>
      <c r="B152" s="51">
        <v>4</v>
      </c>
      <c r="C152" s="52" t="s">
        <v>647</v>
      </c>
      <c r="D152" s="51" t="s">
        <v>14</v>
      </c>
      <c r="E152" s="51"/>
      <c r="F152" s="51"/>
      <c r="G152" s="51" t="s">
        <v>648</v>
      </c>
      <c r="H152" s="53"/>
      <c r="I152" s="53"/>
      <c r="J152" s="53"/>
      <c r="K152" s="53"/>
      <c r="L152" s="53"/>
      <c r="M152" s="53"/>
      <c r="N152" s="53"/>
      <c r="O152" s="53"/>
      <c r="P152" s="54"/>
      <c r="Q152" s="54"/>
    </row>
    <row r="153" spans="1:17" x14ac:dyDescent="0.25">
      <c r="A153" s="46" t="s">
        <v>649</v>
      </c>
      <c r="B153" s="46">
        <v>5</v>
      </c>
      <c r="C153" s="46" t="s">
        <v>650</v>
      </c>
      <c r="D153" s="46" t="s">
        <v>14</v>
      </c>
      <c r="E153" s="46" t="s">
        <v>651</v>
      </c>
      <c r="F153" s="46" t="s">
        <v>90</v>
      </c>
      <c r="G153" s="46" t="s">
        <v>648</v>
      </c>
      <c r="H153" s="47">
        <v>8</v>
      </c>
      <c r="I153" s="47">
        <v>11</v>
      </c>
      <c r="J153" s="47">
        <v>19</v>
      </c>
      <c r="K153" s="48">
        <f>(H153+4*I153+J153)/6</f>
        <v>11.833333333333334</v>
      </c>
      <c r="L153" s="48">
        <f>(J153-H153)/6</f>
        <v>1.8333333333333333</v>
      </c>
      <c r="M153" s="48">
        <f>L153^2</f>
        <v>3.3611111111111107</v>
      </c>
      <c r="N153" s="47" t="s">
        <v>527</v>
      </c>
      <c r="O153" s="46" t="s">
        <v>652</v>
      </c>
      <c r="P153" s="49">
        <v>49922806</v>
      </c>
      <c r="Q153" s="50" t="s">
        <v>529</v>
      </c>
    </row>
    <row r="154" spans="1:17" x14ac:dyDescent="0.25">
      <c r="A154" s="46" t="s">
        <v>653</v>
      </c>
      <c r="B154" s="46">
        <v>5</v>
      </c>
      <c r="C154" s="46" t="s">
        <v>654</v>
      </c>
      <c r="D154" s="46" t="s">
        <v>14</v>
      </c>
      <c r="E154" s="46" t="s">
        <v>651</v>
      </c>
      <c r="F154" s="46" t="s">
        <v>90</v>
      </c>
      <c r="G154" s="46" t="s">
        <v>648</v>
      </c>
      <c r="H154" s="47">
        <v>6</v>
      </c>
      <c r="I154" s="47">
        <v>9</v>
      </c>
      <c r="J154" s="47">
        <v>15</v>
      </c>
      <c r="K154" s="48">
        <f>(H154+4*I154+J154)/6</f>
        <v>9.5</v>
      </c>
      <c r="L154" s="48">
        <f>(J154-H154)/6</f>
        <v>1.5</v>
      </c>
      <c r="M154" s="48">
        <f>L154^2</f>
        <v>2.25</v>
      </c>
      <c r="N154" s="47" t="s">
        <v>655</v>
      </c>
      <c r="O154" s="46" t="s">
        <v>656</v>
      </c>
      <c r="P154" s="49">
        <v>35659147</v>
      </c>
      <c r="Q154" s="50" t="s">
        <v>657</v>
      </c>
    </row>
    <row r="155" spans="1:17" x14ac:dyDescent="0.25">
      <c r="A155" s="46" t="s">
        <v>658</v>
      </c>
      <c r="B155" s="46">
        <v>5</v>
      </c>
      <c r="C155" s="46" t="s">
        <v>659</v>
      </c>
      <c r="D155" s="46" t="s">
        <v>14</v>
      </c>
      <c r="E155" s="46" t="s">
        <v>651</v>
      </c>
      <c r="F155" s="46" t="s">
        <v>90</v>
      </c>
      <c r="G155" s="46" t="s">
        <v>648</v>
      </c>
      <c r="H155" s="47">
        <v>3</v>
      </c>
      <c r="I155" s="47">
        <v>6</v>
      </c>
      <c r="J155" s="47">
        <v>10</v>
      </c>
      <c r="K155" s="48">
        <f>(H155+4*I155+J155)/6</f>
        <v>6.166666666666667</v>
      </c>
      <c r="L155" s="48">
        <f>(J155-H155)/6</f>
        <v>1.1666666666666667</v>
      </c>
      <c r="M155" s="48">
        <f>L155^2</f>
        <v>1.3611111111111114</v>
      </c>
      <c r="N155" s="47" t="s">
        <v>660</v>
      </c>
      <c r="O155" s="46" t="s">
        <v>661</v>
      </c>
      <c r="P155" s="49">
        <v>28527318</v>
      </c>
      <c r="Q155" s="50" t="s">
        <v>662</v>
      </c>
    </row>
    <row r="156" spans="1:17" x14ac:dyDescent="0.25">
      <c r="A156" s="46" t="s">
        <v>663</v>
      </c>
      <c r="B156" s="46">
        <v>5</v>
      </c>
      <c r="C156" s="46" t="s">
        <v>664</v>
      </c>
      <c r="D156" s="46" t="s">
        <v>14</v>
      </c>
      <c r="E156" s="46" t="s">
        <v>651</v>
      </c>
      <c r="F156" s="46" t="s">
        <v>90</v>
      </c>
      <c r="G156" s="46" t="s">
        <v>648</v>
      </c>
      <c r="H156" s="47">
        <v>3</v>
      </c>
      <c r="I156" s="47">
        <v>6</v>
      </c>
      <c r="J156" s="47">
        <v>10</v>
      </c>
      <c r="K156" s="48">
        <f>(H156+4*I156+J156)/6</f>
        <v>6.166666666666667</v>
      </c>
      <c r="L156" s="48">
        <f>(J156-H156)/6</f>
        <v>1.1666666666666667</v>
      </c>
      <c r="M156" s="48">
        <f>L156^2</f>
        <v>1.3611111111111114</v>
      </c>
      <c r="N156" s="47" t="s">
        <v>665</v>
      </c>
      <c r="O156" s="46" t="s">
        <v>666</v>
      </c>
      <c r="P156" s="49">
        <v>28527318</v>
      </c>
      <c r="Q156" s="50" t="s">
        <v>667</v>
      </c>
    </row>
    <row r="157" spans="1:17" x14ac:dyDescent="0.25">
      <c r="A157" s="46" t="s">
        <v>668</v>
      </c>
      <c r="B157" s="46">
        <v>5</v>
      </c>
      <c r="C157" s="46" t="s">
        <v>669</v>
      </c>
      <c r="D157" s="46" t="s">
        <v>14</v>
      </c>
      <c r="E157" s="46" t="s">
        <v>651</v>
      </c>
      <c r="F157" s="46" t="s">
        <v>94</v>
      </c>
      <c r="G157" s="46" t="s">
        <v>648</v>
      </c>
      <c r="H157" s="47">
        <v>3</v>
      </c>
      <c r="I157" s="47">
        <v>4</v>
      </c>
      <c r="J157" s="47">
        <v>8</v>
      </c>
      <c r="K157" s="48">
        <f>(H157+4*I157+J157)/6</f>
        <v>4.5</v>
      </c>
      <c r="L157" s="48">
        <f>(J157-H157)/6</f>
        <v>0.83333333333333337</v>
      </c>
      <c r="M157" s="48">
        <f>L157^2</f>
        <v>0.69444444444444453</v>
      </c>
      <c r="N157" s="47" t="s">
        <v>670</v>
      </c>
      <c r="O157" s="46" t="s">
        <v>671</v>
      </c>
      <c r="P157" s="49">
        <v>21395487</v>
      </c>
      <c r="Q157" s="50" t="s">
        <v>672</v>
      </c>
    </row>
    <row r="158" spans="1:17" x14ac:dyDescent="0.25">
      <c r="A158" s="51" t="s">
        <v>673</v>
      </c>
      <c r="B158" s="51">
        <v>4</v>
      </c>
      <c r="C158" s="52" t="s">
        <v>674</v>
      </c>
      <c r="D158" s="51" t="s">
        <v>14</v>
      </c>
      <c r="E158" s="51"/>
      <c r="F158" s="51"/>
      <c r="G158" s="51" t="s">
        <v>610</v>
      </c>
      <c r="H158" s="53"/>
      <c r="I158" s="53"/>
      <c r="J158" s="53"/>
      <c r="K158" s="53"/>
      <c r="L158" s="53"/>
      <c r="M158" s="53"/>
      <c r="N158" s="53"/>
      <c r="O158" s="53"/>
      <c r="P158" s="54"/>
      <c r="Q158" s="54"/>
    </row>
    <row r="159" spans="1:17" x14ac:dyDescent="0.25">
      <c r="A159" s="46" t="s">
        <v>675</v>
      </c>
      <c r="B159" s="46">
        <v>5</v>
      </c>
      <c r="C159" s="46" t="s">
        <v>676</v>
      </c>
      <c r="D159" s="46" t="s">
        <v>14</v>
      </c>
      <c r="E159" s="46" t="s">
        <v>677</v>
      </c>
      <c r="F159" s="46" t="s">
        <v>90</v>
      </c>
      <c r="G159" s="46" t="s">
        <v>610</v>
      </c>
      <c r="H159" s="47">
        <v>8</v>
      </c>
      <c r="I159" s="47">
        <v>11</v>
      </c>
      <c r="J159" s="47">
        <v>19</v>
      </c>
      <c r="K159" s="48">
        <f t="shared" ref="K159:K164" si="21">(H159+4*I159+J159)/6</f>
        <v>11.833333333333334</v>
      </c>
      <c r="L159" s="48">
        <f t="shared" ref="L159:L164" si="22">(J159-H159)/6</f>
        <v>1.8333333333333333</v>
      </c>
      <c r="M159" s="48">
        <f t="shared" ref="M159:M164" si="23">L159^2</f>
        <v>3.3611111111111107</v>
      </c>
      <c r="N159" s="47" t="s">
        <v>678</v>
      </c>
      <c r="O159" s="46" t="s">
        <v>679</v>
      </c>
      <c r="P159" s="49">
        <v>5078343</v>
      </c>
      <c r="Q159" s="50" t="s">
        <v>680</v>
      </c>
    </row>
    <row r="160" spans="1:17" x14ac:dyDescent="0.25">
      <c r="A160" s="46" t="s">
        <v>681</v>
      </c>
      <c r="B160" s="46">
        <v>5</v>
      </c>
      <c r="C160" s="46" t="s">
        <v>682</v>
      </c>
      <c r="D160" s="46" t="s">
        <v>14</v>
      </c>
      <c r="E160" s="46" t="s">
        <v>683</v>
      </c>
      <c r="F160" s="46" t="s">
        <v>90</v>
      </c>
      <c r="G160" s="46" t="s">
        <v>610</v>
      </c>
      <c r="H160" s="47">
        <v>9</v>
      </c>
      <c r="I160" s="47">
        <v>15</v>
      </c>
      <c r="J160" s="47">
        <v>24</v>
      </c>
      <c r="K160" s="48">
        <f t="shared" si="21"/>
        <v>15.5</v>
      </c>
      <c r="L160" s="48">
        <f t="shared" si="22"/>
        <v>2.5</v>
      </c>
      <c r="M160" s="48">
        <f t="shared" si="23"/>
        <v>6.25</v>
      </c>
      <c r="N160" s="47" t="s">
        <v>678</v>
      </c>
      <c r="O160" s="46" t="s">
        <v>684</v>
      </c>
      <c r="P160" s="49">
        <v>70774268</v>
      </c>
      <c r="Q160" s="50" t="s">
        <v>680</v>
      </c>
    </row>
    <row r="161" spans="1:17" x14ac:dyDescent="0.25">
      <c r="A161" s="46" t="s">
        <v>685</v>
      </c>
      <c r="B161" s="46">
        <v>5</v>
      </c>
      <c r="C161" s="46" t="s">
        <v>686</v>
      </c>
      <c r="D161" s="46" t="s">
        <v>14</v>
      </c>
      <c r="E161" s="46" t="s">
        <v>687</v>
      </c>
      <c r="F161" s="46" t="s">
        <v>90</v>
      </c>
      <c r="G161" s="46" t="s">
        <v>610</v>
      </c>
      <c r="H161" s="47">
        <v>8</v>
      </c>
      <c r="I161" s="47">
        <v>11</v>
      </c>
      <c r="J161" s="47">
        <v>19</v>
      </c>
      <c r="K161" s="48">
        <f t="shared" si="21"/>
        <v>11.833333333333334</v>
      </c>
      <c r="L161" s="48">
        <f t="shared" si="22"/>
        <v>1.8333333333333333</v>
      </c>
      <c r="M161" s="48">
        <f t="shared" si="23"/>
        <v>3.3611111111111107</v>
      </c>
      <c r="N161" s="47" t="s">
        <v>558</v>
      </c>
      <c r="O161" s="46" t="s">
        <v>688</v>
      </c>
      <c r="P161" s="49">
        <v>132387870</v>
      </c>
      <c r="Q161" s="50" t="s">
        <v>560</v>
      </c>
    </row>
    <row r="162" spans="1:17" x14ac:dyDescent="0.25">
      <c r="A162" s="46" t="s">
        <v>689</v>
      </c>
      <c r="B162" s="46">
        <v>5</v>
      </c>
      <c r="C162" s="46" t="s">
        <v>690</v>
      </c>
      <c r="D162" s="46" t="s">
        <v>14</v>
      </c>
      <c r="E162" s="46" t="s">
        <v>683</v>
      </c>
      <c r="F162" s="46" t="s">
        <v>90</v>
      </c>
      <c r="G162" s="46" t="s">
        <v>610</v>
      </c>
      <c r="H162" s="47">
        <v>6</v>
      </c>
      <c r="I162" s="47">
        <v>9</v>
      </c>
      <c r="J162" s="47">
        <v>17</v>
      </c>
      <c r="K162" s="48">
        <f t="shared" si="21"/>
        <v>9.8333333333333339</v>
      </c>
      <c r="L162" s="48">
        <f t="shared" si="22"/>
        <v>1.8333333333333333</v>
      </c>
      <c r="M162" s="48">
        <f t="shared" si="23"/>
        <v>3.3611111111111107</v>
      </c>
      <c r="N162" s="47" t="s">
        <v>691</v>
      </c>
      <c r="O162" s="46" t="s">
        <v>692</v>
      </c>
      <c r="P162" s="49">
        <v>39319038</v>
      </c>
      <c r="Q162" s="50" t="s">
        <v>693</v>
      </c>
    </row>
    <row r="163" spans="1:17" x14ac:dyDescent="0.25">
      <c r="A163" s="46" t="s">
        <v>694</v>
      </c>
      <c r="B163" s="46">
        <v>5</v>
      </c>
      <c r="C163" s="46" t="s">
        <v>695</v>
      </c>
      <c r="D163" s="46" t="s">
        <v>14</v>
      </c>
      <c r="E163" s="46" t="s">
        <v>683</v>
      </c>
      <c r="F163" s="46" t="s">
        <v>90</v>
      </c>
      <c r="G163" s="46" t="s">
        <v>610</v>
      </c>
      <c r="H163" s="47">
        <v>8</v>
      </c>
      <c r="I163" s="47">
        <v>11</v>
      </c>
      <c r="J163" s="47">
        <v>21</v>
      </c>
      <c r="K163" s="48">
        <f t="shared" si="21"/>
        <v>12.166666666666666</v>
      </c>
      <c r="L163" s="48">
        <f t="shared" si="22"/>
        <v>2.1666666666666665</v>
      </c>
      <c r="M163" s="48">
        <f t="shared" si="23"/>
        <v>4.6944444444444438</v>
      </c>
      <c r="N163" s="47" t="s">
        <v>696</v>
      </c>
      <c r="O163" s="46" t="s">
        <v>697</v>
      </c>
      <c r="P163" s="49">
        <v>55046653</v>
      </c>
      <c r="Q163" s="50" t="s">
        <v>698</v>
      </c>
    </row>
    <row r="164" spans="1:17" x14ac:dyDescent="0.25">
      <c r="A164" s="46" t="s">
        <v>699</v>
      </c>
      <c r="B164" s="46">
        <v>5</v>
      </c>
      <c r="C164" s="46" t="s">
        <v>700</v>
      </c>
      <c r="D164" s="46" t="s">
        <v>14</v>
      </c>
      <c r="E164" s="46" t="s">
        <v>683</v>
      </c>
      <c r="F164" s="46" t="s">
        <v>90</v>
      </c>
      <c r="G164" s="46" t="s">
        <v>610</v>
      </c>
      <c r="H164" s="47">
        <v>4</v>
      </c>
      <c r="I164" s="47">
        <v>6</v>
      </c>
      <c r="J164" s="47">
        <v>10</v>
      </c>
      <c r="K164" s="48">
        <f t="shared" si="21"/>
        <v>6.333333333333333</v>
      </c>
      <c r="L164" s="48">
        <f t="shared" si="22"/>
        <v>1</v>
      </c>
      <c r="M164" s="48">
        <f t="shared" si="23"/>
        <v>1</v>
      </c>
      <c r="N164" s="47" t="s">
        <v>701</v>
      </c>
      <c r="O164" s="46" t="s">
        <v>702</v>
      </c>
      <c r="P164" s="49">
        <v>31455230</v>
      </c>
      <c r="Q164" s="50" t="s">
        <v>703</v>
      </c>
    </row>
    <row r="165" spans="1:17" x14ac:dyDescent="0.25">
      <c r="A165" s="51" t="s">
        <v>704</v>
      </c>
      <c r="B165" s="51">
        <v>3</v>
      </c>
      <c r="C165" s="52" t="s">
        <v>705</v>
      </c>
      <c r="D165" s="51" t="s">
        <v>14</v>
      </c>
      <c r="E165" s="51"/>
      <c r="F165" s="51"/>
      <c r="G165" s="51"/>
      <c r="H165" s="53"/>
      <c r="I165" s="53"/>
      <c r="J165" s="53"/>
      <c r="K165" s="53"/>
      <c r="L165" s="53"/>
      <c r="M165" s="53"/>
      <c r="N165" s="53"/>
      <c r="O165" s="53"/>
      <c r="P165" s="54"/>
      <c r="Q165" s="54"/>
    </row>
    <row r="166" spans="1:17" ht="25.5" x14ac:dyDescent="0.25">
      <c r="A166" s="51" t="s">
        <v>706</v>
      </c>
      <c r="B166" s="51">
        <v>4</v>
      </c>
      <c r="C166" s="52" t="s">
        <v>707</v>
      </c>
      <c r="D166" s="51" t="s">
        <v>14</v>
      </c>
      <c r="E166" s="51"/>
      <c r="F166" s="51"/>
      <c r="G166" s="51" t="s">
        <v>708</v>
      </c>
      <c r="H166" s="53"/>
      <c r="I166" s="53"/>
      <c r="J166" s="53"/>
      <c r="K166" s="53"/>
      <c r="L166" s="53"/>
      <c r="M166" s="53"/>
      <c r="N166" s="53"/>
      <c r="O166" s="53"/>
      <c r="P166" s="54"/>
      <c r="Q166" s="54"/>
    </row>
    <row r="167" spans="1:17" ht="15.75" customHeight="1" x14ac:dyDescent="0.25">
      <c r="A167" s="46" t="s">
        <v>709</v>
      </c>
      <c r="B167" s="46">
        <v>5</v>
      </c>
      <c r="C167" s="46" t="s">
        <v>710</v>
      </c>
      <c r="D167" s="46" t="s">
        <v>14</v>
      </c>
      <c r="E167" s="46" t="s">
        <v>711</v>
      </c>
      <c r="F167" s="46" t="s">
        <v>90</v>
      </c>
      <c r="G167" s="46" t="s">
        <v>708</v>
      </c>
      <c r="H167" s="47">
        <v>6</v>
      </c>
      <c r="I167" s="47">
        <v>9</v>
      </c>
      <c r="J167" s="47">
        <v>15</v>
      </c>
      <c r="K167" s="48">
        <f>(H167+4*I167+J167)/6</f>
        <v>9.5</v>
      </c>
      <c r="L167" s="48">
        <f>(J167-H167)/6</f>
        <v>1.5</v>
      </c>
      <c r="M167" s="48">
        <f>L167^2</f>
        <v>2.25</v>
      </c>
      <c r="N167" s="47" t="s">
        <v>712</v>
      </c>
      <c r="O167" s="46" t="s">
        <v>713</v>
      </c>
      <c r="P167" s="49">
        <v>47572645</v>
      </c>
      <c r="Q167" s="50" t="s">
        <v>714</v>
      </c>
    </row>
    <row r="168" spans="1:17" ht="15.75" customHeight="1" x14ac:dyDescent="0.25">
      <c r="A168" s="46" t="s">
        <v>715</v>
      </c>
      <c r="B168" s="46">
        <v>5</v>
      </c>
      <c r="C168" s="46" t="s">
        <v>716</v>
      </c>
      <c r="D168" s="46" t="s">
        <v>14</v>
      </c>
      <c r="E168" s="46" t="s">
        <v>711</v>
      </c>
      <c r="F168" s="46" t="s">
        <v>90</v>
      </c>
      <c r="G168" s="46" t="s">
        <v>708</v>
      </c>
      <c r="H168" s="47">
        <v>4</v>
      </c>
      <c r="I168" s="47">
        <v>6</v>
      </c>
      <c r="J168" s="47">
        <v>10</v>
      </c>
      <c r="K168" s="48">
        <f>(H168+4*I168+J168)/6</f>
        <v>6.333333333333333</v>
      </c>
      <c r="L168" s="48">
        <f>(J168-H168)/6</f>
        <v>1</v>
      </c>
      <c r="M168" s="48">
        <f>L168^2</f>
        <v>1</v>
      </c>
      <c r="N168" s="47" t="s">
        <v>717</v>
      </c>
      <c r="O168" s="46" t="s">
        <v>718</v>
      </c>
      <c r="P168" s="49">
        <v>38058116</v>
      </c>
      <c r="Q168" s="50" t="s">
        <v>719</v>
      </c>
    </row>
    <row r="169" spans="1:17" ht="15.75" customHeight="1" x14ac:dyDescent="0.25">
      <c r="A169" s="46" t="s">
        <v>720</v>
      </c>
      <c r="B169" s="46">
        <v>5</v>
      </c>
      <c r="C169" s="46" t="s">
        <v>721</v>
      </c>
      <c r="D169" s="46" t="s">
        <v>14</v>
      </c>
      <c r="E169" s="46" t="s">
        <v>711</v>
      </c>
      <c r="F169" s="46" t="s">
        <v>94</v>
      </c>
      <c r="G169" s="46" t="s">
        <v>708</v>
      </c>
      <c r="H169" s="47">
        <v>3</v>
      </c>
      <c r="I169" s="47">
        <v>4</v>
      </c>
      <c r="J169" s="47">
        <v>8</v>
      </c>
      <c r="K169" s="48">
        <f>(H169+4*I169+J169)/6</f>
        <v>4.5</v>
      </c>
      <c r="L169" s="48">
        <f>(J169-H169)/6</f>
        <v>0.83333333333333337</v>
      </c>
      <c r="M169" s="48">
        <f>L169^2</f>
        <v>0.69444444444444453</v>
      </c>
      <c r="N169" s="47" t="s">
        <v>722</v>
      </c>
      <c r="O169" s="46" t="s">
        <v>723</v>
      </c>
      <c r="P169" s="49">
        <v>28543587</v>
      </c>
      <c r="Q169" s="50" t="s">
        <v>724</v>
      </c>
    </row>
    <row r="170" spans="1:17" ht="15.75" customHeight="1" x14ac:dyDescent="0.25">
      <c r="A170" s="46" t="s">
        <v>725</v>
      </c>
      <c r="B170" s="46">
        <v>5</v>
      </c>
      <c r="C170" s="46" t="s">
        <v>726</v>
      </c>
      <c r="D170" s="46" t="s">
        <v>14</v>
      </c>
      <c r="E170" s="46" t="s">
        <v>711</v>
      </c>
      <c r="F170" s="46" t="s">
        <v>90</v>
      </c>
      <c r="G170" s="46" t="s">
        <v>708</v>
      </c>
      <c r="H170" s="47">
        <v>3</v>
      </c>
      <c r="I170" s="47">
        <v>6</v>
      </c>
      <c r="J170" s="47">
        <v>9</v>
      </c>
      <c r="K170" s="48">
        <f>(H170+4*I170+J170)/6</f>
        <v>6</v>
      </c>
      <c r="L170" s="48">
        <f>(J170-H170)/6</f>
        <v>1</v>
      </c>
      <c r="M170" s="48">
        <f>L170^2</f>
        <v>1</v>
      </c>
      <c r="N170" s="47" t="s">
        <v>722</v>
      </c>
      <c r="O170" s="46" t="s">
        <v>727</v>
      </c>
      <c r="P170" s="49">
        <v>38058116</v>
      </c>
      <c r="Q170" s="50" t="s">
        <v>724</v>
      </c>
    </row>
    <row r="171" spans="1:17" ht="15.75" customHeight="1" x14ac:dyDescent="0.25">
      <c r="A171" s="46" t="s">
        <v>728</v>
      </c>
      <c r="B171" s="46">
        <v>5</v>
      </c>
      <c r="C171" s="46" t="s">
        <v>729</v>
      </c>
      <c r="D171" s="46" t="s">
        <v>14</v>
      </c>
      <c r="E171" s="46" t="s">
        <v>711</v>
      </c>
      <c r="F171" s="46" t="s">
        <v>90</v>
      </c>
      <c r="G171" s="46" t="s">
        <v>708</v>
      </c>
      <c r="H171" s="47">
        <v>3</v>
      </c>
      <c r="I171" s="47">
        <v>6</v>
      </c>
      <c r="J171" s="47">
        <v>9</v>
      </c>
      <c r="K171" s="48">
        <f>(H171+4*I171+J171)/6</f>
        <v>6</v>
      </c>
      <c r="L171" s="48">
        <f>(J171-H171)/6</f>
        <v>1</v>
      </c>
      <c r="M171" s="48">
        <f>L171^2</f>
        <v>1</v>
      </c>
      <c r="N171" s="47" t="s">
        <v>730</v>
      </c>
      <c r="O171" s="46" t="s">
        <v>731</v>
      </c>
      <c r="P171" s="49">
        <v>38058116</v>
      </c>
      <c r="Q171" s="50" t="s">
        <v>732</v>
      </c>
    </row>
    <row r="172" spans="1:17" x14ac:dyDescent="0.25">
      <c r="A172" s="51" t="s">
        <v>733</v>
      </c>
      <c r="B172" s="51">
        <v>4</v>
      </c>
      <c r="C172" s="52" t="s">
        <v>734</v>
      </c>
      <c r="D172" s="51" t="s">
        <v>14</v>
      </c>
      <c r="E172" s="51"/>
      <c r="F172" s="51"/>
      <c r="G172" s="51" t="s">
        <v>735</v>
      </c>
      <c r="H172" s="53"/>
      <c r="I172" s="53"/>
      <c r="J172" s="53"/>
      <c r="K172" s="53"/>
      <c r="L172" s="53"/>
      <c r="M172" s="53"/>
      <c r="N172" s="53"/>
      <c r="O172" s="53"/>
      <c r="P172" s="54"/>
      <c r="Q172" s="54"/>
    </row>
    <row r="173" spans="1:17" ht="15.75" customHeight="1" x14ac:dyDescent="0.25">
      <c r="A173" s="46" t="s">
        <v>736</v>
      </c>
      <c r="B173" s="46">
        <v>5</v>
      </c>
      <c r="C173" s="46" t="s">
        <v>737</v>
      </c>
      <c r="D173" s="46" t="s">
        <v>14</v>
      </c>
      <c r="E173" s="46" t="s">
        <v>711</v>
      </c>
      <c r="F173" s="46" t="s">
        <v>90</v>
      </c>
      <c r="G173" s="46" t="s">
        <v>735</v>
      </c>
      <c r="H173" s="47">
        <v>6</v>
      </c>
      <c r="I173" s="47">
        <v>9</v>
      </c>
      <c r="J173" s="47">
        <v>15</v>
      </c>
      <c r="K173" s="48">
        <f>(H173+4*I173+J173)/6</f>
        <v>9.5</v>
      </c>
      <c r="L173" s="48">
        <f>(J173-H173)/6</f>
        <v>1.5</v>
      </c>
      <c r="M173" s="48">
        <f>L173^2</f>
        <v>2.25</v>
      </c>
      <c r="N173" s="47" t="s">
        <v>722</v>
      </c>
      <c r="O173" s="46" t="s">
        <v>738</v>
      </c>
      <c r="P173" s="49">
        <v>47572645</v>
      </c>
      <c r="Q173" s="50" t="s">
        <v>724</v>
      </c>
    </row>
    <row r="174" spans="1:17" ht="15.75" customHeight="1" x14ac:dyDescent="0.25">
      <c r="A174" s="46" t="s">
        <v>739</v>
      </c>
      <c r="B174" s="46">
        <v>5</v>
      </c>
      <c r="C174" s="46" t="s">
        <v>740</v>
      </c>
      <c r="D174" s="46" t="s">
        <v>14</v>
      </c>
      <c r="E174" s="46" t="s">
        <v>711</v>
      </c>
      <c r="F174" s="46" t="s">
        <v>90</v>
      </c>
      <c r="G174" s="46" t="s">
        <v>735</v>
      </c>
      <c r="H174" s="47">
        <v>3</v>
      </c>
      <c r="I174" s="47">
        <v>4</v>
      </c>
      <c r="J174" s="47">
        <v>8</v>
      </c>
      <c r="K174" s="48">
        <f>(H174+4*I174+J174)/6</f>
        <v>4.5</v>
      </c>
      <c r="L174" s="48">
        <f>(J174-H174)/6</f>
        <v>0.83333333333333337</v>
      </c>
      <c r="M174" s="48">
        <f>L174^2</f>
        <v>0.69444444444444453</v>
      </c>
      <c r="N174" s="47" t="s">
        <v>741</v>
      </c>
      <c r="O174" s="46" t="s">
        <v>742</v>
      </c>
      <c r="P174" s="49">
        <v>28543587</v>
      </c>
      <c r="Q174" s="50" t="s">
        <v>743</v>
      </c>
    </row>
    <row r="175" spans="1:17" ht="15.75" customHeight="1" x14ac:dyDescent="0.25">
      <c r="A175" s="46" t="s">
        <v>744</v>
      </c>
      <c r="B175" s="46">
        <v>5</v>
      </c>
      <c r="C175" s="46" t="s">
        <v>745</v>
      </c>
      <c r="D175" s="46" t="s">
        <v>14</v>
      </c>
      <c r="E175" s="46" t="s">
        <v>711</v>
      </c>
      <c r="F175" s="46" t="s">
        <v>90</v>
      </c>
      <c r="G175" s="46" t="s">
        <v>735</v>
      </c>
      <c r="H175" s="47">
        <v>3</v>
      </c>
      <c r="I175" s="47">
        <v>6</v>
      </c>
      <c r="J175" s="47">
        <v>9</v>
      </c>
      <c r="K175" s="48">
        <f>(H175+4*I175+J175)/6</f>
        <v>6</v>
      </c>
      <c r="L175" s="48">
        <f>(J175-H175)/6</f>
        <v>1</v>
      </c>
      <c r="M175" s="48">
        <f>L175^2</f>
        <v>1</v>
      </c>
      <c r="N175" s="47" t="s">
        <v>746</v>
      </c>
      <c r="O175" s="46" t="s">
        <v>747</v>
      </c>
      <c r="P175" s="49">
        <v>38058116</v>
      </c>
      <c r="Q175" s="50" t="s">
        <v>748</v>
      </c>
    </row>
    <row r="176" spans="1:17" ht="15.75" customHeight="1" x14ac:dyDescent="0.25">
      <c r="A176" s="46" t="s">
        <v>749</v>
      </c>
      <c r="B176" s="46">
        <v>5</v>
      </c>
      <c r="C176" s="46" t="s">
        <v>750</v>
      </c>
      <c r="D176" s="46" t="s">
        <v>14</v>
      </c>
      <c r="E176" s="46" t="s">
        <v>711</v>
      </c>
      <c r="F176" s="46" t="s">
        <v>90</v>
      </c>
      <c r="G176" s="46" t="s">
        <v>735</v>
      </c>
      <c r="H176" s="47">
        <v>3</v>
      </c>
      <c r="I176" s="47">
        <v>6</v>
      </c>
      <c r="J176" s="47">
        <v>9</v>
      </c>
      <c r="K176" s="48">
        <f>(H176+4*I176+J176)/6</f>
        <v>6</v>
      </c>
      <c r="L176" s="48">
        <f>(J176-H176)/6</f>
        <v>1</v>
      </c>
      <c r="M176" s="48">
        <f>L176^2</f>
        <v>1</v>
      </c>
      <c r="N176" s="47" t="s">
        <v>746</v>
      </c>
      <c r="O176" s="46" t="s">
        <v>751</v>
      </c>
      <c r="P176" s="49">
        <v>38058116</v>
      </c>
      <c r="Q176" s="50" t="s">
        <v>748</v>
      </c>
    </row>
    <row r="177" spans="1:17" ht="15.75" customHeight="1" x14ac:dyDescent="0.25">
      <c r="A177" s="46" t="s">
        <v>752</v>
      </c>
      <c r="B177" s="46">
        <v>5</v>
      </c>
      <c r="C177" s="46" t="s">
        <v>753</v>
      </c>
      <c r="D177" s="46" t="s">
        <v>14</v>
      </c>
      <c r="E177" s="46" t="s">
        <v>711</v>
      </c>
      <c r="F177" s="46" t="s">
        <v>94</v>
      </c>
      <c r="G177" s="46" t="s">
        <v>735</v>
      </c>
      <c r="H177" s="47">
        <v>3</v>
      </c>
      <c r="I177" s="47">
        <v>4</v>
      </c>
      <c r="J177" s="47">
        <v>8</v>
      </c>
      <c r="K177" s="48">
        <f>(H177+4*I177+J177)/6</f>
        <v>4.5</v>
      </c>
      <c r="L177" s="48">
        <f>(J177-H177)/6</f>
        <v>0.83333333333333337</v>
      </c>
      <c r="M177" s="48">
        <f>L177^2</f>
        <v>0.69444444444444453</v>
      </c>
      <c r="N177" s="47" t="s">
        <v>754</v>
      </c>
      <c r="O177" s="46" t="s">
        <v>755</v>
      </c>
      <c r="P177" s="49">
        <v>28543587</v>
      </c>
      <c r="Q177" s="50" t="s">
        <v>756</v>
      </c>
    </row>
    <row r="178" spans="1:17" ht="15.75" customHeight="1" x14ac:dyDescent="0.25">
      <c r="A178" s="46" t="s">
        <v>757</v>
      </c>
      <c r="B178" s="46">
        <v>3</v>
      </c>
      <c r="C178" s="46" t="s">
        <v>758</v>
      </c>
      <c r="D178" s="46" t="s">
        <v>14</v>
      </c>
      <c r="E178" s="46"/>
      <c r="F178" s="46"/>
      <c r="G178" s="46"/>
      <c r="H178" s="55"/>
      <c r="I178" s="55"/>
      <c r="J178" s="55"/>
      <c r="K178" s="55"/>
      <c r="L178" s="55"/>
      <c r="M178" s="55"/>
      <c r="N178" s="47" t="s">
        <v>759</v>
      </c>
      <c r="O178" s="46" t="s">
        <v>216</v>
      </c>
      <c r="Q178" s="50" t="s">
        <v>760</v>
      </c>
    </row>
    <row r="179" spans="1:17" x14ac:dyDescent="0.25">
      <c r="A179" s="42" t="s">
        <v>761</v>
      </c>
      <c r="B179" s="42">
        <v>2</v>
      </c>
      <c r="C179" s="43" t="s">
        <v>762</v>
      </c>
      <c r="D179" s="42" t="s">
        <v>15</v>
      </c>
      <c r="E179" s="42"/>
      <c r="F179" s="42"/>
      <c r="G179" s="42"/>
      <c r="H179" s="44"/>
      <c r="I179" s="44"/>
      <c r="J179" s="44"/>
      <c r="K179" s="44"/>
      <c r="L179" s="44"/>
      <c r="M179" s="44"/>
      <c r="N179" s="44"/>
      <c r="O179" s="44"/>
      <c r="P179" s="45"/>
      <c r="Q179" s="45"/>
    </row>
    <row r="180" spans="1:17" x14ac:dyDescent="0.25">
      <c r="A180" s="51" t="s">
        <v>763</v>
      </c>
      <c r="B180" s="51">
        <v>3</v>
      </c>
      <c r="C180" s="52" t="s">
        <v>764</v>
      </c>
      <c r="D180" s="51" t="s">
        <v>15</v>
      </c>
      <c r="E180" s="51"/>
      <c r="F180" s="51"/>
      <c r="G180" s="51"/>
      <c r="H180" s="53"/>
      <c r="I180" s="53"/>
      <c r="J180" s="53"/>
      <c r="K180" s="53"/>
      <c r="L180" s="53"/>
      <c r="M180" s="53"/>
      <c r="N180" s="53"/>
      <c r="O180" s="53"/>
      <c r="P180" s="54"/>
      <c r="Q180" s="54"/>
    </row>
    <row r="181" spans="1:17" x14ac:dyDescent="0.25">
      <c r="A181" s="51" t="s">
        <v>765</v>
      </c>
      <c r="B181" s="51">
        <v>4</v>
      </c>
      <c r="C181" s="52" t="s">
        <v>766</v>
      </c>
      <c r="D181" s="51" t="s">
        <v>15</v>
      </c>
      <c r="E181" s="51"/>
      <c r="F181" s="51"/>
      <c r="G181" s="51" t="s">
        <v>767</v>
      </c>
      <c r="H181" s="53"/>
      <c r="I181" s="53"/>
      <c r="J181" s="53"/>
      <c r="K181" s="53"/>
      <c r="L181" s="53"/>
      <c r="M181" s="53"/>
      <c r="N181" s="53"/>
      <c r="O181" s="53"/>
      <c r="P181" s="54"/>
      <c r="Q181" s="54"/>
    </row>
    <row r="182" spans="1:17" ht="17.25" customHeight="1" x14ac:dyDescent="0.25">
      <c r="A182" s="46" t="s">
        <v>768</v>
      </c>
      <c r="B182" s="46">
        <v>5</v>
      </c>
      <c r="C182" s="46" t="s">
        <v>769</v>
      </c>
      <c r="D182" s="46" t="s">
        <v>15</v>
      </c>
      <c r="E182" s="46" t="s">
        <v>54</v>
      </c>
      <c r="F182" s="46" t="s">
        <v>90</v>
      </c>
      <c r="G182" s="46" t="s">
        <v>767</v>
      </c>
      <c r="H182" s="47">
        <v>6</v>
      </c>
      <c r="I182" s="47">
        <v>10</v>
      </c>
      <c r="J182" s="47">
        <v>16</v>
      </c>
      <c r="K182" s="48">
        <f>(H182+4*I182+J182)/6</f>
        <v>10.333333333333334</v>
      </c>
      <c r="L182" s="48">
        <f>(J182-H182)/6</f>
        <v>1.6666666666666667</v>
      </c>
      <c r="M182" s="48">
        <f>L182^2</f>
        <v>2.7777777777777781</v>
      </c>
      <c r="N182" s="47" t="s">
        <v>770</v>
      </c>
      <c r="O182" s="46" t="s">
        <v>771</v>
      </c>
      <c r="P182" s="49">
        <v>26344787</v>
      </c>
      <c r="Q182" s="50" t="s">
        <v>772</v>
      </c>
    </row>
    <row r="183" spans="1:17" ht="17.25" customHeight="1" x14ac:dyDescent="0.25">
      <c r="A183" s="46" t="s">
        <v>773</v>
      </c>
      <c r="B183" s="46">
        <v>5</v>
      </c>
      <c r="C183" s="46" t="s">
        <v>774</v>
      </c>
      <c r="D183" s="46" t="s">
        <v>15</v>
      </c>
      <c r="E183" s="46" t="s">
        <v>54</v>
      </c>
      <c r="F183" s="46" t="s">
        <v>90</v>
      </c>
      <c r="G183" s="46" t="s">
        <v>767</v>
      </c>
      <c r="H183" s="47">
        <v>6</v>
      </c>
      <c r="I183" s="47">
        <v>10</v>
      </c>
      <c r="J183" s="47">
        <v>15</v>
      </c>
      <c r="K183" s="48">
        <f>(H183+4*I183+J183)/6</f>
        <v>10.166666666666666</v>
      </c>
      <c r="L183" s="48">
        <f>(J183-H183)/6</f>
        <v>1.5</v>
      </c>
      <c r="M183" s="48">
        <f>L183^2</f>
        <v>2.25</v>
      </c>
      <c r="N183" s="47" t="s">
        <v>775</v>
      </c>
      <c r="O183" s="46" t="s">
        <v>776</v>
      </c>
      <c r="P183" s="49">
        <v>21953989</v>
      </c>
      <c r="Q183" s="50" t="s">
        <v>777</v>
      </c>
    </row>
    <row r="184" spans="1:17" ht="17.25" customHeight="1" x14ac:dyDescent="0.25">
      <c r="A184" s="46" t="s">
        <v>778</v>
      </c>
      <c r="B184" s="46">
        <v>5</v>
      </c>
      <c r="C184" s="46" t="s">
        <v>779</v>
      </c>
      <c r="D184" s="46" t="s">
        <v>15</v>
      </c>
      <c r="E184" s="46" t="s">
        <v>54</v>
      </c>
      <c r="F184" s="46" t="s">
        <v>94</v>
      </c>
      <c r="G184" s="46" t="s">
        <v>767</v>
      </c>
      <c r="H184" s="47">
        <v>5</v>
      </c>
      <c r="I184" s="47">
        <v>8</v>
      </c>
      <c r="J184" s="47">
        <v>13</v>
      </c>
      <c r="K184" s="48">
        <f>(H184+4*I184+J184)/6</f>
        <v>8.3333333333333339</v>
      </c>
      <c r="L184" s="48">
        <f>(J184-H184)/6</f>
        <v>1.3333333333333333</v>
      </c>
      <c r="M184" s="48">
        <f>L184^2</f>
        <v>1.7777777777777777</v>
      </c>
      <c r="N184" s="47" t="s">
        <v>780</v>
      </c>
      <c r="O184" s="46" t="s">
        <v>781</v>
      </c>
      <c r="P184" s="49">
        <v>17563191</v>
      </c>
      <c r="Q184" s="50" t="s">
        <v>782</v>
      </c>
    </row>
    <row r="185" spans="1:17" ht="17.25" customHeight="1" x14ac:dyDescent="0.25">
      <c r="A185" s="46" t="s">
        <v>783</v>
      </c>
      <c r="B185" s="46">
        <v>5</v>
      </c>
      <c r="C185" s="46" t="s">
        <v>784</v>
      </c>
      <c r="D185" s="46" t="s">
        <v>15</v>
      </c>
      <c r="E185" s="46" t="s">
        <v>54</v>
      </c>
      <c r="F185" s="46" t="s">
        <v>90</v>
      </c>
      <c r="G185" s="46" t="s">
        <v>767</v>
      </c>
      <c r="H185" s="47">
        <v>4</v>
      </c>
      <c r="I185" s="47">
        <v>6</v>
      </c>
      <c r="J185" s="47">
        <v>10</v>
      </c>
      <c r="K185" s="48">
        <f>(H185+4*I185+J185)/6</f>
        <v>6.333333333333333</v>
      </c>
      <c r="L185" s="48">
        <f>(J185-H185)/6</f>
        <v>1</v>
      </c>
      <c r="M185" s="48">
        <f>L185^2</f>
        <v>1</v>
      </c>
      <c r="N185" s="47" t="s">
        <v>780</v>
      </c>
      <c r="O185" s="46" t="s">
        <v>785</v>
      </c>
      <c r="P185" s="49">
        <v>17563191</v>
      </c>
      <c r="Q185" s="50" t="s">
        <v>782</v>
      </c>
    </row>
    <row r="186" spans="1:17" ht="17.25" customHeight="1" x14ac:dyDescent="0.25">
      <c r="A186" s="46" t="s">
        <v>786</v>
      </c>
      <c r="B186" s="46">
        <v>5</v>
      </c>
      <c r="C186" s="46" t="s">
        <v>787</v>
      </c>
      <c r="D186" s="46" t="s">
        <v>15</v>
      </c>
      <c r="E186" s="46" t="s">
        <v>54</v>
      </c>
      <c r="F186" s="46" t="s">
        <v>90</v>
      </c>
      <c r="G186" s="46" t="s">
        <v>767</v>
      </c>
      <c r="H186" s="47">
        <v>5</v>
      </c>
      <c r="I186" s="47">
        <v>8</v>
      </c>
      <c r="J186" s="47">
        <v>13</v>
      </c>
      <c r="K186" s="48">
        <f>(H186+4*I186+J186)/6</f>
        <v>8.3333333333333339</v>
      </c>
      <c r="L186" s="48">
        <f>(J186-H186)/6</f>
        <v>1.3333333333333333</v>
      </c>
      <c r="M186" s="48">
        <f>L186^2</f>
        <v>1.7777777777777777</v>
      </c>
      <c r="N186" s="47" t="s">
        <v>780</v>
      </c>
      <c r="O186" s="46" t="s">
        <v>788</v>
      </c>
      <c r="P186" s="49">
        <v>21953989</v>
      </c>
      <c r="Q186" s="50" t="s">
        <v>782</v>
      </c>
    </row>
    <row r="187" spans="1:17" x14ac:dyDescent="0.25">
      <c r="A187" s="51" t="s">
        <v>789</v>
      </c>
      <c r="B187" s="51">
        <v>4</v>
      </c>
      <c r="C187" s="52" t="s">
        <v>790</v>
      </c>
      <c r="D187" s="51" t="s">
        <v>15</v>
      </c>
      <c r="E187" s="51"/>
      <c r="F187" s="51"/>
      <c r="G187" s="51" t="s">
        <v>767</v>
      </c>
      <c r="H187" s="53"/>
      <c r="I187" s="53"/>
      <c r="J187" s="53"/>
      <c r="K187" s="53"/>
      <c r="L187" s="53"/>
      <c r="M187" s="53"/>
      <c r="N187" s="53"/>
      <c r="O187" s="53"/>
      <c r="P187" s="54"/>
      <c r="Q187" s="54"/>
    </row>
    <row r="188" spans="1:17" ht="25.5" x14ac:dyDescent="0.25">
      <c r="A188" s="46" t="s">
        <v>791</v>
      </c>
      <c r="B188" s="46">
        <v>5</v>
      </c>
      <c r="C188" s="46" t="s">
        <v>792</v>
      </c>
      <c r="D188" s="46" t="s">
        <v>15</v>
      </c>
      <c r="E188" s="46" t="s">
        <v>54</v>
      </c>
      <c r="F188" s="46" t="s">
        <v>55</v>
      </c>
      <c r="G188" s="46" t="s">
        <v>767</v>
      </c>
      <c r="H188" s="47">
        <v>8</v>
      </c>
      <c r="I188" s="47">
        <v>13</v>
      </c>
      <c r="J188" s="47">
        <v>23</v>
      </c>
      <c r="K188" s="48">
        <f>(H188+4*I188+J188)/6</f>
        <v>13.833333333333334</v>
      </c>
      <c r="L188" s="48">
        <f>(J188-H188)/6</f>
        <v>2.5</v>
      </c>
      <c r="M188" s="48">
        <f>L188^2</f>
        <v>6.25</v>
      </c>
      <c r="N188" s="47" t="s">
        <v>770</v>
      </c>
      <c r="O188" s="46" t="s">
        <v>793</v>
      </c>
      <c r="P188" s="49">
        <v>39517180</v>
      </c>
      <c r="Q188" s="50" t="s">
        <v>772</v>
      </c>
    </row>
    <row r="189" spans="1:17" x14ac:dyDescent="0.25">
      <c r="A189" s="46" t="s">
        <v>794</v>
      </c>
      <c r="B189" s="46">
        <v>5</v>
      </c>
      <c r="C189" s="46" t="s">
        <v>795</v>
      </c>
      <c r="D189" s="46" t="s">
        <v>15</v>
      </c>
      <c r="E189" s="46"/>
      <c r="F189" s="46"/>
      <c r="G189" s="46" t="s">
        <v>767</v>
      </c>
      <c r="H189" s="55"/>
      <c r="I189" s="55"/>
      <c r="J189" s="55"/>
      <c r="K189" s="55"/>
      <c r="L189" s="55"/>
      <c r="M189" s="55"/>
      <c r="N189" s="47" t="s">
        <v>796</v>
      </c>
      <c r="O189" s="46" t="s">
        <v>216</v>
      </c>
      <c r="Q189" s="50" t="s">
        <v>797</v>
      </c>
    </row>
    <row r="190" spans="1:17" ht="19.5" customHeight="1" x14ac:dyDescent="0.25">
      <c r="A190" s="46" t="s">
        <v>798</v>
      </c>
      <c r="B190" s="46">
        <v>5</v>
      </c>
      <c r="C190" s="46" t="s">
        <v>799</v>
      </c>
      <c r="D190" s="46" t="s">
        <v>15</v>
      </c>
      <c r="E190" s="46" t="s">
        <v>54</v>
      </c>
      <c r="F190" s="46" t="s">
        <v>94</v>
      </c>
      <c r="G190" s="46" t="s">
        <v>767</v>
      </c>
      <c r="H190" s="47">
        <v>6</v>
      </c>
      <c r="I190" s="47">
        <v>10</v>
      </c>
      <c r="J190" s="47">
        <v>16</v>
      </c>
      <c r="K190" s="48">
        <f>(H190+4*I190+J190)/6</f>
        <v>10.333333333333334</v>
      </c>
      <c r="L190" s="48">
        <f>(J190-H190)/6</f>
        <v>1.6666666666666667</v>
      </c>
      <c r="M190" s="48">
        <f>L190^2</f>
        <v>2.7777777777777781</v>
      </c>
      <c r="N190" s="47" t="s">
        <v>770</v>
      </c>
      <c r="O190" s="46" t="s">
        <v>800</v>
      </c>
      <c r="P190" s="49">
        <v>30735585</v>
      </c>
      <c r="Q190" s="50" t="s">
        <v>772</v>
      </c>
    </row>
    <row r="191" spans="1:17" ht="19.5" customHeight="1" x14ac:dyDescent="0.25">
      <c r="A191" s="46" t="s">
        <v>801</v>
      </c>
      <c r="B191" s="46">
        <v>5</v>
      </c>
      <c r="C191" s="46" t="s">
        <v>802</v>
      </c>
      <c r="D191" s="46" t="s">
        <v>15</v>
      </c>
      <c r="E191" s="46" t="s">
        <v>54</v>
      </c>
      <c r="F191" s="46" t="s">
        <v>90</v>
      </c>
      <c r="G191" s="46" t="s">
        <v>767</v>
      </c>
      <c r="H191" s="47">
        <v>8</v>
      </c>
      <c r="I191" s="47">
        <v>11</v>
      </c>
      <c r="J191" s="47">
        <v>20</v>
      </c>
      <c r="K191" s="48">
        <f>(H191+4*I191+J191)/6</f>
        <v>12</v>
      </c>
      <c r="L191" s="48">
        <f>(J191-H191)/6</f>
        <v>2</v>
      </c>
      <c r="M191" s="48">
        <f>L191^2</f>
        <v>4</v>
      </c>
      <c r="N191" s="47" t="s">
        <v>803</v>
      </c>
      <c r="O191" s="46" t="s">
        <v>804</v>
      </c>
      <c r="P191" s="49">
        <v>35126382</v>
      </c>
      <c r="Q191" s="50" t="s">
        <v>805</v>
      </c>
    </row>
    <row r="192" spans="1:17" ht="19.5" customHeight="1" x14ac:dyDescent="0.25">
      <c r="A192" s="46" t="s">
        <v>806</v>
      </c>
      <c r="B192" s="46">
        <v>5</v>
      </c>
      <c r="C192" s="46" t="s">
        <v>807</v>
      </c>
      <c r="D192" s="46" t="s">
        <v>15</v>
      </c>
      <c r="E192" s="46" t="s">
        <v>54</v>
      </c>
      <c r="F192" s="46" t="s">
        <v>55</v>
      </c>
      <c r="G192" s="46" t="s">
        <v>767</v>
      </c>
      <c r="H192" s="47">
        <v>3</v>
      </c>
      <c r="I192" s="47">
        <v>4</v>
      </c>
      <c r="J192" s="47">
        <v>8</v>
      </c>
      <c r="K192" s="48">
        <f>(H192+4*I192+J192)/6</f>
        <v>4.5</v>
      </c>
      <c r="L192" s="48">
        <f>(J192-H192)/6</f>
        <v>0.83333333333333337</v>
      </c>
      <c r="M192" s="48">
        <f>L192^2</f>
        <v>0.69444444444444453</v>
      </c>
      <c r="N192" s="47" t="s">
        <v>808</v>
      </c>
      <c r="O192" s="46" t="s">
        <v>809</v>
      </c>
      <c r="P192" s="49">
        <v>13172393</v>
      </c>
      <c r="Q192" s="50" t="s">
        <v>810</v>
      </c>
    </row>
    <row r="193" spans="1:17" ht="19.5" customHeight="1" x14ac:dyDescent="0.25">
      <c r="A193" s="46" t="s">
        <v>811</v>
      </c>
      <c r="B193" s="46">
        <v>5</v>
      </c>
      <c r="C193" s="46" t="s">
        <v>812</v>
      </c>
      <c r="D193" s="46" t="s">
        <v>15</v>
      </c>
      <c r="E193" s="46"/>
      <c r="F193" s="46"/>
      <c r="G193" s="46" t="s">
        <v>767</v>
      </c>
      <c r="H193" s="55"/>
      <c r="I193" s="55"/>
      <c r="J193" s="55"/>
      <c r="K193" s="55"/>
      <c r="L193" s="55"/>
      <c r="M193" s="55"/>
      <c r="N193" s="47" t="s">
        <v>813</v>
      </c>
      <c r="O193" s="46" t="s">
        <v>216</v>
      </c>
      <c r="Q193" s="50" t="s">
        <v>814</v>
      </c>
    </row>
    <row r="194" spans="1:17" ht="19.5" customHeight="1" x14ac:dyDescent="0.25">
      <c r="A194" s="46" t="s">
        <v>815</v>
      </c>
      <c r="B194" s="46">
        <v>5</v>
      </c>
      <c r="C194" s="46" t="s">
        <v>816</v>
      </c>
      <c r="D194" s="46" t="s">
        <v>15</v>
      </c>
      <c r="E194" s="46" t="s">
        <v>54</v>
      </c>
      <c r="F194" s="46" t="s">
        <v>94</v>
      </c>
      <c r="G194" s="46" t="s">
        <v>767</v>
      </c>
      <c r="H194" s="47">
        <v>5</v>
      </c>
      <c r="I194" s="47">
        <v>8</v>
      </c>
      <c r="J194" s="47">
        <v>13</v>
      </c>
      <c r="K194" s="48">
        <f>(H194+4*I194+J194)/6</f>
        <v>8.3333333333333339</v>
      </c>
      <c r="L194" s="48">
        <f>(J194-H194)/6</f>
        <v>1.3333333333333333</v>
      </c>
      <c r="M194" s="48">
        <f>L194^2</f>
        <v>1.7777777777777777</v>
      </c>
      <c r="N194" s="47" t="s">
        <v>817</v>
      </c>
      <c r="O194" s="46" t="s">
        <v>818</v>
      </c>
      <c r="P194" s="49">
        <v>21953989</v>
      </c>
      <c r="Q194" s="50" t="s">
        <v>819</v>
      </c>
    </row>
    <row r="195" spans="1:17" ht="19.5" customHeight="1" x14ac:dyDescent="0.25">
      <c r="A195" s="46" t="s">
        <v>820</v>
      </c>
      <c r="B195" s="46">
        <v>5</v>
      </c>
      <c r="C195" s="46" t="s">
        <v>821</v>
      </c>
      <c r="D195" s="46" t="s">
        <v>15</v>
      </c>
      <c r="E195" s="46" t="s">
        <v>54</v>
      </c>
      <c r="F195" s="46" t="s">
        <v>94</v>
      </c>
      <c r="G195" s="46" t="s">
        <v>767</v>
      </c>
      <c r="H195" s="47">
        <v>5</v>
      </c>
      <c r="I195" s="47">
        <v>8</v>
      </c>
      <c r="J195" s="47">
        <v>13</v>
      </c>
      <c r="K195" s="48">
        <f>(H195+4*I195+J195)/6</f>
        <v>8.3333333333333339</v>
      </c>
      <c r="L195" s="48">
        <f>(J195-H195)/6</f>
        <v>1.3333333333333333</v>
      </c>
      <c r="M195" s="48">
        <f>L195^2</f>
        <v>1.7777777777777777</v>
      </c>
      <c r="N195" s="47" t="s">
        <v>822</v>
      </c>
      <c r="O195" s="46" t="s">
        <v>823</v>
      </c>
      <c r="P195" s="49">
        <v>21953989</v>
      </c>
      <c r="Q195" s="50" t="s">
        <v>824</v>
      </c>
    </row>
    <row r="196" spans="1:17" x14ac:dyDescent="0.25">
      <c r="A196" s="51" t="s">
        <v>825</v>
      </c>
      <c r="B196" s="51">
        <v>4</v>
      </c>
      <c r="C196" s="52" t="s">
        <v>826</v>
      </c>
      <c r="D196" s="51" t="s">
        <v>15</v>
      </c>
      <c r="E196" s="51"/>
      <c r="F196" s="51"/>
      <c r="G196" s="51" t="s">
        <v>827</v>
      </c>
      <c r="H196" s="53"/>
      <c r="I196" s="53"/>
      <c r="J196" s="53"/>
      <c r="K196" s="53"/>
      <c r="L196" s="53"/>
      <c r="M196" s="53"/>
      <c r="N196" s="53"/>
      <c r="O196" s="53"/>
      <c r="P196" s="54"/>
      <c r="Q196" s="54"/>
    </row>
    <row r="197" spans="1:17" ht="20.25" customHeight="1" x14ac:dyDescent="0.25">
      <c r="A197" s="46" t="s">
        <v>828</v>
      </c>
      <c r="B197" s="46">
        <v>5</v>
      </c>
      <c r="C197" s="46" t="s">
        <v>829</v>
      </c>
      <c r="D197" s="46" t="s">
        <v>15</v>
      </c>
      <c r="E197" s="46" t="s">
        <v>54</v>
      </c>
      <c r="F197" s="46" t="s">
        <v>90</v>
      </c>
      <c r="G197" s="46" t="s">
        <v>827</v>
      </c>
      <c r="H197" s="47">
        <v>5</v>
      </c>
      <c r="I197" s="47">
        <v>8</v>
      </c>
      <c r="J197" s="47">
        <v>13</v>
      </c>
      <c r="K197" s="48">
        <f>(H197+4*I197+J197)/6</f>
        <v>8.3333333333333339</v>
      </c>
      <c r="L197" s="48">
        <f>(J197-H197)/6</f>
        <v>1.3333333333333333</v>
      </c>
      <c r="M197" s="48">
        <f>L197^2</f>
        <v>1.7777777777777777</v>
      </c>
      <c r="N197" s="47" t="s">
        <v>780</v>
      </c>
      <c r="O197" s="46" t="s">
        <v>830</v>
      </c>
      <c r="P197" s="49">
        <v>21953989</v>
      </c>
      <c r="Q197" s="50" t="s">
        <v>782</v>
      </c>
    </row>
    <row r="198" spans="1:17" ht="20.25" customHeight="1" x14ac:dyDescent="0.25">
      <c r="A198" s="46" t="s">
        <v>831</v>
      </c>
      <c r="B198" s="46">
        <v>5</v>
      </c>
      <c r="C198" s="46" t="s">
        <v>832</v>
      </c>
      <c r="D198" s="46" t="s">
        <v>15</v>
      </c>
      <c r="E198" s="46" t="s">
        <v>54</v>
      </c>
      <c r="F198" s="46" t="s">
        <v>55</v>
      </c>
      <c r="G198" s="46" t="s">
        <v>827</v>
      </c>
      <c r="H198" s="47">
        <v>6</v>
      </c>
      <c r="I198" s="47">
        <v>10</v>
      </c>
      <c r="J198" s="47">
        <v>16</v>
      </c>
      <c r="K198" s="48">
        <f>(H198+4*I198+J198)/6</f>
        <v>10.333333333333334</v>
      </c>
      <c r="L198" s="48">
        <f>(J198-H198)/6</f>
        <v>1.6666666666666667</v>
      </c>
      <c r="M198" s="48">
        <f>L198^2</f>
        <v>2.7777777777777781</v>
      </c>
      <c r="N198" s="47" t="s">
        <v>833</v>
      </c>
      <c r="O198" s="46" t="s">
        <v>834</v>
      </c>
      <c r="P198" s="49">
        <v>30735585</v>
      </c>
      <c r="Q198" s="50" t="s">
        <v>835</v>
      </c>
    </row>
    <row r="199" spans="1:17" ht="20.25" customHeight="1" x14ac:dyDescent="0.25">
      <c r="A199" s="46" t="s">
        <v>836</v>
      </c>
      <c r="B199" s="46">
        <v>5</v>
      </c>
      <c r="C199" s="46" t="s">
        <v>837</v>
      </c>
      <c r="D199" s="46" t="s">
        <v>15</v>
      </c>
      <c r="E199" s="46" t="s">
        <v>54</v>
      </c>
      <c r="F199" s="46" t="s">
        <v>55</v>
      </c>
      <c r="G199" s="46" t="s">
        <v>827</v>
      </c>
      <c r="H199" s="47">
        <v>3</v>
      </c>
      <c r="I199" s="47">
        <v>4</v>
      </c>
      <c r="J199" s="47">
        <v>8</v>
      </c>
      <c r="K199" s="48">
        <f>(H199+4*I199+J199)/6</f>
        <v>4.5</v>
      </c>
      <c r="L199" s="48">
        <f>(J199-H199)/6</f>
        <v>0.83333333333333337</v>
      </c>
      <c r="M199" s="48">
        <f>L199^2</f>
        <v>0.69444444444444453</v>
      </c>
      <c r="N199" s="47" t="s">
        <v>838</v>
      </c>
      <c r="O199" s="46" t="s">
        <v>839</v>
      </c>
      <c r="P199" s="49">
        <v>13172393</v>
      </c>
      <c r="Q199" s="50" t="s">
        <v>840</v>
      </c>
    </row>
    <row r="200" spans="1:17" ht="20.25" customHeight="1" x14ac:dyDescent="0.25">
      <c r="A200" s="46" t="s">
        <v>841</v>
      </c>
      <c r="B200" s="46">
        <v>5</v>
      </c>
      <c r="C200" s="46" t="s">
        <v>842</v>
      </c>
      <c r="D200" s="46" t="s">
        <v>15</v>
      </c>
      <c r="E200" s="46" t="s">
        <v>54</v>
      </c>
      <c r="F200" s="46" t="s">
        <v>90</v>
      </c>
      <c r="G200" s="46" t="s">
        <v>827</v>
      </c>
      <c r="H200" s="47">
        <v>3</v>
      </c>
      <c r="I200" s="47">
        <v>4</v>
      </c>
      <c r="J200" s="47">
        <v>8</v>
      </c>
      <c r="K200" s="48">
        <f>(H200+4*I200+J200)/6</f>
        <v>4.5</v>
      </c>
      <c r="L200" s="48">
        <f>(J200-H200)/6</f>
        <v>0.83333333333333337</v>
      </c>
      <c r="M200" s="48">
        <f>L200^2</f>
        <v>0.69444444444444453</v>
      </c>
      <c r="N200" s="47" t="s">
        <v>838</v>
      </c>
      <c r="O200" s="46" t="s">
        <v>843</v>
      </c>
      <c r="P200" s="49">
        <v>13172393</v>
      </c>
      <c r="Q200" s="50" t="s">
        <v>840</v>
      </c>
    </row>
    <row r="201" spans="1:17" x14ac:dyDescent="0.25">
      <c r="A201" s="51" t="s">
        <v>844</v>
      </c>
      <c r="B201" s="51">
        <v>4</v>
      </c>
      <c r="C201" s="52" t="s">
        <v>845</v>
      </c>
      <c r="D201" s="51" t="s">
        <v>15</v>
      </c>
      <c r="E201" s="51"/>
      <c r="F201" s="51"/>
      <c r="G201" s="51" t="s">
        <v>827</v>
      </c>
      <c r="H201" s="53"/>
      <c r="I201" s="53"/>
      <c r="J201" s="53"/>
      <c r="K201" s="53"/>
      <c r="L201" s="53"/>
      <c r="M201" s="53"/>
      <c r="N201" s="53"/>
      <c r="O201" s="53"/>
      <c r="P201" s="54"/>
      <c r="Q201" s="54"/>
    </row>
    <row r="202" spans="1:17" ht="18" customHeight="1" x14ac:dyDescent="0.25">
      <c r="A202" s="46" t="s">
        <v>846</v>
      </c>
      <c r="B202" s="46">
        <v>5</v>
      </c>
      <c r="C202" s="46" t="s">
        <v>847</v>
      </c>
      <c r="D202" s="46" t="s">
        <v>15</v>
      </c>
      <c r="E202" s="46" t="s">
        <v>54</v>
      </c>
      <c r="F202" s="46" t="s">
        <v>55</v>
      </c>
      <c r="G202" s="46" t="s">
        <v>827</v>
      </c>
      <c r="H202" s="47">
        <v>6</v>
      </c>
      <c r="I202" s="47">
        <v>11</v>
      </c>
      <c r="J202" s="47">
        <v>17</v>
      </c>
      <c r="K202" s="48">
        <f>(H202+4*I202+J202)/6</f>
        <v>11.166666666666666</v>
      </c>
      <c r="L202" s="48">
        <f>(J202-H202)/6</f>
        <v>1.8333333333333333</v>
      </c>
      <c r="M202" s="48">
        <f>L202^2</f>
        <v>3.3611111111111107</v>
      </c>
      <c r="N202" s="47" t="s">
        <v>813</v>
      </c>
      <c r="O202" s="46" t="s">
        <v>848</v>
      </c>
      <c r="P202" s="49">
        <v>30735585</v>
      </c>
      <c r="Q202" s="50" t="s">
        <v>814</v>
      </c>
    </row>
    <row r="203" spans="1:17" ht="18" customHeight="1" x14ac:dyDescent="0.25">
      <c r="A203" s="46" t="s">
        <v>849</v>
      </c>
      <c r="B203" s="46">
        <v>5</v>
      </c>
      <c r="C203" s="46" t="s">
        <v>850</v>
      </c>
      <c r="D203" s="46" t="s">
        <v>15</v>
      </c>
      <c r="E203" s="46" t="s">
        <v>54</v>
      </c>
      <c r="F203" s="46" t="s">
        <v>90</v>
      </c>
      <c r="G203" s="46" t="s">
        <v>827</v>
      </c>
      <c r="H203" s="47">
        <v>5</v>
      </c>
      <c r="I203" s="47">
        <v>8</v>
      </c>
      <c r="J203" s="47">
        <v>13</v>
      </c>
      <c r="K203" s="48">
        <f>(H203+4*I203+J203)/6</f>
        <v>8.3333333333333339</v>
      </c>
      <c r="L203" s="48">
        <f>(J203-H203)/6</f>
        <v>1.3333333333333333</v>
      </c>
      <c r="M203" s="48">
        <f>L203^2</f>
        <v>1.7777777777777777</v>
      </c>
      <c r="N203" s="47" t="s">
        <v>851</v>
      </c>
      <c r="O203" s="46" t="s">
        <v>852</v>
      </c>
      <c r="P203" s="49">
        <v>21953989</v>
      </c>
      <c r="Q203" s="50" t="s">
        <v>853</v>
      </c>
    </row>
    <row r="204" spans="1:17" ht="18" customHeight="1" x14ac:dyDescent="0.25">
      <c r="A204" s="46" t="s">
        <v>854</v>
      </c>
      <c r="B204" s="46">
        <v>5</v>
      </c>
      <c r="C204" s="46" t="s">
        <v>855</v>
      </c>
      <c r="D204" s="46" t="s">
        <v>15</v>
      </c>
      <c r="E204" s="46" t="s">
        <v>54</v>
      </c>
      <c r="F204" s="46" t="s">
        <v>55</v>
      </c>
      <c r="G204" s="46" t="s">
        <v>827</v>
      </c>
      <c r="H204" s="47">
        <v>4</v>
      </c>
      <c r="I204" s="47">
        <v>6</v>
      </c>
      <c r="J204" s="47">
        <v>10</v>
      </c>
      <c r="K204" s="48">
        <f>(H204+4*I204+J204)/6</f>
        <v>6.333333333333333</v>
      </c>
      <c r="L204" s="48">
        <f>(J204-H204)/6</f>
        <v>1</v>
      </c>
      <c r="M204" s="48">
        <f>L204^2</f>
        <v>1</v>
      </c>
      <c r="N204" s="47" t="s">
        <v>856</v>
      </c>
      <c r="O204" s="46" t="s">
        <v>857</v>
      </c>
      <c r="P204" s="49">
        <v>17563191</v>
      </c>
      <c r="Q204" s="50" t="s">
        <v>858</v>
      </c>
    </row>
    <row r="205" spans="1:17" ht="18" customHeight="1" x14ac:dyDescent="0.25">
      <c r="A205" s="46" t="s">
        <v>859</v>
      </c>
      <c r="B205" s="46">
        <v>5</v>
      </c>
      <c r="C205" s="46" t="s">
        <v>860</v>
      </c>
      <c r="D205" s="46" t="s">
        <v>15</v>
      </c>
      <c r="E205" s="46" t="s">
        <v>54</v>
      </c>
      <c r="F205" s="46" t="s">
        <v>90</v>
      </c>
      <c r="G205" s="46" t="s">
        <v>827</v>
      </c>
      <c r="H205" s="47">
        <v>4</v>
      </c>
      <c r="I205" s="47">
        <v>6</v>
      </c>
      <c r="J205" s="47">
        <v>10</v>
      </c>
      <c r="K205" s="48">
        <f>(H205+4*I205+J205)/6</f>
        <v>6.333333333333333</v>
      </c>
      <c r="L205" s="48">
        <f>(J205-H205)/6</f>
        <v>1</v>
      </c>
      <c r="M205" s="48">
        <f>L205^2</f>
        <v>1</v>
      </c>
      <c r="N205" s="47" t="s">
        <v>861</v>
      </c>
      <c r="O205" s="46" t="s">
        <v>862</v>
      </c>
      <c r="P205" s="49">
        <v>17563191</v>
      </c>
      <c r="Q205" s="50" t="s">
        <v>863</v>
      </c>
    </row>
    <row r="206" spans="1:17" ht="18" customHeight="1" x14ac:dyDescent="0.25">
      <c r="A206" s="46" t="s">
        <v>864</v>
      </c>
      <c r="B206" s="46">
        <v>5</v>
      </c>
      <c r="C206" s="46" t="s">
        <v>865</v>
      </c>
      <c r="D206" s="46" t="s">
        <v>15</v>
      </c>
      <c r="E206" s="46" t="s">
        <v>54</v>
      </c>
      <c r="F206" s="46" t="s">
        <v>55</v>
      </c>
      <c r="G206" s="46" t="s">
        <v>827</v>
      </c>
      <c r="H206" s="47">
        <v>5</v>
      </c>
      <c r="I206" s="47">
        <v>8</v>
      </c>
      <c r="J206" s="47">
        <v>13</v>
      </c>
      <c r="K206" s="48">
        <f>(H206+4*I206+J206)/6</f>
        <v>8.3333333333333339</v>
      </c>
      <c r="L206" s="48">
        <f>(J206-H206)/6</f>
        <v>1.3333333333333333</v>
      </c>
      <c r="M206" s="48">
        <f>L206^2</f>
        <v>1.7777777777777777</v>
      </c>
      <c r="N206" s="47" t="s">
        <v>861</v>
      </c>
      <c r="O206" s="46" t="s">
        <v>866</v>
      </c>
      <c r="P206" s="49">
        <v>21953989</v>
      </c>
      <c r="Q206" s="50" t="s">
        <v>863</v>
      </c>
    </row>
    <row r="207" spans="1:17" ht="18" customHeight="1" x14ac:dyDescent="0.25">
      <c r="A207" s="46" t="s">
        <v>867</v>
      </c>
      <c r="B207" s="46">
        <v>3</v>
      </c>
      <c r="C207" s="46" t="s">
        <v>868</v>
      </c>
      <c r="D207" s="46" t="s">
        <v>15</v>
      </c>
      <c r="E207" s="46"/>
      <c r="F207" s="46"/>
      <c r="G207" s="46"/>
      <c r="H207" s="55"/>
      <c r="I207" s="55"/>
      <c r="J207" s="55"/>
      <c r="K207" s="55"/>
      <c r="L207" s="55"/>
      <c r="M207" s="55"/>
      <c r="N207" s="47" t="s">
        <v>869</v>
      </c>
      <c r="O207" s="46" t="s">
        <v>216</v>
      </c>
      <c r="Q207" s="50" t="s">
        <v>870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167"/>
  <sheetViews>
    <sheetView zoomScaleNormal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/>
    </sheetView>
  </sheetViews>
  <sheetFormatPr baseColWidth="10" defaultColWidth="8.7109375" defaultRowHeight="15" x14ac:dyDescent="0.25"/>
  <cols>
    <col min="1" max="1" width="11" customWidth="1"/>
    <col min="2" max="2" width="52" customWidth="1"/>
    <col min="3" max="3" width="13" customWidth="1"/>
    <col min="4" max="4" width="6" customWidth="1"/>
    <col min="5" max="5" width="17" customWidth="1"/>
    <col min="6" max="6" width="5" customWidth="1"/>
    <col min="7" max="7" width="30" customWidth="1"/>
    <col min="8" max="11" width="5" customWidth="1"/>
    <col min="12" max="12" width="6" customWidth="1"/>
    <col min="13" max="13" width="7" customWidth="1"/>
    <col min="14" max="16" width="11" customWidth="1"/>
    <col min="17" max="17" width="13" customWidth="1"/>
  </cols>
  <sheetData>
    <row r="1" spans="1:20" ht="16.5" x14ac:dyDescent="0.25">
      <c r="A1" s="1" t="s">
        <v>871</v>
      </c>
      <c r="S1" s="8" t="s">
        <v>872</v>
      </c>
      <c r="T1" s="7">
        <f>MAX(I5:I167)</f>
        <v>630</v>
      </c>
    </row>
    <row r="2" spans="1:20" x14ac:dyDescent="0.25">
      <c r="A2" s="2" t="s">
        <v>873</v>
      </c>
    </row>
    <row r="4" spans="1:20" ht="25.5" x14ac:dyDescent="0.25">
      <c r="A4" s="6" t="s">
        <v>32</v>
      </c>
      <c r="B4" s="6" t="s">
        <v>874</v>
      </c>
      <c r="C4" s="6" t="s">
        <v>36</v>
      </c>
      <c r="D4" s="6" t="s">
        <v>37</v>
      </c>
      <c r="E4" s="6" t="s">
        <v>5</v>
      </c>
      <c r="F4" s="6" t="s">
        <v>875</v>
      </c>
      <c r="G4" s="6" t="s">
        <v>876</v>
      </c>
      <c r="H4" s="6" t="s">
        <v>877</v>
      </c>
      <c r="I4" s="6" t="s">
        <v>878</v>
      </c>
      <c r="J4" s="6" t="s">
        <v>879</v>
      </c>
      <c r="K4" s="6" t="s">
        <v>880</v>
      </c>
      <c r="L4" s="6" t="s">
        <v>881</v>
      </c>
      <c r="M4" s="6" t="s">
        <v>882</v>
      </c>
      <c r="N4" s="6" t="s">
        <v>883</v>
      </c>
      <c r="O4" s="6" t="s">
        <v>884</v>
      </c>
      <c r="P4" s="6" t="s">
        <v>885</v>
      </c>
      <c r="Q4" s="6" t="s">
        <v>46</v>
      </c>
    </row>
    <row r="5" spans="1:20" x14ac:dyDescent="0.25">
      <c r="A5" s="7" t="s">
        <v>52</v>
      </c>
      <c r="B5" s="7" t="s">
        <v>53</v>
      </c>
      <c r="C5" s="7" t="s">
        <v>55</v>
      </c>
      <c r="D5" s="7" t="s">
        <v>56</v>
      </c>
      <c r="E5" s="7" t="s">
        <v>12</v>
      </c>
      <c r="F5" s="14">
        <f>IFERROR(ROUND(VLOOKUP($A5,'1. Calculo PERT'!$A:$K,11,FALSE()),0),0)</f>
        <v>3</v>
      </c>
      <c r="G5" s="14" t="str">
        <f>IF(VLOOKUP($A5,'1. Calculo PERT'!$A:$N,14,FALSE())=0,"",VLOOKUP($A5,'1. Calculo PERT'!$A:$N,14,FALSE()))</f>
        <v/>
      </c>
      <c r="H5" s="7">
        <f>0</f>
        <v>0</v>
      </c>
      <c r="I5" s="7">
        <f t="shared" ref="I5:I36" si="0">H5+F5</f>
        <v>3</v>
      </c>
      <c r="J5" s="7">
        <f>MIN($J$11,$J$7,$J$10,$J$12,$J$9,$J$8,$J$6,$T$1)-$F5</f>
        <v>0</v>
      </c>
      <c r="K5" s="7">
        <f t="shared" ref="K5:K36" si="1">J5+F5</f>
        <v>3</v>
      </c>
      <c r="L5" s="7">
        <f t="shared" ref="L5:L36" si="2">J5-H5</f>
        <v>0</v>
      </c>
      <c r="M5" s="7" t="str">
        <f t="shared" ref="M5:M36" si="3">IF(L5=0,"SI","no")</f>
        <v>SI</v>
      </c>
      <c r="N5" s="3">
        <f>'0. Parametros'!$B$3+H5</f>
        <v>45670</v>
      </c>
      <c r="O5" s="3">
        <f>'0. Parametros'!$B$3+I5-1</f>
        <v>45672</v>
      </c>
      <c r="P5" s="15">
        <f>IFERROR(VLOOKUP($A5,'1. Calculo PERT'!$A:$M,13,FALSE()),0)</f>
        <v>0.1111111111111111</v>
      </c>
      <c r="Q5" s="16">
        <f>IFERROR(VLOOKUP($A5,'1. Calculo PERT'!$A:$P,16,FALSE()),0)</f>
        <v>8781596</v>
      </c>
    </row>
    <row r="6" spans="1:20" x14ac:dyDescent="0.25">
      <c r="A6" s="7" t="s">
        <v>214</v>
      </c>
      <c r="B6" s="7" t="s">
        <v>215</v>
      </c>
      <c r="C6" s="7"/>
      <c r="D6" s="7"/>
      <c r="E6" s="7" t="s">
        <v>12</v>
      </c>
      <c r="F6" s="14">
        <f>IFERROR(ROUND(VLOOKUP($A6,'1. Calculo PERT'!$A:$K,11,FALSE()),0),0)</f>
        <v>0</v>
      </c>
      <c r="G6" s="14" t="str">
        <f>IF(VLOOKUP($A6,'1. Calculo PERT'!$A:$N,14,FALSE())=0,"",VLOOKUP($A6,'1. Calculo PERT'!$A:$N,14,FALSE()))</f>
        <v>1.1.0FC</v>
      </c>
      <c r="H6" s="7">
        <f t="shared" ref="H6:H12" si="4">MAX(0,$I$5)</f>
        <v>3</v>
      </c>
      <c r="I6" s="7">
        <f t="shared" si="0"/>
        <v>3</v>
      </c>
      <c r="J6" s="7">
        <f>MIN($T$1)-$F6</f>
        <v>630</v>
      </c>
      <c r="K6" s="7">
        <f t="shared" si="1"/>
        <v>630</v>
      </c>
      <c r="L6" s="7">
        <f t="shared" si="2"/>
        <v>627</v>
      </c>
      <c r="M6" s="7" t="str">
        <f t="shared" si="3"/>
        <v>no</v>
      </c>
      <c r="N6" s="3">
        <f>'0. Parametros'!$B$3+I6-1</f>
        <v>45672</v>
      </c>
      <c r="O6" s="3">
        <f>'0. Parametros'!$B$3+I6-1</f>
        <v>45672</v>
      </c>
      <c r="P6" s="15">
        <f>IFERROR(VLOOKUP($A6,'1. Calculo PERT'!$A:$M,13,FALSE()),0)</f>
        <v>0</v>
      </c>
      <c r="Q6" s="16">
        <f>IFERROR(VLOOKUP($A6,'1. Calculo PERT'!$A:$P,16,FALSE()),0)</f>
        <v>0</v>
      </c>
    </row>
    <row r="7" spans="1:20" x14ac:dyDescent="0.25">
      <c r="A7" s="7" t="s">
        <v>110</v>
      </c>
      <c r="B7" s="7" t="s">
        <v>111</v>
      </c>
      <c r="C7" s="7" t="s">
        <v>55</v>
      </c>
      <c r="D7" s="7" t="s">
        <v>60</v>
      </c>
      <c r="E7" s="7" t="s">
        <v>12</v>
      </c>
      <c r="F7" s="14">
        <f>IFERROR(ROUND(VLOOKUP($A7,'1. Calculo PERT'!$A:$K,11,FALSE()),0),0)</f>
        <v>12</v>
      </c>
      <c r="G7" s="14" t="str">
        <f>IF(VLOOKUP($A7,'1. Calculo PERT'!$A:$N,14,FALSE())=0,"",VLOOKUP($A7,'1. Calculo PERT'!$A:$N,14,FALSE()))</f>
        <v>1.1.0FC</v>
      </c>
      <c r="H7" s="7">
        <f t="shared" si="4"/>
        <v>3</v>
      </c>
      <c r="I7" s="7">
        <f t="shared" si="0"/>
        <v>15</v>
      </c>
      <c r="J7" s="7">
        <f>MIN($J$14,$T$1)-$F7</f>
        <v>216</v>
      </c>
      <c r="K7" s="7">
        <f t="shared" si="1"/>
        <v>228</v>
      </c>
      <c r="L7" s="7">
        <f t="shared" si="2"/>
        <v>213</v>
      </c>
      <c r="M7" s="7" t="str">
        <f t="shared" si="3"/>
        <v>no</v>
      </c>
      <c r="N7" s="3">
        <f>'0. Parametros'!$B$3+H7</f>
        <v>45673</v>
      </c>
      <c r="O7" s="3">
        <f>'0. Parametros'!$B$3+I7-1</f>
        <v>45684</v>
      </c>
      <c r="P7" s="15">
        <f>IFERROR(VLOOKUP($A7,'1. Calculo PERT'!$A:$M,13,FALSE()),0)</f>
        <v>4.6944444444444438</v>
      </c>
      <c r="Q7" s="16">
        <f>IFERROR(VLOOKUP($A7,'1. Calculo PERT'!$A:$P,16,FALSE()),0)</f>
        <v>21953989</v>
      </c>
    </row>
    <row r="8" spans="1:20" x14ac:dyDescent="0.25">
      <c r="A8" s="7" t="s">
        <v>196</v>
      </c>
      <c r="B8" s="7" t="s">
        <v>197</v>
      </c>
      <c r="C8" s="7" t="s">
        <v>90</v>
      </c>
      <c r="D8" s="7" t="s">
        <v>60</v>
      </c>
      <c r="E8" s="7" t="s">
        <v>12</v>
      </c>
      <c r="F8" s="14">
        <f>IFERROR(ROUND(VLOOKUP($A8,'1. Calculo PERT'!$A:$K,11,FALSE()),0),0)</f>
        <v>12</v>
      </c>
      <c r="G8" s="14" t="str">
        <f>IF(VLOOKUP($A8,'1. Calculo PERT'!$A:$N,14,FALSE())=0,"",VLOOKUP($A8,'1. Calculo PERT'!$A:$N,14,FALSE()))</f>
        <v>1.1.0FC</v>
      </c>
      <c r="H8" s="7">
        <f t="shared" si="4"/>
        <v>3</v>
      </c>
      <c r="I8" s="7">
        <f t="shared" si="0"/>
        <v>15</v>
      </c>
      <c r="J8" s="7">
        <f>MIN($J$13,$T$1)-$F8</f>
        <v>62</v>
      </c>
      <c r="K8" s="7">
        <f t="shared" si="1"/>
        <v>74</v>
      </c>
      <c r="L8" s="7">
        <f t="shared" si="2"/>
        <v>59</v>
      </c>
      <c r="M8" s="7" t="str">
        <f t="shared" si="3"/>
        <v>no</v>
      </c>
      <c r="N8" s="3">
        <f>'0. Parametros'!$B$3+H8</f>
        <v>45673</v>
      </c>
      <c r="O8" s="3">
        <f>'0. Parametros'!$B$3+I8-1</f>
        <v>45684</v>
      </c>
      <c r="P8" s="15">
        <f>IFERROR(VLOOKUP($A8,'1. Calculo PERT'!$A:$M,13,FALSE()),0)</f>
        <v>4.6944444444444438</v>
      </c>
      <c r="Q8" s="16">
        <f>IFERROR(VLOOKUP($A8,'1. Calculo PERT'!$A:$P,16,FALSE()),0)</f>
        <v>21953989</v>
      </c>
    </row>
    <row r="9" spans="1:20" x14ac:dyDescent="0.25">
      <c r="A9" s="7" t="s">
        <v>175</v>
      </c>
      <c r="B9" s="7" t="s">
        <v>176</v>
      </c>
      <c r="C9" s="7" t="s">
        <v>90</v>
      </c>
      <c r="D9" s="7" t="s">
        <v>174</v>
      </c>
      <c r="E9" s="7" t="s">
        <v>12</v>
      </c>
      <c r="F9" s="14">
        <f>IFERROR(ROUND(VLOOKUP($A9,'1. Calculo PERT'!$A:$K,11,FALSE()),0),0)</f>
        <v>15</v>
      </c>
      <c r="G9" s="14" t="str">
        <f>IF(VLOOKUP($A9,'1. Calculo PERT'!$A:$N,14,FALSE())=0,"",VLOOKUP($A9,'1. Calculo PERT'!$A:$N,14,FALSE()))</f>
        <v>1.1.0FC</v>
      </c>
      <c r="H9" s="7">
        <f t="shared" si="4"/>
        <v>3</v>
      </c>
      <c r="I9" s="7">
        <f t="shared" si="0"/>
        <v>18</v>
      </c>
      <c r="J9" s="7">
        <f>MIN($J$15,$T$1)-$F9</f>
        <v>508</v>
      </c>
      <c r="K9" s="7">
        <f t="shared" si="1"/>
        <v>523</v>
      </c>
      <c r="L9" s="7">
        <f t="shared" si="2"/>
        <v>505</v>
      </c>
      <c r="M9" s="7" t="str">
        <f t="shared" si="3"/>
        <v>no</v>
      </c>
      <c r="N9" s="3">
        <f>'0. Parametros'!$B$3+H9</f>
        <v>45673</v>
      </c>
      <c r="O9" s="3">
        <f>'0. Parametros'!$B$3+I9-1</f>
        <v>45687</v>
      </c>
      <c r="P9" s="15">
        <f>IFERROR(VLOOKUP($A9,'1. Calculo PERT'!$A:$M,13,FALSE()),0)</f>
        <v>4.6944444444444438</v>
      </c>
      <c r="Q9" s="16">
        <f>IFERROR(VLOOKUP($A9,'1. Calculo PERT'!$A:$P,16,FALSE()),0)</f>
        <v>875750</v>
      </c>
    </row>
    <row r="10" spans="1:20" x14ac:dyDescent="0.25">
      <c r="A10" s="7" t="s">
        <v>135</v>
      </c>
      <c r="B10" s="7" t="s">
        <v>136</v>
      </c>
      <c r="C10" s="7" t="s">
        <v>90</v>
      </c>
      <c r="D10" s="7" t="s">
        <v>60</v>
      </c>
      <c r="E10" s="7" t="s">
        <v>12</v>
      </c>
      <c r="F10" s="14">
        <f>IFERROR(ROUND(VLOOKUP($A10,'1. Calculo PERT'!$A:$K,11,FALSE()),0),0)</f>
        <v>19</v>
      </c>
      <c r="G10" s="14" t="str">
        <f>IF(VLOOKUP($A10,'1. Calculo PERT'!$A:$N,14,FALSE())=0,"",VLOOKUP($A10,'1. Calculo PERT'!$A:$N,14,FALSE()))</f>
        <v>1.1.0FC</v>
      </c>
      <c r="H10" s="7">
        <f t="shared" si="4"/>
        <v>3</v>
      </c>
      <c r="I10" s="7">
        <f t="shared" si="0"/>
        <v>22</v>
      </c>
      <c r="J10" s="7">
        <f>MIN($J$17,$T$1)-$F10</f>
        <v>30</v>
      </c>
      <c r="K10" s="7">
        <f t="shared" si="1"/>
        <v>49</v>
      </c>
      <c r="L10" s="7">
        <f t="shared" si="2"/>
        <v>27</v>
      </c>
      <c r="M10" s="7" t="str">
        <f t="shared" si="3"/>
        <v>no</v>
      </c>
      <c r="N10" s="3">
        <f>'0. Parametros'!$B$3+H10</f>
        <v>45673</v>
      </c>
      <c r="O10" s="3">
        <f>'0. Parametros'!$B$3+I10-1</f>
        <v>45691</v>
      </c>
      <c r="P10" s="15">
        <f>IFERROR(VLOOKUP($A10,'1. Calculo PERT'!$A:$M,13,FALSE()),0)</f>
        <v>12.25</v>
      </c>
      <c r="Q10" s="16">
        <f>IFERROR(VLOOKUP($A10,'1. Calculo PERT'!$A:$P,16,FALSE()),0)</f>
        <v>39517180</v>
      </c>
    </row>
    <row r="11" spans="1:20" x14ac:dyDescent="0.25">
      <c r="A11" s="7" t="s">
        <v>63</v>
      </c>
      <c r="B11" s="7" t="s">
        <v>64</v>
      </c>
      <c r="C11" s="7" t="s">
        <v>55</v>
      </c>
      <c r="D11" s="7" t="s">
        <v>60</v>
      </c>
      <c r="E11" s="7" t="s">
        <v>12</v>
      </c>
      <c r="F11" s="14">
        <f>IFERROR(ROUND(VLOOKUP($A11,'1. Calculo PERT'!$A:$K,11,FALSE()),0),0)</f>
        <v>23</v>
      </c>
      <c r="G11" s="14" t="str">
        <f>IF(VLOOKUP($A11,'1. Calculo PERT'!$A:$N,14,FALSE())=0,"",VLOOKUP($A11,'1. Calculo PERT'!$A:$N,14,FALSE()))</f>
        <v>1.1.0FC</v>
      </c>
      <c r="H11" s="7">
        <f t="shared" si="4"/>
        <v>3</v>
      </c>
      <c r="I11" s="7">
        <f t="shared" si="0"/>
        <v>26</v>
      </c>
      <c r="J11" s="7">
        <f>MIN($J$20,$J$19,$T$1)-$F11</f>
        <v>3</v>
      </c>
      <c r="K11" s="7">
        <f t="shared" si="1"/>
        <v>26</v>
      </c>
      <c r="L11" s="7">
        <f t="shared" si="2"/>
        <v>0</v>
      </c>
      <c r="M11" s="7" t="str">
        <f t="shared" si="3"/>
        <v>SI</v>
      </c>
      <c r="N11" s="3">
        <f>'0. Parametros'!$B$3+H11</f>
        <v>45673</v>
      </c>
      <c r="O11" s="3">
        <f>'0. Parametros'!$B$3+I11-1</f>
        <v>45695</v>
      </c>
      <c r="P11" s="15">
        <f>IFERROR(VLOOKUP($A11,'1. Calculo PERT'!$A:$M,13,FALSE()),0)</f>
        <v>13.444444444444443</v>
      </c>
      <c r="Q11" s="16">
        <f>IFERROR(VLOOKUP($A11,'1. Calculo PERT'!$A:$P,16,FALSE()),0)</f>
        <v>48298776</v>
      </c>
    </row>
    <row r="12" spans="1:20" x14ac:dyDescent="0.25">
      <c r="A12" s="7" t="s">
        <v>154</v>
      </c>
      <c r="B12" s="7" t="s">
        <v>155</v>
      </c>
      <c r="C12" s="7" t="s">
        <v>90</v>
      </c>
      <c r="D12" s="7" t="s">
        <v>153</v>
      </c>
      <c r="E12" s="7" t="s">
        <v>12</v>
      </c>
      <c r="F12" s="14">
        <f>IFERROR(ROUND(VLOOKUP($A12,'1. Calculo PERT'!$A:$K,11,FALSE()),0),0)</f>
        <v>33</v>
      </c>
      <c r="G12" s="14" t="str">
        <f>IF(VLOOKUP($A12,'1. Calculo PERT'!$A:$N,14,FALSE())=0,"",VLOOKUP($A12,'1. Calculo PERT'!$A:$N,14,FALSE()))</f>
        <v>1.1.0FC</v>
      </c>
      <c r="H12" s="7">
        <f t="shared" si="4"/>
        <v>3</v>
      </c>
      <c r="I12" s="7">
        <f t="shared" si="0"/>
        <v>36</v>
      </c>
      <c r="J12" s="7">
        <f>MIN($J$23,$T$1)-$F12</f>
        <v>19</v>
      </c>
      <c r="K12" s="7">
        <f t="shared" si="1"/>
        <v>52</v>
      </c>
      <c r="L12" s="7">
        <f t="shared" si="2"/>
        <v>16</v>
      </c>
      <c r="M12" s="7" t="str">
        <f t="shared" si="3"/>
        <v>no</v>
      </c>
      <c r="N12" s="3">
        <f>'0. Parametros'!$B$3+H12</f>
        <v>45673</v>
      </c>
      <c r="O12" s="3">
        <f>'0. Parametros'!$B$3+I12-1</f>
        <v>45705</v>
      </c>
      <c r="P12" s="15">
        <f>IFERROR(VLOOKUP($A12,'1. Calculo PERT'!$A:$M,13,FALSE()),0)</f>
        <v>28.444444444444443</v>
      </c>
      <c r="Q12" s="16">
        <f>IFERROR(VLOOKUP($A12,'1. Calculo PERT'!$A:$P,16,FALSE()),0)</f>
        <v>65861967</v>
      </c>
    </row>
    <row r="13" spans="1:20" x14ac:dyDescent="0.25">
      <c r="A13" s="7" t="s">
        <v>199</v>
      </c>
      <c r="B13" s="7" t="s">
        <v>200</v>
      </c>
      <c r="C13" s="7" t="s">
        <v>94</v>
      </c>
      <c r="D13" s="7" t="s">
        <v>60</v>
      </c>
      <c r="E13" s="7" t="s">
        <v>12</v>
      </c>
      <c r="F13" s="14">
        <f>IFERROR(ROUND(VLOOKUP($A13,'1. Calculo PERT'!$A:$K,11,FALSE()),0),0)</f>
        <v>6</v>
      </c>
      <c r="G13" s="14" t="str">
        <f>IF(VLOOKUP($A13,'1. Calculo PERT'!$A:$N,14,FALSE())=0,"",VLOOKUP($A13,'1. Calculo PERT'!$A:$N,14,FALSE()))</f>
        <v>1.1.2.4.1FC</v>
      </c>
      <c r="H13" s="7">
        <f>MAX(0,$I$8)</f>
        <v>15</v>
      </c>
      <c r="I13" s="7">
        <f t="shared" si="0"/>
        <v>21</v>
      </c>
      <c r="J13" s="7">
        <f>MIN($J$16,$T$1)-$F13</f>
        <v>74</v>
      </c>
      <c r="K13" s="7">
        <f t="shared" si="1"/>
        <v>80</v>
      </c>
      <c r="L13" s="7">
        <f t="shared" si="2"/>
        <v>59</v>
      </c>
      <c r="M13" s="7" t="str">
        <f t="shared" si="3"/>
        <v>no</v>
      </c>
      <c r="N13" s="3">
        <f>'0. Parametros'!$B$3+H13</f>
        <v>45685</v>
      </c>
      <c r="O13" s="3">
        <f>'0. Parametros'!$B$3+I13-1</f>
        <v>45690</v>
      </c>
      <c r="P13" s="15">
        <f>IFERROR(VLOOKUP($A13,'1. Calculo PERT'!$A:$M,13,FALSE()),0)</f>
        <v>1.3611111111111114</v>
      </c>
      <c r="Q13" s="16">
        <f>IFERROR(VLOOKUP($A13,'1. Calculo PERT'!$A:$P,16,FALSE()),0)</f>
        <v>17563191</v>
      </c>
    </row>
    <row r="14" spans="1:20" x14ac:dyDescent="0.25">
      <c r="A14" s="7" t="s">
        <v>113</v>
      </c>
      <c r="B14" s="7" t="s">
        <v>114</v>
      </c>
      <c r="C14" s="7" t="s">
        <v>55</v>
      </c>
      <c r="D14" s="7" t="s">
        <v>60</v>
      </c>
      <c r="E14" s="7" t="s">
        <v>12</v>
      </c>
      <c r="F14" s="14">
        <f>IFERROR(ROUND(VLOOKUP($A14,'1. Calculo PERT'!$A:$K,11,FALSE()),0),0)</f>
        <v>12</v>
      </c>
      <c r="G14" s="14" t="str">
        <f>IF(VLOOKUP($A14,'1. Calculo PERT'!$A:$N,14,FALSE())=0,"",VLOOKUP($A14,'1. Calculo PERT'!$A:$N,14,FALSE()))</f>
        <v>1.1.1.3.1FC</v>
      </c>
      <c r="H14" s="7">
        <f>MAX(0,$I$7)</f>
        <v>15</v>
      </c>
      <c r="I14" s="7">
        <f t="shared" si="0"/>
        <v>27</v>
      </c>
      <c r="J14" s="7">
        <f>MIN($J$21,$T$1)-$F14</f>
        <v>228</v>
      </c>
      <c r="K14" s="7">
        <f t="shared" si="1"/>
        <v>240</v>
      </c>
      <c r="L14" s="7">
        <f t="shared" si="2"/>
        <v>213</v>
      </c>
      <c r="M14" s="7" t="str">
        <f t="shared" si="3"/>
        <v>no</v>
      </c>
      <c r="N14" s="3">
        <f>'0. Parametros'!$B$3+H14</f>
        <v>45685</v>
      </c>
      <c r="O14" s="3">
        <f>'0. Parametros'!$B$3+I14-1</f>
        <v>45696</v>
      </c>
      <c r="P14" s="15">
        <f>IFERROR(VLOOKUP($A14,'1. Calculo PERT'!$A:$M,13,FALSE()),0)</f>
        <v>3.3611111111111107</v>
      </c>
      <c r="Q14" s="16">
        <f>IFERROR(VLOOKUP($A14,'1. Calculo PERT'!$A:$P,16,FALSE()),0)</f>
        <v>21953989</v>
      </c>
    </row>
    <row r="15" spans="1:20" x14ac:dyDescent="0.25">
      <c r="A15" s="7" t="s">
        <v>179</v>
      </c>
      <c r="B15" s="7" t="s">
        <v>180</v>
      </c>
      <c r="C15" s="7" t="s">
        <v>55</v>
      </c>
      <c r="D15" s="7" t="s">
        <v>174</v>
      </c>
      <c r="E15" s="7" t="s">
        <v>12</v>
      </c>
      <c r="F15" s="14">
        <f>IFERROR(ROUND(VLOOKUP($A15,'1. Calculo PERT'!$A:$K,11,FALSE()),0),0)</f>
        <v>12</v>
      </c>
      <c r="G15" s="14" t="str">
        <f>IF(VLOOKUP($A15,'1. Calculo PERT'!$A:$N,14,FALSE())=0,"",VLOOKUP($A15,'1. Calculo PERT'!$A:$N,14,FALSE()))</f>
        <v>1.1.2.3.1FC</v>
      </c>
      <c r="H15" s="7">
        <f>MAX(0,$I$9)</f>
        <v>18</v>
      </c>
      <c r="I15" s="7">
        <f t="shared" si="0"/>
        <v>30</v>
      </c>
      <c r="J15" s="7">
        <f>MIN($J$22,$T$1)-$F15</f>
        <v>523</v>
      </c>
      <c r="K15" s="7">
        <f t="shared" si="1"/>
        <v>535</v>
      </c>
      <c r="L15" s="7">
        <f t="shared" si="2"/>
        <v>505</v>
      </c>
      <c r="M15" s="7" t="str">
        <f t="shared" si="3"/>
        <v>no</v>
      </c>
      <c r="N15" s="3">
        <f>'0. Parametros'!$B$3+H15</f>
        <v>45688</v>
      </c>
      <c r="O15" s="3">
        <f>'0. Parametros'!$B$3+I15-1</f>
        <v>45699</v>
      </c>
      <c r="P15" s="15">
        <f>IFERROR(VLOOKUP($A15,'1. Calculo PERT'!$A:$M,13,FALSE()),0)</f>
        <v>4.6944444444444438</v>
      </c>
      <c r="Q15" s="16">
        <f>IFERROR(VLOOKUP($A15,'1. Calculo PERT'!$A:$P,16,FALSE()),0)</f>
        <v>625535</v>
      </c>
    </row>
    <row r="16" spans="1:20" x14ac:dyDescent="0.25">
      <c r="A16" s="7" t="s">
        <v>204</v>
      </c>
      <c r="B16" s="7" t="s">
        <v>205</v>
      </c>
      <c r="C16" s="7" t="s">
        <v>94</v>
      </c>
      <c r="D16" s="7" t="s">
        <v>60</v>
      </c>
      <c r="E16" s="7" t="s">
        <v>12</v>
      </c>
      <c r="F16" s="14">
        <f>IFERROR(ROUND(VLOOKUP($A16,'1. Calculo PERT'!$A:$K,11,FALSE()),0),0)</f>
        <v>5</v>
      </c>
      <c r="G16" s="14" t="str">
        <f>IF(VLOOKUP($A16,'1. Calculo PERT'!$A:$N,14,FALSE())=0,"",VLOOKUP($A16,'1. Calculo PERT'!$A:$N,14,FALSE()))</f>
        <v>1.1.2.4.2FC</v>
      </c>
      <c r="H16" s="7">
        <f>MAX(0,$I$13)</f>
        <v>21</v>
      </c>
      <c r="I16" s="7">
        <f t="shared" si="0"/>
        <v>26</v>
      </c>
      <c r="J16" s="7">
        <f>MIN($J$18,$T$1)-$F16</f>
        <v>80</v>
      </c>
      <c r="K16" s="7">
        <f t="shared" si="1"/>
        <v>85</v>
      </c>
      <c r="L16" s="7">
        <f t="shared" si="2"/>
        <v>59</v>
      </c>
      <c r="M16" s="7" t="str">
        <f t="shared" si="3"/>
        <v>no</v>
      </c>
      <c r="N16" s="3">
        <f>'0. Parametros'!$B$3+H16</f>
        <v>45691</v>
      </c>
      <c r="O16" s="3">
        <f>'0. Parametros'!$B$3+I16-1</f>
        <v>45695</v>
      </c>
      <c r="P16" s="15">
        <f>IFERROR(VLOOKUP($A16,'1. Calculo PERT'!$A:$M,13,FALSE()),0)</f>
        <v>0.69444444444444453</v>
      </c>
      <c r="Q16" s="16">
        <f>IFERROR(VLOOKUP($A16,'1. Calculo PERT'!$A:$P,16,FALSE()),0)</f>
        <v>13172393</v>
      </c>
    </row>
    <row r="17" spans="1:17" x14ac:dyDescent="0.25">
      <c r="A17" s="7" t="s">
        <v>138</v>
      </c>
      <c r="B17" s="7" t="s">
        <v>139</v>
      </c>
      <c r="C17" s="7" t="s">
        <v>90</v>
      </c>
      <c r="D17" s="7" t="s">
        <v>60</v>
      </c>
      <c r="E17" s="7" t="s">
        <v>12</v>
      </c>
      <c r="F17" s="14">
        <f>IFERROR(ROUND(VLOOKUP($A17,'1. Calculo PERT'!$A:$K,11,FALSE()),0),0)</f>
        <v>24</v>
      </c>
      <c r="G17" s="14" t="str">
        <f>IF(VLOOKUP($A17,'1. Calculo PERT'!$A:$N,14,FALSE())=0,"",VLOOKUP($A17,'1. Calculo PERT'!$A:$N,14,FALSE()))</f>
        <v>1.1.2.1.1FC</v>
      </c>
      <c r="H17" s="7">
        <f>MAX(0,$I$10)</f>
        <v>22</v>
      </c>
      <c r="I17" s="7">
        <f t="shared" si="0"/>
        <v>46</v>
      </c>
      <c r="J17" s="7">
        <f>MIN($J$28,$J$29,$T$1)-$F17</f>
        <v>49</v>
      </c>
      <c r="K17" s="7">
        <f t="shared" si="1"/>
        <v>73</v>
      </c>
      <c r="L17" s="7">
        <f t="shared" si="2"/>
        <v>27</v>
      </c>
      <c r="M17" s="7" t="str">
        <f t="shared" si="3"/>
        <v>no</v>
      </c>
      <c r="N17" s="3">
        <f>'0. Parametros'!$B$3+H17</f>
        <v>45692</v>
      </c>
      <c r="O17" s="3">
        <f>'0. Parametros'!$B$3+I17-1</f>
        <v>45715</v>
      </c>
      <c r="P17" s="15">
        <f>IFERROR(VLOOKUP($A17,'1. Calculo PERT'!$A:$M,13,FALSE()),0)</f>
        <v>18.777777777777775</v>
      </c>
      <c r="Q17" s="16">
        <f>IFERROR(VLOOKUP($A17,'1. Calculo PERT'!$A:$P,16,FALSE()),0)</f>
        <v>48298776</v>
      </c>
    </row>
    <row r="18" spans="1:17" x14ac:dyDescent="0.25">
      <c r="A18" s="7" t="s">
        <v>209</v>
      </c>
      <c r="B18" s="7" t="s">
        <v>210</v>
      </c>
      <c r="C18" s="7" t="s">
        <v>55</v>
      </c>
      <c r="D18" s="7" t="s">
        <v>60</v>
      </c>
      <c r="E18" s="7" t="s">
        <v>12</v>
      </c>
      <c r="F18" s="14">
        <f>IFERROR(ROUND(VLOOKUP($A18,'1. Calculo PERT'!$A:$K,11,FALSE()),0),0)</f>
        <v>5</v>
      </c>
      <c r="G18" s="14" t="str">
        <f>IF(VLOOKUP($A18,'1. Calculo PERT'!$A:$N,14,FALSE())=0,"",VLOOKUP($A18,'1. Calculo PERT'!$A:$N,14,FALSE()))</f>
        <v>1.1.2.4.3FC</v>
      </c>
      <c r="H18" s="7">
        <f>MAX(0,$I$16)</f>
        <v>26</v>
      </c>
      <c r="I18" s="7">
        <f t="shared" si="0"/>
        <v>31</v>
      </c>
      <c r="J18" s="7">
        <f>MIN($J$37,$J$63,$T$1)-$F18</f>
        <v>85</v>
      </c>
      <c r="K18" s="7">
        <f t="shared" si="1"/>
        <v>90</v>
      </c>
      <c r="L18" s="7">
        <f t="shared" si="2"/>
        <v>59</v>
      </c>
      <c r="M18" s="7" t="str">
        <f t="shared" si="3"/>
        <v>no</v>
      </c>
      <c r="N18" s="3">
        <f>'0. Parametros'!$B$3+H18</f>
        <v>45696</v>
      </c>
      <c r="O18" s="3">
        <f>'0. Parametros'!$B$3+I18-1</f>
        <v>45700</v>
      </c>
      <c r="P18" s="15">
        <f>IFERROR(VLOOKUP($A18,'1. Calculo PERT'!$A:$M,13,FALSE()),0)</f>
        <v>0.69444444444444453</v>
      </c>
      <c r="Q18" s="16">
        <f>IFERROR(VLOOKUP($A18,'1. Calculo PERT'!$A:$P,16,FALSE()),0)</f>
        <v>13172393</v>
      </c>
    </row>
    <row r="19" spans="1:17" x14ac:dyDescent="0.25">
      <c r="A19" s="7" t="s">
        <v>88</v>
      </c>
      <c r="B19" s="7" t="s">
        <v>89</v>
      </c>
      <c r="C19" s="7" t="s">
        <v>90</v>
      </c>
      <c r="D19" s="7" t="s">
        <v>60</v>
      </c>
      <c r="E19" s="7" t="s">
        <v>12</v>
      </c>
      <c r="F19" s="14">
        <f>IFERROR(ROUND(VLOOKUP($A19,'1. Calculo PERT'!$A:$K,11,FALSE()),0),0)</f>
        <v>17</v>
      </c>
      <c r="G19" s="14" t="str">
        <f>IF(VLOOKUP($A19,'1. Calculo PERT'!$A:$N,14,FALSE())=0,"",VLOOKUP($A19,'1. Calculo PERT'!$A:$N,14,FALSE()))</f>
        <v>1.1.1.1.1FC</v>
      </c>
      <c r="H19" s="7">
        <f>MAX(0,$I$11)</f>
        <v>26</v>
      </c>
      <c r="I19" s="7">
        <f t="shared" si="0"/>
        <v>43</v>
      </c>
      <c r="J19" s="7">
        <f>MIN($J$26,$T$1)-$F19</f>
        <v>230</v>
      </c>
      <c r="K19" s="7">
        <f t="shared" si="1"/>
        <v>247</v>
      </c>
      <c r="L19" s="7">
        <f t="shared" si="2"/>
        <v>204</v>
      </c>
      <c r="M19" s="7" t="str">
        <f t="shared" si="3"/>
        <v>no</v>
      </c>
      <c r="N19" s="3">
        <f>'0. Parametros'!$B$3+H19</f>
        <v>45696</v>
      </c>
      <c r="O19" s="3">
        <f>'0. Parametros'!$B$3+I19-1</f>
        <v>45712</v>
      </c>
      <c r="P19" s="15">
        <f>IFERROR(VLOOKUP($A19,'1. Calculo PERT'!$A:$M,13,FALSE()),0)</f>
        <v>9</v>
      </c>
      <c r="Q19" s="16">
        <f>IFERROR(VLOOKUP($A19,'1. Calculo PERT'!$A:$P,16,FALSE()),0)</f>
        <v>35126382</v>
      </c>
    </row>
    <row r="20" spans="1:17" x14ac:dyDescent="0.25">
      <c r="A20" s="7" t="s">
        <v>68</v>
      </c>
      <c r="B20" s="7" t="s">
        <v>69</v>
      </c>
      <c r="C20" s="7" t="s">
        <v>55</v>
      </c>
      <c r="D20" s="7" t="s">
        <v>60</v>
      </c>
      <c r="E20" s="7" t="s">
        <v>12</v>
      </c>
      <c r="F20" s="14">
        <f>IFERROR(ROUND(VLOOKUP($A20,'1. Calculo PERT'!$A:$K,11,FALSE()),0),0)</f>
        <v>34</v>
      </c>
      <c r="G20" s="14" t="str">
        <f>IF(VLOOKUP($A20,'1. Calculo PERT'!$A:$N,14,FALSE())=0,"",VLOOKUP($A20,'1. Calculo PERT'!$A:$N,14,FALSE()))</f>
        <v>1.1.1.1.1FC</v>
      </c>
      <c r="H20" s="7">
        <f>MAX(0,$I$11)</f>
        <v>26</v>
      </c>
      <c r="I20" s="7">
        <f t="shared" si="0"/>
        <v>60</v>
      </c>
      <c r="J20" s="7">
        <f>MIN($J$33,$J$32,$T$1)-$F20</f>
        <v>26</v>
      </c>
      <c r="K20" s="7">
        <f t="shared" si="1"/>
        <v>60</v>
      </c>
      <c r="L20" s="7">
        <f t="shared" si="2"/>
        <v>0</v>
      </c>
      <c r="M20" s="7" t="str">
        <f t="shared" si="3"/>
        <v>SI</v>
      </c>
      <c r="N20" s="3">
        <f>'0. Parametros'!$B$3+H20</f>
        <v>45696</v>
      </c>
      <c r="O20" s="3">
        <f>'0. Parametros'!$B$3+I20-1</f>
        <v>45729</v>
      </c>
      <c r="P20" s="15">
        <f>IFERROR(VLOOKUP($A20,'1. Calculo PERT'!$A:$M,13,FALSE()),0)</f>
        <v>38.027777777777779</v>
      </c>
      <c r="Q20" s="16">
        <f>IFERROR(VLOOKUP($A20,'1. Calculo PERT'!$A:$P,16,FALSE()),0)</f>
        <v>65861967</v>
      </c>
    </row>
    <row r="21" spans="1:17" x14ac:dyDescent="0.25">
      <c r="A21" s="7" t="s">
        <v>118</v>
      </c>
      <c r="B21" s="7" t="s">
        <v>119</v>
      </c>
      <c r="C21" s="7" t="s">
        <v>55</v>
      </c>
      <c r="D21" s="7" t="s">
        <v>60</v>
      </c>
      <c r="E21" s="7" t="s">
        <v>12</v>
      </c>
      <c r="F21" s="14">
        <f>IFERROR(ROUND(VLOOKUP($A21,'1. Calculo PERT'!$A:$K,11,FALSE()),0),0)</f>
        <v>12</v>
      </c>
      <c r="G21" s="14" t="str">
        <f>IF(VLOOKUP($A21,'1. Calculo PERT'!$A:$N,14,FALSE())=0,"",VLOOKUP($A21,'1. Calculo PERT'!$A:$N,14,FALSE()))</f>
        <v>1.1.1.3.2FC</v>
      </c>
      <c r="H21" s="7">
        <f>MAX(0,$I$14)</f>
        <v>27</v>
      </c>
      <c r="I21" s="7">
        <f t="shared" si="0"/>
        <v>39</v>
      </c>
      <c r="J21" s="7">
        <f>MIN($J$24,$J$25,$T$1)-$F21</f>
        <v>240</v>
      </c>
      <c r="K21" s="7">
        <f t="shared" si="1"/>
        <v>252</v>
      </c>
      <c r="L21" s="7">
        <f t="shared" si="2"/>
        <v>213</v>
      </c>
      <c r="M21" s="7" t="str">
        <f t="shared" si="3"/>
        <v>no</v>
      </c>
      <c r="N21" s="3">
        <f>'0. Parametros'!$B$3+H21</f>
        <v>45697</v>
      </c>
      <c r="O21" s="3">
        <f>'0. Parametros'!$B$3+I21-1</f>
        <v>45708</v>
      </c>
      <c r="P21" s="15">
        <f>IFERROR(VLOOKUP($A21,'1. Calculo PERT'!$A:$M,13,FALSE()),0)</f>
        <v>4.6944444444444438</v>
      </c>
      <c r="Q21" s="16">
        <f>IFERROR(VLOOKUP($A21,'1. Calculo PERT'!$A:$P,16,FALSE()),0)</f>
        <v>21953989</v>
      </c>
    </row>
    <row r="22" spans="1:17" x14ac:dyDescent="0.25">
      <c r="A22" s="7" t="s">
        <v>184</v>
      </c>
      <c r="B22" s="7" t="s">
        <v>185</v>
      </c>
      <c r="C22" s="7" t="s">
        <v>90</v>
      </c>
      <c r="D22" s="7" t="s">
        <v>174</v>
      </c>
      <c r="E22" s="7" t="s">
        <v>12</v>
      </c>
      <c r="F22" s="14">
        <f>IFERROR(ROUND(VLOOKUP($A22,'1. Calculo PERT'!$A:$K,11,FALSE()),0),0)</f>
        <v>23</v>
      </c>
      <c r="G22" s="14" t="str">
        <f>IF(VLOOKUP($A22,'1. Calculo PERT'!$A:$N,14,FALSE())=0,"",VLOOKUP($A22,'1. Calculo PERT'!$A:$N,14,FALSE()))</f>
        <v>1.1.2.3.2FC</v>
      </c>
      <c r="H22" s="7">
        <f>MAX(0,$I$15)</f>
        <v>30</v>
      </c>
      <c r="I22" s="7">
        <f t="shared" si="0"/>
        <v>53</v>
      </c>
      <c r="J22" s="7">
        <f>MIN($J$30,$J$144,$T$1)-$F22</f>
        <v>535</v>
      </c>
      <c r="K22" s="7">
        <f t="shared" si="1"/>
        <v>558</v>
      </c>
      <c r="L22" s="7">
        <f t="shared" si="2"/>
        <v>505</v>
      </c>
      <c r="M22" s="7" t="str">
        <f t="shared" si="3"/>
        <v>no</v>
      </c>
      <c r="N22" s="3">
        <f>'0. Parametros'!$B$3+H22</f>
        <v>45700</v>
      </c>
      <c r="O22" s="3">
        <f>'0. Parametros'!$B$3+I22-1</f>
        <v>45722</v>
      </c>
      <c r="P22" s="15">
        <f>IFERROR(VLOOKUP($A22,'1. Calculo PERT'!$A:$M,13,FALSE()),0)</f>
        <v>11.111111111111112</v>
      </c>
      <c r="Q22" s="16">
        <f>IFERROR(VLOOKUP($A22,'1. Calculo PERT'!$A:$P,16,FALSE()),0)</f>
        <v>1376178</v>
      </c>
    </row>
    <row r="23" spans="1:17" x14ac:dyDescent="0.25">
      <c r="A23" s="7" t="s">
        <v>157</v>
      </c>
      <c r="B23" s="7" t="s">
        <v>158</v>
      </c>
      <c r="C23" s="7" t="s">
        <v>55</v>
      </c>
      <c r="D23" s="7" t="s">
        <v>153</v>
      </c>
      <c r="E23" s="7" t="s">
        <v>12</v>
      </c>
      <c r="F23" s="14">
        <f>IFERROR(ROUND(VLOOKUP($A23,'1. Calculo PERT'!$A:$K,11,FALSE()),0),0)</f>
        <v>26</v>
      </c>
      <c r="G23" s="14" t="str">
        <f>IF(VLOOKUP($A23,'1. Calculo PERT'!$A:$N,14,FALSE())=0,"",VLOOKUP($A23,'1. Calculo PERT'!$A:$N,14,FALSE()))</f>
        <v>1.1.2.2.1FC</v>
      </c>
      <c r="H23" s="7">
        <f>MAX(0,$I$12)</f>
        <v>36</v>
      </c>
      <c r="I23" s="7">
        <f t="shared" si="0"/>
        <v>62</v>
      </c>
      <c r="J23" s="7">
        <f>MIN($J$34,$T$1)-$F23</f>
        <v>52</v>
      </c>
      <c r="K23" s="7">
        <f t="shared" si="1"/>
        <v>78</v>
      </c>
      <c r="L23" s="7">
        <f t="shared" si="2"/>
        <v>16</v>
      </c>
      <c r="M23" s="7" t="str">
        <f t="shared" si="3"/>
        <v>no</v>
      </c>
      <c r="N23" s="3">
        <f>'0. Parametros'!$B$3+H23</f>
        <v>45706</v>
      </c>
      <c r="O23" s="3">
        <f>'0. Parametros'!$B$3+I23-1</f>
        <v>45731</v>
      </c>
      <c r="P23" s="15">
        <f>IFERROR(VLOOKUP($A23,'1. Calculo PERT'!$A:$M,13,FALSE()),0)</f>
        <v>16</v>
      </c>
      <c r="Q23" s="16">
        <f>IFERROR(VLOOKUP($A23,'1. Calculo PERT'!$A:$P,16,FALSE()),0)</f>
        <v>52689574</v>
      </c>
    </row>
    <row r="24" spans="1:17" x14ac:dyDescent="0.25">
      <c r="A24" s="7" t="s">
        <v>123</v>
      </c>
      <c r="B24" s="7" t="s">
        <v>124</v>
      </c>
      <c r="C24" s="7" t="s">
        <v>55</v>
      </c>
      <c r="D24" s="7" t="s">
        <v>60</v>
      </c>
      <c r="E24" s="7" t="s">
        <v>12</v>
      </c>
      <c r="F24" s="14">
        <f>IFERROR(ROUND(VLOOKUP($A24,'1. Calculo PERT'!$A:$K,11,FALSE()),0),0)</f>
        <v>5</v>
      </c>
      <c r="G24" s="14" t="str">
        <f>IF(VLOOKUP($A24,'1. Calculo PERT'!$A:$N,14,FALSE())=0,"",VLOOKUP($A24,'1. Calculo PERT'!$A:$N,14,FALSE()))</f>
        <v>1.1.1.3.3FC</v>
      </c>
      <c r="H24" s="7">
        <f>MAX(0,$I$21)</f>
        <v>39</v>
      </c>
      <c r="I24" s="7">
        <f t="shared" si="0"/>
        <v>44</v>
      </c>
      <c r="J24" s="7">
        <f>MIN($J$63,$T$1)-$F24</f>
        <v>259</v>
      </c>
      <c r="K24" s="7">
        <f t="shared" si="1"/>
        <v>264</v>
      </c>
      <c r="L24" s="7">
        <f t="shared" si="2"/>
        <v>220</v>
      </c>
      <c r="M24" s="7" t="str">
        <f t="shared" si="3"/>
        <v>no</v>
      </c>
      <c r="N24" s="3">
        <f>'0. Parametros'!$B$3+H24</f>
        <v>45709</v>
      </c>
      <c r="O24" s="3">
        <f>'0. Parametros'!$B$3+I24-1</f>
        <v>45713</v>
      </c>
      <c r="P24" s="15">
        <f>IFERROR(VLOOKUP($A24,'1. Calculo PERT'!$A:$M,13,FALSE()),0)</f>
        <v>0.69444444444444453</v>
      </c>
      <c r="Q24" s="16">
        <f>IFERROR(VLOOKUP($A24,'1. Calculo PERT'!$A:$P,16,FALSE()),0)</f>
        <v>13172393</v>
      </c>
    </row>
    <row r="25" spans="1:17" x14ac:dyDescent="0.25">
      <c r="A25" s="7" t="s">
        <v>128</v>
      </c>
      <c r="B25" s="7" t="s">
        <v>129</v>
      </c>
      <c r="C25" s="7" t="s">
        <v>90</v>
      </c>
      <c r="D25" s="7" t="s">
        <v>60</v>
      </c>
      <c r="E25" s="7" t="s">
        <v>12</v>
      </c>
      <c r="F25" s="14">
        <f>IFERROR(ROUND(VLOOKUP($A25,'1. Calculo PERT'!$A:$K,11,FALSE()),0),0)</f>
        <v>12</v>
      </c>
      <c r="G25" s="14" t="str">
        <f>IF(VLOOKUP($A25,'1. Calculo PERT'!$A:$N,14,FALSE())=0,"",VLOOKUP($A25,'1. Calculo PERT'!$A:$N,14,FALSE()))</f>
        <v>1.1.1.3.3FC</v>
      </c>
      <c r="H25" s="7">
        <f>MAX(0,$I$21)</f>
        <v>39</v>
      </c>
      <c r="I25" s="7">
        <f t="shared" si="0"/>
        <v>51</v>
      </c>
      <c r="J25" s="7">
        <f>MIN($J$63,$T$1)-$F25</f>
        <v>252</v>
      </c>
      <c r="K25" s="7">
        <f t="shared" si="1"/>
        <v>264</v>
      </c>
      <c r="L25" s="7">
        <f t="shared" si="2"/>
        <v>213</v>
      </c>
      <c r="M25" s="7" t="str">
        <f t="shared" si="3"/>
        <v>no</v>
      </c>
      <c r="N25" s="3">
        <f>'0. Parametros'!$B$3+H25</f>
        <v>45709</v>
      </c>
      <c r="O25" s="3">
        <f>'0. Parametros'!$B$3+I25-1</f>
        <v>45720</v>
      </c>
      <c r="P25" s="15">
        <f>IFERROR(VLOOKUP($A25,'1. Calculo PERT'!$A:$M,13,FALSE()),0)</f>
        <v>3.3611111111111107</v>
      </c>
      <c r="Q25" s="16">
        <f>IFERROR(VLOOKUP($A25,'1. Calculo PERT'!$A:$P,16,FALSE()),0)</f>
        <v>21953989</v>
      </c>
    </row>
    <row r="26" spans="1:17" x14ac:dyDescent="0.25">
      <c r="A26" s="7" t="s">
        <v>92</v>
      </c>
      <c r="B26" s="7" t="s">
        <v>93</v>
      </c>
      <c r="C26" s="7" t="s">
        <v>94</v>
      </c>
      <c r="D26" s="7" t="s">
        <v>60</v>
      </c>
      <c r="E26" s="7" t="s">
        <v>12</v>
      </c>
      <c r="F26" s="14">
        <f>IFERROR(ROUND(VLOOKUP($A26,'1. Calculo PERT'!$A:$K,11,FALSE()),0),0)</f>
        <v>12</v>
      </c>
      <c r="G26" s="14" t="str">
        <f>IF(VLOOKUP($A26,'1. Calculo PERT'!$A:$N,14,FALSE())=0,"",VLOOKUP($A26,'1. Calculo PERT'!$A:$N,14,FALSE()))</f>
        <v>1.1.1.2.1FC</v>
      </c>
      <c r="H26" s="7">
        <f>MAX(0,$I$19)</f>
        <v>43</v>
      </c>
      <c r="I26" s="7">
        <f t="shared" si="0"/>
        <v>55</v>
      </c>
      <c r="J26" s="7">
        <f>MIN(MIN($J$31,$T$1)-$F26,$J$27-2)</f>
        <v>247</v>
      </c>
      <c r="K26" s="7">
        <f t="shared" si="1"/>
        <v>259</v>
      </c>
      <c r="L26" s="7">
        <f t="shared" si="2"/>
        <v>204</v>
      </c>
      <c r="M26" s="7" t="str">
        <f t="shared" si="3"/>
        <v>no</v>
      </c>
      <c r="N26" s="3">
        <f>'0. Parametros'!$B$3+H26</f>
        <v>45713</v>
      </c>
      <c r="O26" s="3">
        <f>'0. Parametros'!$B$3+I26-1</f>
        <v>45724</v>
      </c>
      <c r="P26" s="15">
        <f>IFERROR(VLOOKUP($A26,'1. Calculo PERT'!$A:$M,13,FALSE()),0)</f>
        <v>4.6944444444444438</v>
      </c>
      <c r="Q26" s="16">
        <f>IFERROR(VLOOKUP($A26,'1. Calculo PERT'!$A:$P,16,FALSE()),0)</f>
        <v>21953989</v>
      </c>
    </row>
    <row r="27" spans="1:17" x14ac:dyDescent="0.25">
      <c r="A27" s="7" t="s">
        <v>103</v>
      </c>
      <c r="B27" s="7" t="s">
        <v>104</v>
      </c>
      <c r="C27" s="7" t="s">
        <v>90</v>
      </c>
      <c r="D27" s="7" t="s">
        <v>60</v>
      </c>
      <c r="E27" s="7" t="s">
        <v>12</v>
      </c>
      <c r="F27" s="14">
        <f>IFERROR(ROUND(VLOOKUP($A27,'1. Calculo PERT'!$A:$K,11,FALSE()),0),0)</f>
        <v>12</v>
      </c>
      <c r="G27" s="14" t="str">
        <f>IF(VLOOKUP($A27,'1. Calculo PERT'!$A:$N,14,FALSE())=0,"",VLOOKUP($A27,'1. Calculo PERT'!$A:$N,14,FALSE()))</f>
        <v>1.1.1.2.2CC+2</v>
      </c>
      <c r="H27" s="7">
        <f>MAX(0,$H$26+2)</f>
        <v>45</v>
      </c>
      <c r="I27" s="7">
        <f t="shared" si="0"/>
        <v>57</v>
      </c>
      <c r="J27" s="7">
        <f>MIN($J$63,$T$1)-$F27</f>
        <v>252</v>
      </c>
      <c r="K27" s="7">
        <f t="shared" si="1"/>
        <v>264</v>
      </c>
      <c r="L27" s="7">
        <f t="shared" si="2"/>
        <v>207</v>
      </c>
      <c r="M27" s="7" t="str">
        <f t="shared" si="3"/>
        <v>no</v>
      </c>
      <c r="N27" s="3">
        <f>'0. Parametros'!$B$3+H27</f>
        <v>45715</v>
      </c>
      <c r="O27" s="3">
        <f>'0. Parametros'!$B$3+I27-1</f>
        <v>45726</v>
      </c>
      <c r="P27" s="15">
        <f>IFERROR(VLOOKUP($A27,'1. Calculo PERT'!$A:$M,13,FALSE()),0)</f>
        <v>4.6944444444444438</v>
      </c>
      <c r="Q27" s="16">
        <f>IFERROR(VLOOKUP($A27,'1. Calculo PERT'!$A:$P,16,FALSE()),0)</f>
        <v>21953989</v>
      </c>
    </row>
    <row r="28" spans="1:17" x14ac:dyDescent="0.25">
      <c r="A28" s="7" t="s">
        <v>143</v>
      </c>
      <c r="B28" s="7" t="s">
        <v>144</v>
      </c>
      <c r="C28" s="7" t="s">
        <v>55</v>
      </c>
      <c r="D28" s="7" t="s">
        <v>60</v>
      </c>
      <c r="E28" s="7" t="s">
        <v>12</v>
      </c>
      <c r="F28" s="14">
        <f>IFERROR(ROUND(VLOOKUP($A28,'1. Calculo PERT'!$A:$K,11,FALSE()),0),0)</f>
        <v>17</v>
      </c>
      <c r="G28" s="14" t="str">
        <f>IF(VLOOKUP($A28,'1. Calculo PERT'!$A:$N,14,FALSE())=0,"",VLOOKUP($A28,'1. Calculo PERT'!$A:$N,14,FALSE()))</f>
        <v>1.1.2.1.2FC</v>
      </c>
      <c r="H28" s="7">
        <f>MAX(0,$I$17)</f>
        <v>46</v>
      </c>
      <c r="I28" s="7">
        <f t="shared" si="0"/>
        <v>63</v>
      </c>
      <c r="J28" s="7">
        <f>MIN($J$37,$J$63,$T$1)-$F28</f>
        <v>73</v>
      </c>
      <c r="K28" s="7">
        <f t="shared" si="1"/>
        <v>90</v>
      </c>
      <c r="L28" s="7">
        <f t="shared" si="2"/>
        <v>27</v>
      </c>
      <c r="M28" s="7" t="str">
        <f t="shared" si="3"/>
        <v>no</v>
      </c>
      <c r="N28" s="3">
        <f>'0. Parametros'!$B$3+H28</f>
        <v>45716</v>
      </c>
      <c r="O28" s="3">
        <f>'0. Parametros'!$B$3+I28-1</f>
        <v>45732</v>
      </c>
      <c r="P28" s="15">
        <f>IFERROR(VLOOKUP($A28,'1. Calculo PERT'!$A:$M,13,FALSE()),0)</f>
        <v>9</v>
      </c>
      <c r="Q28" s="16">
        <f>IFERROR(VLOOKUP($A28,'1. Calculo PERT'!$A:$P,16,FALSE()),0)</f>
        <v>35126382</v>
      </c>
    </row>
    <row r="29" spans="1:17" x14ac:dyDescent="0.25">
      <c r="A29" s="7" t="s">
        <v>148</v>
      </c>
      <c r="B29" s="7" t="s">
        <v>149</v>
      </c>
      <c r="C29" s="7" t="s">
        <v>90</v>
      </c>
      <c r="D29" s="7" t="s">
        <v>60</v>
      </c>
      <c r="E29" s="7" t="s">
        <v>12</v>
      </c>
      <c r="F29" s="14">
        <f>IFERROR(ROUND(VLOOKUP($A29,'1. Calculo PERT'!$A:$K,11,FALSE()),0),0)</f>
        <v>19</v>
      </c>
      <c r="G29" s="14" t="str">
        <f>IF(VLOOKUP($A29,'1. Calculo PERT'!$A:$N,14,FALSE())=0,"",VLOOKUP($A29,'1. Calculo PERT'!$A:$N,14,FALSE()))</f>
        <v>1.1.2.1.2FC</v>
      </c>
      <c r="H29" s="7">
        <f>MAX(0,$I$17)</f>
        <v>46</v>
      </c>
      <c r="I29" s="7">
        <f t="shared" si="0"/>
        <v>65</v>
      </c>
      <c r="J29" s="7">
        <f>MIN($J$63,$T$1)-$F29</f>
        <v>245</v>
      </c>
      <c r="K29" s="7">
        <f t="shared" si="1"/>
        <v>264</v>
      </c>
      <c r="L29" s="7">
        <f t="shared" si="2"/>
        <v>199</v>
      </c>
      <c r="M29" s="7" t="str">
        <f t="shared" si="3"/>
        <v>no</v>
      </c>
      <c r="N29" s="3">
        <f>'0. Parametros'!$B$3+H29</f>
        <v>45716</v>
      </c>
      <c r="O29" s="3">
        <f>'0. Parametros'!$B$3+I29-1</f>
        <v>45734</v>
      </c>
      <c r="P29" s="15">
        <f>IFERROR(VLOOKUP($A29,'1. Calculo PERT'!$A:$M,13,FALSE()),0)</f>
        <v>12.25</v>
      </c>
      <c r="Q29" s="16">
        <f>IFERROR(VLOOKUP($A29,'1. Calculo PERT'!$A:$P,16,FALSE()),0)</f>
        <v>39517180</v>
      </c>
    </row>
    <row r="30" spans="1:17" x14ac:dyDescent="0.25">
      <c r="A30" s="7" t="s">
        <v>189</v>
      </c>
      <c r="B30" s="7" t="s">
        <v>190</v>
      </c>
      <c r="C30" s="7" t="s">
        <v>90</v>
      </c>
      <c r="D30" s="7" t="s">
        <v>174</v>
      </c>
      <c r="E30" s="7" t="s">
        <v>12</v>
      </c>
      <c r="F30" s="14">
        <f>IFERROR(ROUND(VLOOKUP($A30,'1. Calculo PERT'!$A:$K,11,FALSE()),0),0)</f>
        <v>12</v>
      </c>
      <c r="G30" s="14" t="str">
        <f>IF(VLOOKUP($A30,'1. Calculo PERT'!$A:$N,14,FALSE())=0,"",VLOOKUP($A30,'1. Calculo PERT'!$A:$N,14,FALSE()))</f>
        <v>1.1.2.3.3FC</v>
      </c>
      <c r="H30" s="7">
        <f>MAX(0,$I$22)</f>
        <v>53</v>
      </c>
      <c r="I30" s="7">
        <f t="shared" si="0"/>
        <v>65</v>
      </c>
      <c r="J30" s="7">
        <f>MIN($J$144,$T$1)-$F30</f>
        <v>558</v>
      </c>
      <c r="K30" s="7">
        <f t="shared" si="1"/>
        <v>570</v>
      </c>
      <c r="L30" s="7">
        <f t="shared" si="2"/>
        <v>505</v>
      </c>
      <c r="M30" s="7" t="str">
        <f t="shared" si="3"/>
        <v>no</v>
      </c>
      <c r="N30" s="3">
        <f>'0. Parametros'!$B$3+H30</f>
        <v>45723</v>
      </c>
      <c r="O30" s="3">
        <f>'0. Parametros'!$B$3+I30-1</f>
        <v>45734</v>
      </c>
      <c r="P30" s="15">
        <f>IFERROR(VLOOKUP($A30,'1. Calculo PERT'!$A:$M,13,FALSE()),0)</f>
        <v>3.3611111111111107</v>
      </c>
      <c r="Q30" s="16">
        <f>IFERROR(VLOOKUP($A30,'1. Calculo PERT'!$A:$P,16,FALSE()),0)</f>
        <v>625535</v>
      </c>
    </row>
    <row r="31" spans="1:17" x14ac:dyDescent="0.25">
      <c r="A31" s="7" t="s">
        <v>98</v>
      </c>
      <c r="B31" s="7" t="s">
        <v>99</v>
      </c>
      <c r="C31" s="7" t="s">
        <v>90</v>
      </c>
      <c r="D31" s="7" t="s">
        <v>60</v>
      </c>
      <c r="E31" s="7" t="s">
        <v>12</v>
      </c>
      <c r="F31" s="14">
        <f>IFERROR(ROUND(VLOOKUP($A31,'1. Calculo PERT'!$A:$K,11,FALSE()),0),0)</f>
        <v>5</v>
      </c>
      <c r="G31" s="14" t="str">
        <f>IF(VLOOKUP($A31,'1. Calculo PERT'!$A:$N,14,FALSE())=0,"",VLOOKUP($A31,'1. Calculo PERT'!$A:$N,14,FALSE()))</f>
        <v>1.1.1.2.2FC</v>
      </c>
      <c r="H31" s="7">
        <f>MAX(0,$I$26)</f>
        <v>55</v>
      </c>
      <c r="I31" s="7">
        <f t="shared" si="0"/>
        <v>60</v>
      </c>
      <c r="J31" s="7">
        <f>MIN($J$63,$T$1)-$F31</f>
        <v>259</v>
      </c>
      <c r="K31" s="7">
        <f t="shared" si="1"/>
        <v>264</v>
      </c>
      <c r="L31" s="7">
        <f t="shared" si="2"/>
        <v>204</v>
      </c>
      <c r="M31" s="7" t="str">
        <f t="shared" si="3"/>
        <v>no</v>
      </c>
      <c r="N31" s="3">
        <f>'0. Parametros'!$B$3+H31</f>
        <v>45725</v>
      </c>
      <c r="O31" s="3">
        <f>'0. Parametros'!$B$3+I31-1</f>
        <v>45729</v>
      </c>
      <c r="P31" s="15">
        <f>IFERROR(VLOOKUP($A31,'1. Calculo PERT'!$A:$M,13,FALSE()),0)</f>
        <v>0.69444444444444453</v>
      </c>
      <c r="Q31" s="16">
        <f>IFERROR(VLOOKUP($A31,'1. Calculo PERT'!$A:$P,16,FALSE()),0)</f>
        <v>13172393</v>
      </c>
    </row>
    <row r="32" spans="1:17" x14ac:dyDescent="0.25">
      <c r="A32" s="7" t="s">
        <v>78</v>
      </c>
      <c r="B32" s="7" t="s">
        <v>79</v>
      </c>
      <c r="C32" s="7" t="s">
        <v>55</v>
      </c>
      <c r="D32" s="7" t="s">
        <v>60</v>
      </c>
      <c r="E32" s="7" t="s">
        <v>12</v>
      </c>
      <c r="F32" s="14">
        <f>IFERROR(ROUND(VLOOKUP($A32,'1. Calculo PERT'!$A:$K,11,FALSE()),0),0)</f>
        <v>15</v>
      </c>
      <c r="G32" s="14" t="str">
        <f>IF(VLOOKUP($A32,'1. Calculo PERT'!$A:$N,14,FALSE())=0,"",VLOOKUP($A32,'1. Calculo PERT'!$A:$N,14,FALSE()))</f>
        <v>1.1.1.1.2FC</v>
      </c>
      <c r="H32" s="7">
        <f>MAX(0,$I$20)</f>
        <v>60</v>
      </c>
      <c r="I32" s="7">
        <f t="shared" si="0"/>
        <v>75</v>
      </c>
      <c r="J32" s="7">
        <f>MIN($J$36,$T$1)-$F32</f>
        <v>69</v>
      </c>
      <c r="K32" s="7">
        <f t="shared" si="1"/>
        <v>84</v>
      </c>
      <c r="L32" s="7">
        <f t="shared" si="2"/>
        <v>9</v>
      </c>
      <c r="M32" s="7" t="str">
        <f t="shared" si="3"/>
        <v>no</v>
      </c>
      <c r="N32" s="3">
        <f>'0. Parametros'!$B$3+H32</f>
        <v>45730</v>
      </c>
      <c r="O32" s="3">
        <f>'0. Parametros'!$B$3+I32-1</f>
        <v>45744</v>
      </c>
      <c r="P32" s="15">
        <f>IFERROR(VLOOKUP($A32,'1. Calculo PERT'!$A:$M,13,FALSE()),0)</f>
        <v>4.6944444444444438</v>
      </c>
      <c r="Q32" s="16">
        <f>IFERROR(VLOOKUP($A32,'1. Calculo PERT'!$A:$P,16,FALSE()),0)</f>
        <v>30735585</v>
      </c>
    </row>
    <row r="33" spans="1:17" x14ac:dyDescent="0.25">
      <c r="A33" s="7" t="s">
        <v>73</v>
      </c>
      <c r="B33" s="7" t="s">
        <v>74</v>
      </c>
      <c r="C33" s="7" t="s">
        <v>55</v>
      </c>
      <c r="D33" s="7" t="s">
        <v>60</v>
      </c>
      <c r="E33" s="7" t="s">
        <v>12</v>
      </c>
      <c r="F33" s="14">
        <f>IFERROR(ROUND(VLOOKUP($A33,'1. Calculo PERT'!$A:$K,11,FALSE()),0),0)</f>
        <v>24</v>
      </c>
      <c r="G33" s="14" t="str">
        <f>IF(VLOOKUP($A33,'1. Calculo PERT'!$A:$N,14,FALSE())=0,"",VLOOKUP($A33,'1. Calculo PERT'!$A:$N,14,FALSE()))</f>
        <v>1.1.1.1.2FC</v>
      </c>
      <c r="H33" s="7">
        <f>MAX(0,$I$20)</f>
        <v>60</v>
      </c>
      <c r="I33" s="7">
        <f t="shared" si="0"/>
        <v>84</v>
      </c>
      <c r="J33" s="7">
        <f>MIN($J$36,$T$1)-$F33</f>
        <v>60</v>
      </c>
      <c r="K33" s="7">
        <f t="shared" si="1"/>
        <v>84</v>
      </c>
      <c r="L33" s="7">
        <f t="shared" si="2"/>
        <v>0</v>
      </c>
      <c r="M33" s="7" t="str">
        <f t="shared" si="3"/>
        <v>SI</v>
      </c>
      <c r="N33" s="3">
        <f>'0. Parametros'!$B$3+H33</f>
        <v>45730</v>
      </c>
      <c r="O33" s="3">
        <f>'0. Parametros'!$B$3+I33-1</f>
        <v>45753</v>
      </c>
      <c r="P33" s="15">
        <f>IFERROR(VLOOKUP($A33,'1. Calculo PERT'!$A:$M,13,FALSE()),0)</f>
        <v>18.777777777777775</v>
      </c>
      <c r="Q33" s="16">
        <f>IFERROR(VLOOKUP($A33,'1. Calculo PERT'!$A:$P,16,FALSE()),0)</f>
        <v>48298776</v>
      </c>
    </row>
    <row r="34" spans="1:17" x14ac:dyDescent="0.25">
      <c r="A34" s="7" t="s">
        <v>162</v>
      </c>
      <c r="B34" s="7" t="s">
        <v>163</v>
      </c>
      <c r="C34" s="7" t="s">
        <v>90</v>
      </c>
      <c r="D34" s="7" t="s">
        <v>153</v>
      </c>
      <c r="E34" s="7" t="s">
        <v>12</v>
      </c>
      <c r="F34" s="14">
        <f>IFERROR(ROUND(VLOOKUP($A34,'1. Calculo PERT'!$A:$K,11,FALSE()),0),0)</f>
        <v>12</v>
      </c>
      <c r="G34" s="14" t="str">
        <f>IF(VLOOKUP($A34,'1. Calculo PERT'!$A:$N,14,FALSE())=0,"",VLOOKUP($A34,'1. Calculo PERT'!$A:$N,14,FALSE()))</f>
        <v>1.1.2.2.2FC</v>
      </c>
      <c r="H34" s="7">
        <f>MAX(0,$I$23)</f>
        <v>62</v>
      </c>
      <c r="I34" s="7">
        <f t="shared" si="0"/>
        <v>74</v>
      </c>
      <c r="J34" s="7">
        <f>MIN(MIN($J$37,$J$63,$T$1)-$F34,$J$35-2)</f>
        <v>78</v>
      </c>
      <c r="K34" s="7">
        <f t="shared" si="1"/>
        <v>90</v>
      </c>
      <c r="L34" s="7">
        <f t="shared" si="2"/>
        <v>16</v>
      </c>
      <c r="M34" s="7" t="str">
        <f t="shared" si="3"/>
        <v>no</v>
      </c>
      <c r="N34" s="3">
        <f>'0. Parametros'!$B$3+H34</f>
        <v>45732</v>
      </c>
      <c r="O34" s="3">
        <f>'0. Parametros'!$B$3+I34-1</f>
        <v>45743</v>
      </c>
      <c r="P34" s="15">
        <f>IFERROR(VLOOKUP($A34,'1. Calculo PERT'!$A:$M,13,FALSE()),0)</f>
        <v>3.3611111111111107</v>
      </c>
      <c r="Q34" s="16">
        <f>IFERROR(VLOOKUP($A34,'1. Calculo PERT'!$A:$P,16,FALSE()),0)</f>
        <v>21953989</v>
      </c>
    </row>
    <row r="35" spans="1:17" x14ac:dyDescent="0.25">
      <c r="A35" s="7" t="s">
        <v>167</v>
      </c>
      <c r="B35" s="7" t="s">
        <v>168</v>
      </c>
      <c r="C35" s="7" t="s">
        <v>90</v>
      </c>
      <c r="D35" s="7" t="s">
        <v>153</v>
      </c>
      <c r="E35" s="7" t="s">
        <v>12</v>
      </c>
      <c r="F35" s="14">
        <f>IFERROR(ROUND(VLOOKUP($A35,'1. Calculo PERT'!$A:$K,11,FALSE()),0),0)</f>
        <v>12</v>
      </c>
      <c r="G35" s="14" t="str">
        <f>IF(VLOOKUP($A35,'1. Calculo PERT'!$A:$N,14,FALSE())=0,"",VLOOKUP($A35,'1. Calculo PERT'!$A:$N,14,FALSE()))</f>
        <v>1.1.2.2.3CC+2</v>
      </c>
      <c r="H35" s="7">
        <f>MAX(0,$H$34+2)</f>
        <v>64</v>
      </c>
      <c r="I35" s="7">
        <f t="shared" si="0"/>
        <v>76</v>
      </c>
      <c r="J35" s="7">
        <f>MIN($J$63,$T$1)-$F35</f>
        <v>252</v>
      </c>
      <c r="K35" s="7">
        <f t="shared" si="1"/>
        <v>264</v>
      </c>
      <c r="L35" s="7">
        <f t="shared" si="2"/>
        <v>188</v>
      </c>
      <c r="M35" s="7" t="str">
        <f t="shared" si="3"/>
        <v>no</v>
      </c>
      <c r="N35" s="3">
        <f>'0. Parametros'!$B$3+H35</f>
        <v>45734</v>
      </c>
      <c r="O35" s="3">
        <f>'0. Parametros'!$B$3+I35-1</f>
        <v>45745</v>
      </c>
      <c r="P35" s="15">
        <f>IFERROR(VLOOKUP($A35,'1. Calculo PERT'!$A:$M,13,FALSE()),0)</f>
        <v>3.3611111111111107</v>
      </c>
      <c r="Q35" s="16">
        <f>IFERROR(VLOOKUP($A35,'1. Calculo PERT'!$A:$P,16,FALSE()),0)</f>
        <v>21953989</v>
      </c>
    </row>
    <row r="36" spans="1:17" x14ac:dyDescent="0.25">
      <c r="A36" s="7" t="s">
        <v>81</v>
      </c>
      <c r="B36" s="7" t="s">
        <v>82</v>
      </c>
      <c r="C36" s="7" t="s">
        <v>55</v>
      </c>
      <c r="D36" s="7" t="s">
        <v>60</v>
      </c>
      <c r="E36" s="7" t="s">
        <v>12</v>
      </c>
      <c r="F36" s="14">
        <f>IFERROR(ROUND(VLOOKUP($A36,'1. Calculo PERT'!$A:$K,11,FALSE()),0),0)</f>
        <v>6</v>
      </c>
      <c r="G36" s="14" t="str">
        <f>IF(VLOOKUP($A36,'1. Calculo PERT'!$A:$N,14,FALSE())=0,"",VLOOKUP($A36,'1. Calculo PERT'!$A:$N,14,FALSE()))</f>
        <v>1.1.1.1.3FC, 1.1.1.1.4FC</v>
      </c>
      <c r="H36" s="7">
        <f>MAX(0,$I$33,$I$32)</f>
        <v>84</v>
      </c>
      <c r="I36" s="7">
        <f t="shared" si="0"/>
        <v>90</v>
      </c>
      <c r="J36" s="7">
        <f>MIN($J$37,$J$63,$T$1)-$F36</f>
        <v>84</v>
      </c>
      <c r="K36" s="7">
        <f t="shared" si="1"/>
        <v>90</v>
      </c>
      <c r="L36" s="7">
        <f t="shared" si="2"/>
        <v>0</v>
      </c>
      <c r="M36" s="7" t="str">
        <f t="shared" si="3"/>
        <v>SI</v>
      </c>
      <c r="N36" s="3">
        <f>'0. Parametros'!$B$3+H36</f>
        <v>45754</v>
      </c>
      <c r="O36" s="3">
        <f>'0. Parametros'!$B$3+I36-1</f>
        <v>45759</v>
      </c>
      <c r="P36" s="15">
        <f>IFERROR(VLOOKUP($A36,'1. Calculo PERT'!$A:$M,13,FALSE()),0)</f>
        <v>1.3611111111111114</v>
      </c>
      <c r="Q36" s="16">
        <f>IFERROR(VLOOKUP($A36,'1. Calculo PERT'!$A:$P,16,FALSE()),0)</f>
        <v>17563191</v>
      </c>
    </row>
    <row r="37" spans="1:17" x14ac:dyDescent="0.25">
      <c r="A37" s="7" t="s">
        <v>224</v>
      </c>
      <c r="B37" s="7" t="s">
        <v>225</v>
      </c>
      <c r="C37" s="7" t="s">
        <v>90</v>
      </c>
      <c r="D37" s="7" t="s">
        <v>221</v>
      </c>
      <c r="E37" s="7" t="s">
        <v>13</v>
      </c>
      <c r="F37" s="14">
        <f>IFERROR(ROUND(VLOOKUP($A37,'1. Calculo PERT'!$A:$K,11,FALSE()),0),0)</f>
        <v>21</v>
      </c>
      <c r="G37" s="14" t="str">
        <f>IF(VLOOKUP($A37,'1. Calculo PERT'!$A:$N,14,FALSE())=0,"",VLOOKUP($A37,'1. Calculo PERT'!$A:$N,14,FALSE()))</f>
        <v>1.1.1.1.5FC, 1.1.2.1.3FC, 1.1.2.2.3FC, 1.1.2.4.4FC</v>
      </c>
      <c r="H37" s="7">
        <f>MAX(0,$I$36,$I$28,$I$34,$I$18)</f>
        <v>90</v>
      </c>
      <c r="I37" s="7">
        <f t="shared" ref="I37:I68" si="5">H37+F37</f>
        <v>111</v>
      </c>
      <c r="J37" s="7">
        <f>MIN($J$39,$J$38,$T$1)-$F37</f>
        <v>90</v>
      </c>
      <c r="K37" s="7">
        <f t="shared" ref="K37:K68" si="6">J37+F37</f>
        <v>111</v>
      </c>
      <c r="L37" s="7">
        <f t="shared" ref="L37:L68" si="7">J37-H37</f>
        <v>0</v>
      </c>
      <c r="M37" s="7" t="str">
        <f t="shared" ref="M37:M68" si="8">IF(L37=0,"SI","no")</f>
        <v>SI</v>
      </c>
      <c r="N37" s="3">
        <f>'0. Parametros'!$B$3+H37</f>
        <v>45760</v>
      </c>
      <c r="O37" s="3">
        <f>'0. Parametros'!$B$3+I37-1</f>
        <v>45780</v>
      </c>
      <c r="P37" s="15">
        <f>IFERROR(VLOOKUP($A37,'1. Calculo PERT'!$A:$M,13,FALSE()),0)</f>
        <v>10.027777777777777</v>
      </c>
      <c r="Q37" s="16">
        <f>IFERROR(VLOOKUP($A37,'1. Calculo PERT'!$A:$P,16,FALSE()),0)</f>
        <v>48298776</v>
      </c>
    </row>
    <row r="38" spans="1:17" x14ac:dyDescent="0.25">
      <c r="A38" s="7" t="s">
        <v>242</v>
      </c>
      <c r="B38" s="7" t="s">
        <v>243</v>
      </c>
      <c r="C38" s="7" t="s">
        <v>90</v>
      </c>
      <c r="D38" s="7" t="s">
        <v>221</v>
      </c>
      <c r="E38" s="7" t="s">
        <v>13</v>
      </c>
      <c r="F38" s="14">
        <f>IFERROR(ROUND(VLOOKUP($A38,'1. Calculo PERT'!$A:$K,11,FALSE()),0),0)</f>
        <v>13</v>
      </c>
      <c r="G38" s="14" t="str">
        <f>IF(VLOOKUP($A38,'1. Calculo PERT'!$A:$N,14,FALSE())=0,"",VLOOKUP($A38,'1. Calculo PERT'!$A:$N,14,FALSE()))</f>
        <v>1.2.1.1.1FC</v>
      </c>
      <c r="H38" s="7">
        <f>MAX(0,$I$37)</f>
        <v>111</v>
      </c>
      <c r="I38" s="7">
        <f t="shared" si="5"/>
        <v>124</v>
      </c>
      <c r="J38" s="7">
        <f>MIN($J$63,$T$1)-$F38</f>
        <v>251</v>
      </c>
      <c r="K38" s="7">
        <f t="shared" si="6"/>
        <v>264</v>
      </c>
      <c r="L38" s="7">
        <f t="shared" si="7"/>
        <v>140</v>
      </c>
      <c r="M38" s="7" t="str">
        <f t="shared" si="8"/>
        <v>no</v>
      </c>
      <c r="N38" s="3">
        <f>'0. Parametros'!$B$3+H38</f>
        <v>45781</v>
      </c>
      <c r="O38" s="3">
        <f>'0. Parametros'!$B$3+I38-1</f>
        <v>45793</v>
      </c>
      <c r="P38" s="15">
        <f>IFERROR(VLOOKUP($A38,'1. Calculo PERT'!$A:$M,13,FALSE()),0)</f>
        <v>4</v>
      </c>
      <c r="Q38" s="16">
        <f>IFERROR(VLOOKUP($A38,'1. Calculo PERT'!$A:$P,16,FALSE()),0)</f>
        <v>30735585</v>
      </c>
    </row>
    <row r="39" spans="1:17" x14ac:dyDescent="0.25">
      <c r="A39" s="7" t="s">
        <v>229</v>
      </c>
      <c r="B39" s="7" t="s">
        <v>230</v>
      </c>
      <c r="C39" s="7" t="s">
        <v>90</v>
      </c>
      <c r="D39" s="7" t="s">
        <v>221</v>
      </c>
      <c r="E39" s="7" t="s">
        <v>13</v>
      </c>
      <c r="F39" s="14">
        <f>IFERROR(ROUND(VLOOKUP($A39,'1. Calculo PERT'!$A:$K,11,FALSE()),0),0)</f>
        <v>19</v>
      </c>
      <c r="G39" s="14" t="str">
        <f>IF(VLOOKUP($A39,'1. Calculo PERT'!$A:$N,14,FALSE())=0,"",VLOOKUP($A39,'1. Calculo PERT'!$A:$N,14,FALSE()))</f>
        <v>1.2.1.1.1FC</v>
      </c>
      <c r="H39" s="7">
        <f>MAX(0,$I$37)</f>
        <v>111</v>
      </c>
      <c r="I39" s="7">
        <f t="shared" si="5"/>
        <v>130</v>
      </c>
      <c r="J39" s="7">
        <f>MIN($J$41,$J$40,$T$1)-$F39</f>
        <v>111</v>
      </c>
      <c r="K39" s="7">
        <f t="shared" si="6"/>
        <v>130</v>
      </c>
      <c r="L39" s="7">
        <f t="shared" si="7"/>
        <v>0</v>
      </c>
      <c r="M39" s="7" t="str">
        <f t="shared" si="8"/>
        <v>SI</v>
      </c>
      <c r="N39" s="3">
        <f>'0. Parametros'!$B$3+H39</f>
        <v>45781</v>
      </c>
      <c r="O39" s="3">
        <f>'0. Parametros'!$B$3+I39-1</f>
        <v>45799</v>
      </c>
      <c r="P39" s="15">
        <f>IFERROR(VLOOKUP($A39,'1. Calculo PERT'!$A:$M,13,FALSE()),0)</f>
        <v>8.0277777777777786</v>
      </c>
      <c r="Q39" s="16">
        <f>IFERROR(VLOOKUP($A39,'1. Calculo PERT'!$A:$P,16,FALSE()),0)</f>
        <v>43907978</v>
      </c>
    </row>
    <row r="40" spans="1:17" x14ac:dyDescent="0.25">
      <c r="A40" s="7" t="s">
        <v>239</v>
      </c>
      <c r="B40" s="7" t="s">
        <v>240</v>
      </c>
      <c r="C40" s="7" t="s">
        <v>90</v>
      </c>
      <c r="D40" s="7" t="s">
        <v>221</v>
      </c>
      <c r="E40" s="7" t="s">
        <v>13</v>
      </c>
      <c r="F40" s="14">
        <f>IFERROR(ROUND(VLOOKUP($A40,'1. Calculo PERT'!$A:$K,11,FALSE()),0),0)</f>
        <v>13</v>
      </c>
      <c r="G40" s="14" t="str">
        <f>IF(VLOOKUP($A40,'1. Calculo PERT'!$A:$N,14,FALSE())=0,"",VLOOKUP($A40,'1. Calculo PERT'!$A:$N,14,FALSE()))</f>
        <v>1.2.1.1.2FC</v>
      </c>
      <c r="H40" s="7">
        <f>MAX(0,$I$39)</f>
        <v>130</v>
      </c>
      <c r="I40" s="7">
        <f t="shared" si="5"/>
        <v>143</v>
      </c>
      <c r="J40" s="7">
        <f>MIN($J$63,$T$1)-$F40</f>
        <v>251</v>
      </c>
      <c r="K40" s="7">
        <f t="shared" si="6"/>
        <v>264</v>
      </c>
      <c r="L40" s="7">
        <f t="shared" si="7"/>
        <v>121</v>
      </c>
      <c r="M40" s="7" t="str">
        <f t="shared" si="8"/>
        <v>no</v>
      </c>
      <c r="N40" s="3">
        <f>'0. Parametros'!$B$3+H40</f>
        <v>45800</v>
      </c>
      <c r="O40" s="3">
        <f>'0. Parametros'!$B$3+I40-1</f>
        <v>45812</v>
      </c>
      <c r="P40" s="15">
        <f>IFERROR(VLOOKUP($A40,'1. Calculo PERT'!$A:$M,13,FALSE()),0)</f>
        <v>4</v>
      </c>
      <c r="Q40" s="16">
        <f>IFERROR(VLOOKUP($A40,'1. Calculo PERT'!$A:$P,16,FALSE()),0)</f>
        <v>30735585</v>
      </c>
    </row>
    <row r="41" spans="1:17" x14ac:dyDescent="0.25">
      <c r="A41" s="7" t="s">
        <v>234</v>
      </c>
      <c r="B41" s="7" t="s">
        <v>235</v>
      </c>
      <c r="C41" s="7" t="s">
        <v>90</v>
      </c>
      <c r="D41" s="7" t="s">
        <v>221</v>
      </c>
      <c r="E41" s="7" t="s">
        <v>13</v>
      </c>
      <c r="F41" s="14">
        <f>IFERROR(ROUND(VLOOKUP($A41,'1. Calculo PERT'!$A:$K,11,FALSE()),0),0)</f>
        <v>19</v>
      </c>
      <c r="G41" s="14" t="str">
        <f>IF(VLOOKUP($A41,'1. Calculo PERT'!$A:$N,14,FALSE())=0,"",VLOOKUP($A41,'1. Calculo PERT'!$A:$N,14,FALSE()))</f>
        <v>1.2.1.1.2FC</v>
      </c>
      <c r="H41" s="7">
        <f>MAX(0,$I$39)</f>
        <v>130</v>
      </c>
      <c r="I41" s="7">
        <f t="shared" si="5"/>
        <v>149</v>
      </c>
      <c r="J41" s="7">
        <f>MIN($J$42,$J$43,$T$1)-$F41</f>
        <v>130</v>
      </c>
      <c r="K41" s="7">
        <f t="shared" si="6"/>
        <v>149</v>
      </c>
      <c r="L41" s="7">
        <f t="shared" si="7"/>
        <v>0</v>
      </c>
      <c r="M41" s="7" t="str">
        <f t="shared" si="8"/>
        <v>SI</v>
      </c>
      <c r="N41" s="3">
        <f>'0. Parametros'!$B$3+H41</f>
        <v>45800</v>
      </c>
      <c r="O41" s="3">
        <f>'0. Parametros'!$B$3+I41-1</f>
        <v>45818</v>
      </c>
      <c r="P41" s="15">
        <f>IFERROR(VLOOKUP($A41,'1. Calculo PERT'!$A:$M,13,FALSE()),0)</f>
        <v>6.25</v>
      </c>
      <c r="Q41" s="16">
        <f>IFERROR(VLOOKUP($A41,'1. Calculo PERT'!$A:$P,16,FALSE()),0)</f>
        <v>43907978</v>
      </c>
    </row>
    <row r="42" spans="1:17" x14ac:dyDescent="0.25">
      <c r="A42" s="7" t="s">
        <v>247</v>
      </c>
      <c r="B42" s="7" t="s">
        <v>248</v>
      </c>
      <c r="C42" s="7" t="s">
        <v>55</v>
      </c>
      <c r="D42" s="7" t="s">
        <v>221</v>
      </c>
      <c r="E42" s="7" t="s">
        <v>13</v>
      </c>
      <c r="F42" s="14">
        <f>IFERROR(ROUND(VLOOKUP($A42,'1. Calculo PERT'!$A:$K,11,FALSE()),0),0)</f>
        <v>17</v>
      </c>
      <c r="G42" s="14" t="str">
        <f>IF(VLOOKUP($A42,'1. Calculo PERT'!$A:$N,14,FALSE())=0,"",VLOOKUP($A42,'1. Calculo PERT'!$A:$N,14,FALSE()))</f>
        <v>1.2.1.1.3FC</v>
      </c>
      <c r="H42" s="7">
        <f>MAX(0,$I$41)</f>
        <v>149</v>
      </c>
      <c r="I42" s="7">
        <f t="shared" si="5"/>
        <v>166</v>
      </c>
      <c r="J42" s="7">
        <f>MIN($J$44,$T$1)-$F42</f>
        <v>149</v>
      </c>
      <c r="K42" s="7">
        <f t="shared" si="6"/>
        <v>166</v>
      </c>
      <c r="L42" s="7">
        <f t="shared" si="7"/>
        <v>0</v>
      </c>
      <c r="M42" s="7" t="str">
        <f t="shared" si="8"/>
        <v>SI</v>
      </c>
      <c r="N42" s="3">
        <f>'0. Parametros'!$B$3+H42</f>
        <v>45819</v>
      </c>
      <c r="O42" s="3">
        <f>'0. Parametros'!$B$3+I42-1</f>
        <v>45835</v>
      </c>
      <c r="P42" s="15">
        <f>IFERROR(VLOOKUP($A42,'1. Calculo PERT'!$A:$M,13,FALSE()),0)</f>
        <v>6.25</v>
      </c>
      <c r="Q42" s="16">
        <f>IFERROR(VLOOKUP($A42,'1. Calculo PERT'!$A:$P,16,FALSE()),0)</f>
        <v>39517180</v>
      </c>
    </row>
    <row r="43" spans="1:17" x14ac:dyDescent="0.25">
      <c r="A43" s="7" t="s">
        <v>274</v>
      </c>
      <c r="B43" s="7" t="s">
        <v>275</v>
      </c>
      <c r="C43" s="7" t="s">
        <v>90</v>
      </c>
      <c r="D43" s="7" t="s">
        <v>221</v>
      </c>
      <c r="E43" s="7" t="s">
        <v>13</v>
      </c>
      <c r="F43" s="14">
        <f>IFERROR(ROUND(VLOOKUP($A43,'1. Calculo PERT'!$A:$K,11,FALSE()),0),0)</f>
        <v>19</v>
      </c>
      <c r="G43" s="14" t="str">
        <f>IF(VLOOKUP($A43,'1. Calculo PERT'!$A:$N,14,FALSE())=0,"",VLOOKUP($A43,'1. Calculo PERT'!$A:$N,14,FALSE()))</f>
        <v>1.2.1.1.3FC</v>
      </c>
      <c r="H43" s="7">
        <f>MAX(0,$I$41)</f>
        <v>149</v>
      </c>
      <c r="I43" s="7">
        <f t="shared" si="5"/>
        <v>168</v>
      </c>
      <c r="J43" s="7">
        <f>MIN($J$45,$T$1)-$F43</f>
        <v>156</v>
      </c>
      <c r="K43" s="7">
        <f t="shared" si="6"/>
        <v>175</v>
      </c>
      <c r="L43" s="7">
        <f t="shared" si="7"/>
        <v>7</v>
      </c>
      <c r="M43" s="7" t="str">
        <f t="shared" si="8"/>
        <v>no</v>
      </c>
      <c r="N43" s="3">
        <f>'0. Parametros'!$B$3+H43</f>
        <v>45819</v>
      </c>
      <c r="O43" s="3">
        <f>'0. Parametros'!$B$3+I43-1</f>
        <v>45837</v>
      </c>
      <c r="P43" s="15">
        <f>IFERROR(VLOOKUP($A43,'1. Calculo PERT'!$A:$M,13,FALSE()),0)</f>
        <v>6.25</v>
      </c>
      <c r="Q43" s="16">
        <f>IFERROR(VLOOKUP($A43,'1. Calculo PERT'!$A:$P,16,FALSE()),0)</f>
        <v>43907978</v>
      </c>
    </row>
    <row r="44" spans="1:17" x14ac:dyDescent="0.25">
      <c r="A44" s="7" t="s">
        <v>252</v>
      </c>
      <c r="B44" s="7" t="s">
        <v>253</v>
      </c>
      <c r="C44" s="7" t="s">
        <v>55</v>
      </c>
      <c r="D44" s="7" t="s">
        <v>221</v>
      </c>
      <c r="E44" s="7" t="s">
        <v>13</v>
      </c>
      <c r="F44" s="14">
        <f>IFERROR(ROUND(VLOOKUP($A44,'1. Calculo PERT'!$A:$K,11,FALSE()),0),0)</f>
        <v>16</v>
      </c>
      <c r="G44" s="14" t="str">
        <f>IF(VLOOKUP($A44,'1. Calculo PERT'!$A:$N,14,FALSE())=0,"",VLOOKUP($A44,'1. Calculo PERT'!$A:$N,14,FALSE()))</f>
        <v>1.2.1.2.1FC</v>
      </c>
      <c r="H44" s="7">
        <f>MAX(0,$I$42)</f>
        <v>166</v>
      </c>
      <c r="I44" s="7">
        <f t="shared" si="5"/>
        <v>182</v>
      </c>
      <c r="J44" s="7">
        <f>MIN($J$47,$J$46,$T$1)-$F44</f>
        <v>166</v>
      </c>
      <c r="K44" s="7">
        <f t="shared" si="6"/>
        <v>182</v>
      </c>
      <c r="L44" s="7">
        <f t="shared" si="7"/>
        <v>0</v>
      </c>
      <c r="M44" s="7" t="str">
        <f t="shared" si="8"/>
        <v>SI</v>
      </c>
      <c r="N44" s="3">
        <f>'0. Parametros'!$B$3+H44</f>
        <v>45836</v>
      </c>
      <c r="O44" s="3">
        <f>'0. Parametros'!$B$3+I44-1</f>
        <v>45851</v>
      </c>
      <c r="P44" s="15">
        <f>IFERROR(VLOOKUP($A44,'1. Calculo PERT'!$A:$M,13,FALSE()),0)</f>
        <v>4.6944444444444438</v>
      </c>
      <c r="Q44" s="16">
        <f>IFERROR(VLOOKUP($A44,'1. Calculo PERT'!$A:$P,16,FALSE()),0)</f>
        <v>35126382</v>
      </c>
    </row>
    <row r="45" spans="1:17" x14ac:dyDescent="0.25">
      <c r="A45" s="7" t="s">
        <v>277</v>
      </c>
      <c r="B45" s="7" t="s">
        <v>278</v>
      </c>
      <c r="C45" s="7" t="s">
        <v>90</v>
      </c>
      <c r="D45" s="7" t="s">
        <v>221</v>
      </c>
      <c r="E45" s="7" t="s">
        <v>13</v>
      </c>
      <c r="F45" s="14">
        <f>IFERROR(ROUND(VLOOKUP($A45,'1. Calculo PERT'!$A:$K,11,FALSE()),0),0)</f>
        <v>16</v>
      </c>
      <c r="G45" s="14" t="str">
        <f>IF(VLOOKUP($A45,'1. Calculo PERT'!$A:$N,14,FALSE())=0,"",VLOOKUP($A45,'1. Calculo PERT'!$A:$N,14,FALSE()))</f>
        <v>1.2.2.1.1FC</v>
      </c>
      <c r="H45" s="7">
        <f>MAX(0,$I$43)</f>
        <v>168</v>
      </c>
      <c r="I45" s="7">
        <f t="shared" si="5"/>
        <v>184</v>
      </c>
      <c r="J45" s="7">
        <f>MIN($J$48,$J$49,$T$1)-$F45</f>
        <v>175</v>
      </c>
      <c r="K45" s="7">
        <f t="shared" si="6"/>
        <v>191</v>
      </c>
      <c r="L45" s="7">
        <f t="shared" si="7"/>
        <v>7</v>
      </c>
      <c r="M45" s="7" t="str">
        <f t="shared" si="8"/>
        <v>no</v>
      </c>
      <c r="N45" s="3">
        <f>'0. Parametros'!$B$3+H45</f>
        <v>45838</v>
      </c>
      <c r="O45" s="3">
        <f>'0. Parametros'!$B$3+I45-1</f>
        <v>45853</v>
      </c>
      <c r="P45" s="15">
        <f>IFERROR(VLOOKUP($A45,'1. Calculo PERT'!$A:$M,13,FALSE()),0)</f>
        <v>4.6944444444444438</v>
      </c>
      <c r="Q45" s="16">
        <f>IFERROR(VLOOKUP($A45,'1. Calculo PERT'!$A:$P,16,FALSE()),0)</f>
        <v>35126382</v>
      </c>
    </row>
    <row r="46" spans="1:17" x14ac:dyDescent="0.25">
      <c r="A46" s="7" t="s">
        <v>262</v>
      </c>
      <c r="B46" s="7" t="s">
        <v>263</v>
      </c>
      <c r="C46" s="7" t="s">
        <v>55</v>
      </c>
      <c r="D46" s="7" t="s">
        <v>221</v>
      </c>
      <c r="E46" s="7" t="s">
        <v>13</v>
      </c>
      <c r="F46" s="14">
        <f>IFERROR(ROUND(VLOOKUP($A46,'1. Calculo PERT'!$A:$K,11,FALSE()),0),0)</f>
        <v>10</v>
      </c>
      <c r="G46" s="14" t="str">
        <f>IF(VLOOKUP($A46,'1. Calculo PERT'!$A:$N,14,FALSE())=0,"",VLOOKUP($A46,'1. Calculo PERT'!$A:$N,14,FALSE()))</f>
        <v>1.2.1.2.2FC</v>
      </c>
      <c r="H46" s="7">
        <f>MAX(0,$I$44)</f>
        <v>182</v>
      </c>
      <c r="I46" s="7">
        <f t="shared" si="5"/>
        <v>192</v>
      </c>
      <c r="J46" s="7">
        <f>MIN($J$63,$T$1)-$F46</f>
        <v>254</v>
      </c>
      <c r="K46" s="7">
        <f t="shared" si="6"/>
        <v>264</v>
      </c>
      <c r="L46" s="7">
        <f t="shared" si="7"/>
        <v>72</v>
      </c>
      <c r="M46" s="7" t="str">
        <f t="shared" si="8"/>
        <v>no</v>
      </c>
      <c r="N46" s="3">
        <f>'0. Parametros'!$B$3+H46</f>
        <v>45852</v>
      </c>
      <c r="O46" s="3">
        <f>'0. Parametros'!$B$3+I46-1</f>
        <v>45861</v>
      </c>
      <c r="P46" s="15">
        <f>IFERROR(VLOOKUP($A46,'1. Calculo PERT'!$A:$M,13,FALSE()),0)</f>
        <v>2.7777777777777781</v>
      </c>
      <c r="Q46" s="16">
        <f>IFERROR(VLOOKUP($A46,'1. Calculo PERT'!$A:$P,16,FALSE()),0)</f>
        <v>21953989</v>
      </c>
    </row>
    <row r="47" spans="1:17" x14ac:dyDescent="0.25">
      <c r="A47" s="7" t="s">
        <v>257</v>
      </c>
      <c r="B47" s="7" t="s">
        <v>258</v>
      </c>
      <c r="C47" s="7" t="s">
        <v>55</v>
      </c>
      <c r="D47" s="7" t="s">
        <v>221</v>
      </c>
      <c r="E47" s="7" t="s">
        <v>13</v>
      </c>
      <c r="F47" s="14">
        <f>IFERROR(ROUND(VLOOKUP($A47,'1. Calculo PERT'!$A:$K,11,FALSE()),0),0)</f>
        <v>15</v>
      </c>
      <c r="G47" s="14" t="str">
        <f>IF(VLOOKUP($A47,'1. Calculo PERT'!$A:$N,14,FALSE())=0,"",VLOOKUP($A47,'1. Calculo PERT'!$A:$N,14,FALSE()))</f>
        <v>1.2.1.2.2FC</v>
      </c>
      <c r="H47" s="7">
        <f>MAX(0,$I$44)</f>
        <v>182</v>
      </c>
      <c r="I47" s="7">
        <f t="shared" si="5"/>
        <v>197</v>
      </c>
      <c r="J47" s="7">
        <f>MIN($J$52,$J$53,$J$54,$T$1)-$F47</f>
        <v>182</v>
      </c>
      <c r="K47" s="7">
        <f t="shared" si="6"/>
        <v>197</v>
      </c>
      <c r="L47" s="7">
        <f t="shared" si="7"/>
        <v>0</v>
      </c>
      <c r="M47" s="7" t="str">
        <f t="shared" si="8"/>
        <v>SI</v>
      </c>
      <c r="N47" s="3">
        <f>'0. Parametros'!$B$3+H47</f>
        <v>45852</v>
      </c>
      <c r="O47" s="3">
        <f>'0. Parametros'!$B$3+I47-1</f>
        <v>45866</v>
      </c>
      <c r="P47" s="15">
        <f>IFERROR(VLOOKUP($A47,'1. Calculo PERT'!$A:$M,13,FALSE()),0)</f>
        <v>6.25</v>
      </c>
      <c r="Q47" s="16">
        <f>IFERROR(VLOOKUP($A47,'1. Calculo PERT'!$A:$P,16,FALSE()),0)</f>
        <v>35126382</v>
      </c>
    </row>
    <row r="48" spans="1:17" x14ac:dyDescent="0.25">
      <c r="A48" s="7" t="s">
        <v>282</v>
      </c>
      <c r="B48" s="7" t="s">
        <v>283</v>
      </c>
      <c r="C48" s="7" t="s">
        <v>94</v>
      </c>
      <c r="D48" s="7" t="s">
        <v>221</v>
      </c>
      <c r="E48" s="7" t="s">
        <v>13</v>
      </c>
      <c r="F48" s="14">
        <f>IFERROR(ROUND(VLOOKUP($A48,'1. Calculo PERT'!$A:$K,11,FALSE()),0),0)</f>
        <v>11</v>
      </c>
      <c r="G48" s="14" t="str">
        <f>IF(VLOOKUP($A48,'1. Calculo PERT'!$A:$N,14,FALSE())=0,"",VLOOKUP($A48,'1. Calculo PERT'!$A:$N,14,FALSE()))</f>
        <v>1.2.2.1.2FC</v>
      </c>
      <c r="H48" s="7">
        <f>MAX(0,$I$45)</f>
        <v>184</v>
      </c>
      <c r="I48" s="7">
        <f t="shared" si="5"/>
        <v>195</v>
      </c>
      <c r="J48" s="7">
        <f>MIN($J$50,$J$51,$J$63,$T$1)-$F48</f>
        <v>191</v>
      </c>
      <c r="K48" s="7">
        <f t="shared" si="6"/>
        <v>202</v>
      </c>
      <c r="L48" s="7">
        <f t="shared" si="7"/>
        <v>7</v>
      </c>
      <c r="M48" s="7" t="str">
        <f t="shared" si="8"/>
        <v>no</v>
      </c>
      <c r="N48" s="3">
        <f>'0. Parametros'!$B$3+H48</f>
        <v>45854</v>
      </c>
      <c r="O48" s="3">
        <f>'0. Parametros'!$B$3+I48-1</f>
        <v>45864</v>
      </c>
      <c r="P48" s="15">
        <f>IFERROR(VLOOKUP($A48,'1. Calculo PERT'!$A:$M,13,FALSE()),0)</f>
        <v>4</v>
      </c>
      <c r="Q48" s="16">
        <f>IFERROR(VLOOKUP($A48,'1. Calculo PERT'!$A:$P,16,FALSE()),0)</f>
        <v>21953989</v>
      </c>
    </row>
    <row r="49" spans="1:17" x14ac:dyDescent="0.25">
      <c r="A49" s="7" t="s">
        <v>287</v>
      </c>
      <c r="B49" s="7" t="s">
        <v>288</v>
      </c>
      <c r="C49" s="7" t="s">
        <v>90</v>
      </c>
      <c r="D49" s="7" t="s">
        <v>221</v>
      </c>
      <c r="E49" s="7" t="s">
        <v>13</v>
      </c>
      <c r="F49" s="14">
        <f>IFERROR(ROUND(VLOOKUP($A49,'1. Calculo PERT'!$A:$K,11,FALSE()),0),0)</f>
        <v>12</v>
      </c>
      <c r="G49" s="14" t="str">
        <f>IF(VLOOKUP($A49,'1. Calculo PERT'!$A:$N,14,FALSE())=0,"",VLOOKUP($A49,'1. Calculo PERT'!$A:$N,14,FALSE()))</f>
        <v>1.2.2.1.2FC</v>
      </c>
      <c r="H49" s="7">
        <f>MAX(0,$I$45)</f>
        <v>184</v>
      </c>
      <c r="I49" s="7">
        <f t="shared" si="5"/>
        <v>196</v>
      </c>
      <c r="J49" s="7">
        <f>MIN($J$63,$T$1)-$F49</f>
        <v>252</v>
      </c>
      <c r="K49" s="7">
        <f t="shared" si="6"/>
        <v>264</v>
      </c>
      <c r="L49" s="7">
        <f t="shared" si="7"/>
        <v>68</v>
      </c>
      <c r="M49" s="7" t="str">
        <f t="shared" si="8"/>
        <v>no</v>
      </c>
      <c r="N49" s="3">
        <f>'0. Parametros'!$B$3+H49</f>
        <v>45854</v>
      </c>
      <c r="O49" s="3">
        <f>'0. Parametros'!$B$3+I49-1</f>
        <v>45865</v>
      </c>
      <c r="P49" s="15">
        <f>IFERROR(VLOOKUP($A49,'1. Calculo PERT'!$A:$M,13,FALSE()),0)</f>
        <v>2.7777777777777781</v>
      </c>
      <c r="Q49" s="16">
        <f>IFERROR(VLOOKUP($A49,'1. Calculo PERT'!$A:$P,16,FALSE()),0)</f>
        <v>26344787</v>
      </c>
    </row>
    <row r="50" spans="1:17" x14ac:dyDescent="0.25">
      <c r="A50" s="7" t="s">
        <v>290</v>
      </c>
      <c r="B50" s="7" t="s">
        <v>291</v>
      </c>
      <c r="C50" s="7" t="s">
        <v>55</v>
      </c>
      <c r="D50" s="7" t="s">
        <v>221</v>
      </c>
      <c r="E50" s="7" t="s">
        <v>13</v>
      </c>
      <c r="F50" s="14">
        <f>IFERROR(ROUND(VLOOKUP($A50,'1. Calculo PERT'!$A:$K,11,FALSE()),0),0)</f>
        <v>10</v>
      </c>
      <c r="G50" s="14" t="str">
        <f>IF(VLOOKUP($A50,'1. Calculo PERT'!$A:$N,14,FALSE())=0,"",VLOOKUP($A50,'1. Calculo PERT'!$A:$N,14,FALSE()))</f>
        <v>1.2.2.1.3FC</v>
      </c>
      <c r="H50" s="7">
        <f>MAX(0,$I$48)</f>
        <v>195</v>
      </c>
      <c r="I50" s="7">
        <f t="shared" si="5"/>
        <v>205</v>
      </c>
      <c r="J50" s="7">
        <f>MIN($J$63,$T$1)-$F50</f>
        <v>254</v>
      </c>
      <c r="K50" s="7">
        <f t="shared" si="6"/>
        <v>264</v>
      </c>
      <c r="L50" s="7">
        <f t="shared" si="7"/>
        <v>59</v>
      </c>
      <c r="M50" s="7" t="str">
        <f t="shared" si="8"/>
        <v>no</v>
      </c>
      <c r="N50" s="3">
        <f>'0. Parametros'!$B$3+H50</f>
        <v>45865</v>
      </c>
      <c r="O50" s="3">
        <f>'0. Parametros'!$B$3+I50-1</f>
        <v>45874</v>
      </c>
      <c r="P50" s="15">
        <f>IFERROR(VLOOKUP($A50,'1. Calculo PERT'!$A:$M,13,FALSE()),0)</f>
        <v>2.7777777777777781</v>
      </c>
      <c r="Q50" s="16">
        <f>IFERROR(VLOOKUP($A50,'1. Calculo PERT'!$A:$P,16,FALSE()),0)</f>
        <v>21953989</v>
      </c>
    </row>
    <row r="51" spans="1:17" x14ac:dyDescent="0.25">
      <c r="A51" s="7" t="s">
        <v>320</v>
      </c>
      <c r="B51" s="7" t="s">
        <v>321</v>
      </c>
      <c r="C51" s="7" t="s">
        <v>90</v>
      </c>
      <c r="D51" s="7" t="s">
        <v>221</v>
      </c>
      <c r="E51" s="7" t="s">
        <v>13</v>
      </c>
      <c r="F51" s="14">
        <f>IFERROR(ROUND(VLOOKUP($A51,'1. Calculo PERT'!$A:$K,11,FALSE()),0),0)</f>
        <v>19</v>
      </c>
      <c r="G51" s="14" t="str">
        <f>IF(VLOOKUP($A51,'1. Calculo PERT'!$A:$N,14,FALSE())=0,"",VLOOKUP($A51,'1. Calculo PERT'!$A:$N,14,FALSE()))</f>
        <v>1.2.2.1.3FC</v>
      </c>
      <c r="H51" s="7">
        <f>MAX(0,$I$48)</f>
        <v>195</v>
      </c>
      <c r="I51" s="7">
        <f t="shared" si="5"/>
        <v>214</v>
      </c>
      <c r="J51" s="7">
        <f>MIN($J$55,$T$1)-$F51</f>
        <v>202</v>
      </c>
      <c r="K51" s="7">
        <f t="shared" si="6"/>
        <v>221</v>
      </c>
      <c r="L51" s="7">
        <f t="shared" si="7"/>
        <v>7</v>
      </c>
      <c r="M51" s="7" t="str">
        <f t="shared" si="8"/>
        <v>no</v>
      </c>
      <c r="N51" s="3">
        <f>'0. Parametros'!$B$3+H51</f>
        <v>45865</v>
      </c>
      <c r="O51" s="3">
        <f>'0. Parametros'!$B$3+I51-1</f>
        <v>45883</v>
      </c>
      <c r="P51" s="15">
        <f>IFERROR(VLOOKUP($A51,'1. Calculo PERT'!$A:$M,13,FALSE()),0)</f>
        <v>8.0277777777777786</v>
      </c>
      <c r="Q51" s="16">
        <f>IFERROR(VLOOKUP($A51,'1. Calculo PERT'!$A:$P,16,FALSE()),0)</f>
        <v>43907978</v>
      </c>
    </row>
    <row r="52" spans="1:17" x14ac:dyDescent="0.25">
      <c r="A52" s="7" t="s">
        <v>265</v>
      </c>
      <c r="B52" s="7" t="s">
        <v>266</v>
      </c>
      <c r="C52" s="7" t="s">
        <v>55</v>
      </c>
      <c r="D52" s="7" t="s">
        <v>221</v>
      </c>
      <c r="E52" s="7" t="s">
        <v>13</v>
      </c>
      <c r="F52" s="14">
        <f>IFERROR(ROUND(VLOOKUP($A52,'1. Calculo PERT'!$A:$K,11,FALSE()),0),0)</f>
        <v>13</v>
      </c>
      <c r="G52" s="14" t="str">
        <f>IF(VLOOKUP($A52,'1. Calculo PERT'!$A:$N,14,FALSE())=0,"",VLOOKUP($A52,'1. Calculo PERT'!$A:$N,14,FALSE()))</f>
        <v>1.2.1.2.3FC</v>
      </c>
      <c r="H52" s="7">
        <f>MAX(0,$I$47)</f>
        <v>197</v>
      </c>
      <c r="I52" s="7">
        <f t="shared" si="5"/>
        <v>210</v>
      </c>
      <c r="J52" s="7">
        <f>MIN($J$63,$T$1)-$F52</f>
        <v>251</v>
      </c>
      <c r="K52" s="7">
        <f t="shared" si="6"/>
        <v>264</v>
      </c>
      <c r="L52" s="7">
        <f t="shared" si="7"/>
        <v>54</v>
      </c>
      <c r="M52" s="7" t="str">
        <f t="shared" si="8"/>
        <v>no</v>
      </c>
      <c r="N52" s="3">
        <f>'0. Parametros'!$B$3+H52</f>
        <v>45867</v>
      </c>
      <c r="O52" s="3">
        <f>'0. Parametros'!$B$3+I52-1</f>
        <v>45879</v>
      </c>
      <c r="P52" s="15">
        <f>IFERROR(VLOOKUP($A52,'1. Calculo PERT'!$A:$M,13,FALSE()),0)</f>
        <v>4</v>
      </c>
      <c r="Q52" s="16">
        <f>IFERROR(VLOOKUP($A52,'1. Calculo PERT'!$A:$P,16,FALSE()),0)</f>
        <v>30735585</v>
      </c>
    </row>
    <row r="53" spans="1:17" x14ac:dyDescent="0.25">
      <c r="A53" s="7" t="s">
        <v>297</v>
      </c>
      <c r="B53" s="7" t="s">
        <v>298</v>
      </c>
      <c r="C53" s="7" t="s">
        <v>90</v>
      </c>
      <c r="D53" s="7" t="s">
        <v>221</v>
      </c>
      <c r="E53" s="7" t="s">
        <v>13</v>
      </c>
      <c r="F53" s="14">
        <f>IFERROR(ROUND(VLOOKUP($A53,'1. Calculo PERT'!$A:$K,11,FALSE()),0),0)</f>
        <v>22</v>
      </c>
      <c r="G53" s="14" t="str">
        <f>IF(VLOOKUP($A53,'1. Calculo PERT'!$A:$N,14,FALSE())=0,"",VLOOKUP($A53,'1. Calculo PERT'!$A:$N,14,FALSE()))</f>
        <v>1.2.1.2.3FC</v>
      </c>
      <c r="H53" s="7">
        <f>MAX(0,$I$47)</f>
        <v>197</v>
      </c>
      <c r="I53" s="7">
        <f t="shared" si="5"/>
        <v>219</v>
      </c>
      <c r="J53" s="7">
        <f>MIN($J$56,$T$1)-$F53</f>
        <v>197</v>
      </c>
      <c r="K53" s="7">
        <f t="shared" si="6"/>
        <v>219</v>
      </c>
      <c r="L53" s="7">
        <f t="shared" si="7"/>
        <v>0</v>
      </c>
      <c r="M53" s="7" t="str">
        <f t="shared" si="8"/>
        <v>SI</v>
      </c>
      <c r="N53" s="3">
        <f>'0. Parametros'!$B$3+H53</f>
        <v>45867</v>
      </c>
      <c r="O53" s="3">
        <f>'0. Parametros'!$B$3+I53-1</f>
        <v>45888</v>
      </c>
      <c r="P53" s="15">
        <f>IFERROR(VLOOKUP($A53,'1. Calculo PERT'!$A:$M,13,FALSE()),0)</f>
        <v>11.111111111111112</v>
      </c>
      <c r="Q53" s="16">
        <f>IFERROR(VLOOKUP($A53,'1. Calculo PERT'!$A:$P,16,FALSE()),0)</f>
        <v>52689574</v>
      </c>
    </row>
    <row r="54" spans="1:17" x14ac:dyDescent="0.25">
      <c r="A54" s="7" t="s">
        <v>300</v>
      </c>
      <c r="B54" s="7" t="s">
        <v>301</v>
      </c>
      <c r="C54" s="7" t="s">
        <v>90</v>
      </c>
      <c r="D54" s="7" t="s">
        <v>221</v>
      </c>
      <c r="E54" s="7" t="s">
        <v>13</v>
      </c>
      <c r="F54" s="14">
        <f>IFERROR(ROUND(VLOOKUP($A54,'1. Calculo PERT'!$A:$K,11,FALSE()),0),0)</f>
        <v>22</v>
      </c>
      <c r="G54" s="14" t="str">
        <f>IF(VLOOKUP($A54,'1. Calculo PERT'!$A:$N,14,FALSE())=0,"",VLOOKUP($A54,'1. Calculo PERT'!$A:$N,14,FALSE()))</f>
        <v>1.2.1.2.3FC</v>
      </c>
      <c r="H54" s="7">
        <f>MAX(0,$I$47)</f>
        <v>197</v>
      </c>
      <c r="I54" s="7">
        <f t="shared" si="5"/>
        <v>219</v>
      </c>
      <c r="J54" s="7">
        <f>MIN($J$56,$T$1)-$F54</f>
        <v>197</v>
      </c>
      <c r="K54" s="7">
        <f t="shared" si="6"/>
        <v>219</v>
      </c>
      <c r="L54" s="7">
        <f t="shared" si="7"/>
        <v>0</v>
      </c>
      <c r="M54" s="7" t="str">
        <f t="shared" si="8"/>
        <v>SI</v>
      </c>
      <c r="N54" s="3">
        <f>'0. Parametros'!$B$3+H54</f>
        <v>45867</v>
      </c>
      <c r="O54" s="3">
        <f>'0. Parametros'!$B$3+I54-1</f>
        <v>45888</v>
      </c>
      <c r="P54" s="15">
        <f>IFERROR(VLOOKUP($A54,'1. Calculo PERT'!$A:$M,13,FALSE()),0)</f>
        <v>11.111111111111112</v>
      </c>
      <c r="Q54" s="16">
        <f>IFERROR(VLOOKUP($A54,'1. Calculo PERT'!$A:$P,16,FALSE()),0)</f>
        <v>52689574</v>
      </c>
    </row>
    <row r="55" spans="1:17" x14ac:dyDescent="0.25">
      <c r="A55" s="7" t="s">
        <v>323</v>
      </c>
      <c r="B55" s="7" t="s">
        <v>324</v>
      </c>
      <c r="C55" s="7" t="s">
        <v>90</v>
      </c>
      <c r="D55" s="7" t="s">
        <v>221</v>
      </c>
      <c r="E55" s="7" t="s">
        <v>13</v>
      </c>
      <c r="F55" s="14">
        <f>IFERROR(ROUND(VLOOKUP($A55,'1. Calculo PERT'!$A:$K,11,FALSE()),0),0)</f>
        <v>13</v>
      </c>
      <c r="G55" s="14" t="str">
        <f>IF(VLOOKUP($A55,'1. Calculo PERT'!$A:$N,14,FALSE())=0,"",VLOOKUP($A55,'1. Calculo PERT'!$A:$N,14,FALSE()))</f>
        <v>1.2.2.3.1FC</v>
      </c>
      <c r="H55" s="7">
        <f>MAX(0,$I$51)</f>
        <v>214</v>
      </c>
      <c r="I55" s="7">
        <f t="shared" si="5"/>
        <v>227</v>
      </c>
      <c r="J55" s="7">
        <f>MIN($J$57,$T$1)-$F55</f>
        <v>221</v>
      </c>
      <c r="K55" s="7">
        <f t="shared" si="6"/>
        <v>234</v>
      </c>
      <c r="L55" s="7">
        <f t="shared" si="7"/>
        <v>7</v>
      </c>
      <c r="M55" s="7" t="str">
        <f t="shared" si="8"/>
        <v>no</v>
      </c>
      <c r="N55" s="3">
        <f>'0. Parametros'!$B$3+H55</f>
        <v>45884</v>
      </c>
      <c r="O55" s="3">
        <f>'0. Parametros'!$B$3+I55-1</f>
        <v>45896</v>
      </c>
      <c r="P55" s="15">
        <f>IFERROR(VLOOKUP($A55,'1. Calculo PERT'!$A:$M,13,FALSE()),0)</f>
        <v>4</v>
      </c>
      <c r="Q55" s="16">
        <f>IFERROR(VLOOKUP($A55,'1. Calculo PERT'!$A:$P,16,FALSE()),0)</f>
        <v>30735585</v>
      </c>
    </row>
    <row r="56" spans="1:17" x14ac:dyDescent="0.25">
      <c r="A56" s="7" t="s">
        <v>303</v>
      </c>
      <c r="B56" s="7" t="s">
        <v>304</v>
      </c>
      <c r="C56" s="7" t="s">
        <v>55</v>
      </c>
      <c r="D56" s="7" t="s">
        <v>221</v>
      </c>
      <c r="E56" s="7" t="s">
        <v>13</v>
      </c>
      <c r="F56" s="14">
        <f>IFERROR(ROUND(VLOOKUP($A56,'1. Calculo PERT'!$A:$K,11,FALSE()),0),0)</f>
        <v>21</v>
      </c>
      <c r="G56" s="14" t="str">
        <f>IF(VLOOKUP($A56,'1. Calculo PERT'!$A:$N,14,FALSE())=0,"",VLOOKUP($A56,'1. Calculo PERT'!$A:$N,14,FALSE()))</f>
        <v>1.2.2.2.1FC, 1.2.2.2.2FC</v>
      </c>
      <c r="H56" s="7">
        <f>MAX(0,$I$53,$I$54)</f>
        <v>219</v>
      </c>
      <c r="I56" s="7">
        <f t="shared" si="5"/>
        <v>240</v>
      </c>
      <c r="J56" s="7">
        <f>MIN($J$59,$J$63,$J$62,$T$1)-$F56</f>
        <v>219</v>
      </c>
      <c r="K56" s="7">
        <f t="shared" si="6"/>
        <v>240</v>
      </c>
      <c r="L56" s="7">
        <f t="shared" si="7"/>
        <v>0</v>
      </c>
      <c r="M56" s="7" t="str">
        <f t="shared" si="8"/>
        <v>SI</v>
      </c>
      <c r="N56" s="3">
        <f>'0. Parametros'!$B$3+H56</f>
        <v>45889</v>
      </c>
      <c r="O56" s="3">
        <f>'0. Parametros'!$B$3+I56-1</f>
        <v>45909</v>
      </c>
      <c r="P56" s="15">
        <f>IFERROR(VLOOKUP($A56,'1. Calculo PERT'!$A:$M,13,FALSE()),0)</f>
        <v>10.027777777777777</v>
      </c>
      <c r="Q56" s="16">
        <f>IFERROR(VLOOKUP($A56,'1. Calculo PERT'!$A:$P,16,FALSE()),0)</f>
        <v>48298776</v>
      </c>
    </row>
    <row r="57" spans="1:17" x14ac:dyDescent="0.25">
      <c r="A57" s="7" t="s">
        <v>328</v>
      </c>
      <c r="B57" s="7" t="s">
        <v>329</v>
      </c>
      <c r="C57" s="7" t="s">
        <v>90</v>
      </c>
      <c r="D57" s="7" t="s">
        <v>221</v>
      </c>
      <c r="E57" s="7" t="s">
        <v>13</v>
      </c>
      <c r="F57" s="14">
        <f>IFERROR(ROUND(VLOOKUP($A57,'1. Calculo PERT'!$A:$K,11,FALSE()),0),0)</f>
        <v>10</v>
      </c>
      <c r="G57" s="14" t="str">
        <f>IF(VLOOKUP($A57,'1. Calculo PERT'!$A:$N,14,FALSE())=0,"",VLOOKUP($A57,'1. Calculo PERT'!$A:$N,14,FALSE()))</f>
        <v>1.2.2.3.2FC</v>
      </c>
      <c r="H57" s="7">
        <f>MAX(0,$I$55)</f>
        <v>227</v>
      </c>
      <c r="I57" s="7">
        <f t="shared" si="5"/>
        <v>237</v>
      </c>
      <c r="J57" s="7">
        <f>MIN($J$58,$J$63,$T$1)-$F57</f>
        <v>234</v>
      </c>
      <c r="K57" s="7">
        <f t="shared" si="6"/>
        <v>244</v>
      </c>
      <c r="L57" s="7">
        <f t="shared" si="7"/>
        <v>7</v>
      </c>
      <c r="M57" s="7" t="str">
        <f t="shared" si="8"/>
        <v>no</v>
      </c>
      <c r="N57" s="3">
        <f>'0. Parametros'!$B$3+H57</f>
        <v>45897</v>
      </c>
      <c r="O57" s="3">
        <f>'0. Parametros'!$B$3+I57-1</f>
        <v>45906</v>
      </c>
      <c r="P57" s="15">
        <f>IFERROR(VLOOKUP($A57,'1. Calculo PERT'!$A:$M,13,FALSE()),0)</f>
        <v>2.7777777777777781</v>
      </c>
      <c r="Q57" s="16">
        <f>IFERROR(VLOOKUP($A57,'1. Calculo PERT'!$A:$P,16,FALSE()),0)</f>
        <v>21953989</v>
      </c>
    </row>
    <row r="58" spans="1:17" x14ac:dyDescent="0.25">
      <c r="A58" s="7" t="s">
        <v>333</v>
      </c>
      <c r="B58" s="7" t="s">
        <v>334</v>
      </c>
      <c r="C58" s="7" t="s">
        <v>90</v>
      </c>
      <c r="D58" s="7" t="s">
        <v>221</v>
      </c>
      <c r="E58" s="7" t="s">
        <v>13</v>
      </c>
      <c r="F58" s="14">
        <f>IFERROR(ROUND(VLOOKUP($A58,'1. Calculo PERT'!$A:$K,11,FALSE()),0),0)</f>
        <v>10</v>
      </c>
      <c r="G58" s="14" t="str">
        <f>IF(VLOOKUP($A58,'1. Calculo PERT'!$A:$N,14,FALSE())=0,"",VLOOKUP($A58,'1. Calculo PERT'!$A:$N,14,FALSE()))</f>
        <v>1.2.2.3.3FC</v>
      </c>
      <c r="H58" s="7">
        <f>MAX(0,$I$57)</f>
        <v>237</v>
      </c>
      <c r="I58" s="7">
        <f t="shared" si="5"/>
        <v>247</v>
      </c>
      <c r="J58" s="7">
        <f>MIN($J$60,$T$1)-$F58</f>
        <v>244</v>
      </c>
      <c r="K58" s="7">
        <f t="shared" si="6"/>
        <v>254</v>
      </c>
      <c r="L58" s="7">
        <f t="shared" si="7"/>
        <v>7</v>
      </c>
      <c r="M58" s="7" t="str">
        <f t="shared" si="8"/>
        <v>no</v>
      </c>
      <c r="N58" s="3">
        <f>'0. Parametros'!$B$3+H58</f>
        <v>45907</v>
      </c>
      <c r="O58" s="3">
        <f>'0. Parametros'!$B$3+I58-1</f>
        <v>45916</v>
      </c>
      <c r="P58" s="15">
        <f>IFERROR(VLOOKUP($A58,'1. Calculo PERT'!$A:$M,13,FALSE()),0)</f>
        <v>2.7777777777777781</v>
      </c>
      <c r="Q58" s="16">
        <f>IFERROR(VLOOKUP($A58,'1. Calculo PERT'!$A:$P,16,FALSE()),0)</f>
        <v>21953989</v>
      </c>
    </row>
    <row r="59" spans="1:17" x14ac:dyDescent="0.25">
      <c r="A59" s="7" t="s">
        <v>308</v>
      </c>
      <c r="B59" s="7" t="s">
        <v>309</v>
      </c>
      <c r="C59" s="7" t="s">
        <v>90</v>
      </c>
      <c r="D59" s="7" t="s">
        <v>221</v>
      </c>
      <c r="E59" s="7" t="s">
        <v>13</v>
      </c>
      <c r="F59" s="14">
        <f>IFERROR(ROUND(VLOOKUP($A59,'1. Calculo PERT'!$A:$K,11,FALSE()),0),0)</f>
        <v>12</v>
      </c>
      <c r="G59" s="14" t="str">
        <f>IF(VLOOKUP($A59,'1. Calculo PERT'!$A:$N,14,FALSE())=0,"",VLOOKUP($A59,'1. Calculo PERT'!$A:$N,14,FALSE()))</f>
        <v>1.2.2.2.3FC</v>
      </c>
      <c r="H59" s="7">
        <f>MAX(0,$I$56)</f>
        <v>240</v>
      </c>
      <c r="I59" s="7">
        <f t="shared" si="5"/>
        <v>252</v>
      </c>
      <c r="J59" s="7">
        <f>MIN($J$61,$J$62,$T$1)-$F59</f>
        <v>240</v>
      </c>
      <c r="K59" s="7">
        <f t="shared" si="6"/>
        <v>252</v>
      </c>
      <c r="L59" s="7">
        <f t="shared" si="7"/>
        <v>0</v>
      </c>
      <c r="M59" s="7" t="str">
        <f t="shared" si="8"/>
        <v>SI</v>
      </c>
      <c r="N59" s="3">
        <f>'0. Parametros'!$B$3+H59</f>
        <v>45910</v>
      </c>
      <c r="O59" s="3">
        <f>'0. Parametros'!$B$3+I59-1</f>
        <v>45921</v>
      </c>
      <c r="P59" s="15">
        <f>IFERROR(VLOOKUP($A59,'1. Calculo PERT'!$A:$M,13,FALSE()),0)</f>
        <v>2.7777777777777781</v>
      </c>
      <c r="Q59" s="16">
        <f>IFERROR(VLOOKUP($A59,'1. Calculo PERT'!$A:$P,16,FALSE()),0)</f>
        <v>26344787</v>
      </c>
    </row>
    <row r="60" spans="1:17" x14ac:dyDescent="0.25">
      <c r="A60" s="7" t="s">
        <v>338</v>
      </c>
      <c r="B60" s="7" t="s">
        <v>339</v>
      </c>
      <c r="C60" s="7" t="s">
        <v>90</v>
      </c>
      <c r="D60" s="7" t="s">
        <v>221</v>
      </c>
      <c r="E60" s="7" t="s">
        <v>13</v>
      </c>
      <c r="F60" s="14">
        <f>IFERROR(ROUND(VLOOKUP($A60,'1. Calculo PERT'!$A:$K,11,FALSE()),0),0)</f>
        <v>10</v>
      </c>
      <c r="G60" s="14" t="str">
        <f>IF(VLOOKUP($A60,'1. Calculo PERT'!$A:$N,14,FALSE())=0,"",VLOOKUP($A60,'1. Calculo PERT'!$A:$N,14,FALSE()))</f>
        <v>1.2.2.3.4FC</v>
      </c>
      <c r="H60" s="7">
        <f>MAX(0,$I$58)</f>
        <v>247</v>
      </c>
      <c r="I60" s="7">
        <f t="shared" si="5"/>
        <v>257</v>
      </c>
      <c r="J60" s="7">
        <f>MIN($J$63,$T$1)-$F60</f>
        <v>254</v>
      </c>
      <c r="K60" s="7">
        <f t="shared" si="6"/>
        <v>264</v>
      </c>
      <c r="L60" s="7">
        <f t="shared" si="7"/>
        <v>7</v>
      </c>
      <c r="M60" s="7" t="str">
        <f t="shared" si="8"/>
        <v>no</v>
      </c>
      <c r="N60" s="3">
        <f>'0. Parametros'!$B$3+H60</f>
        <v>45917</v>
      </c>
      <c r="O60" s="3">
        <f>'0. Parametros'!$B$3+I60-1</f>
        <v>45926</v>
      </c>
      <c r="P60" s="15">
        <f>IFERROR(VLOOKUP($A60,'1. Calculo PERT'!$A:$M,13,FALSE()),0)</f>
        <v>2.7777777777777781</v>
      </c>
      <c r="Q60" s="16">
        <f>IFERROR(VLOOKUP($A60,'1. Calculo PERT'!$A:$P,16,FALSE()),0)</f>
        <v>21953989</v>
      </c>
    </row>
    <row r="61" spans="1:17" x14ac:dyDescent="0.25">
      <c r="A61" s="7" t="s">
        <v>313</v>
      </c>
      <c r="B61" s="7" t="s">
        <v>314</v>
      </c>
      <c r="C61" s="7" t="s">
        <v>90</v>
      </c>
      <c r="D61" s="7" t="s">
        <v>221</v>
      </c>
      <c r="E61" s="7" t="s">
        <v>13</v>
      </c>
      <c r="F61" s="14">
        <f>IFERROR(ROUND(VLOOKUP($A61,'1. Calculo PERT'!$A:$K,11,FALSE()),0),0)</f>
        <v>12</v>
      </c>
      <c r="G61" s="14" t="str">
        <f>IF(VLOOKUP($A61,'1. Calculo PERT'!$A:$N,14,FALSE())=0,"",VLOOKUP($A61,'1. Calculo PERT'!$A:$N,14,FALSE()))</f>
        <v>1.2.2.2.4FC</v>
      </c>
      <c r="H61" s="7">
        <f>MAX(0,$I$59)</f>
        <v>252</v>
      </c>
      <c r="I61" s="7">
        <f t="shared" si="5"/>
        <v>264</v>
      </c>
      <c r="J61" s="7">
        <f>MIN($J$62,$T$1)-$F61</f>
        <v>252</v>
      </c>
      <c r="K61" s="7">
        <f t="shared" si="6"/>
        <v>264</v>
      </c>
      <c r="L61" s="7">
        <f t="shared" si="7"/>
        <v>0</v>
      </c>
      <c r="M61" s="7" t="str">
        <f t="shared" si="8"/>
        <v>SI</v>
      </c>
      <c r="N61" s="3">
        <f>'0. Parametros'!$B$3+H61</f>
        <v>45922</v>
      </c>
      <c r="O61" s="3">
        <f>'0. Parametros'!$B$3+I61-1</f>
        <v>45933</v>
      </c>
      <c r="P61" s="15">
        <f>IFERROR(VLOOKUP($A61,'1. Calculo PERT'!$A:$M,13,FALSE()),0)</f>
        <v>2.7777777777777781</v>
      </c>
      <c r="Q61" s="16">
        <f>IFERROR(VLOOKUP($A61,'1. Calculo PERT'!$A:$P,16,FALSE()),0)</f>
        <v>26344787</v>
      </c>
    </row>
    <row r="62" spans="1:17" x14ac:dyDescent="0.25">
      <c r="A62" s="7" t="s">
        <v>349</v>
      </c>
      <c r="B62" s="7" t="s">
        <v>350</v>
      </c>
      <c r="C62" s="7"/>
      <c r="D62" s="7"/>
      <c r="E62" s="7" t="s">
        <v>13</v>
      </c>
      <c r="F62" s="14">
        <f>IFERROR(ROUND(VLOOKUP($A62,'1. Calculo PERT'!$A:$K,11,FALSE()),0),0)</f>
        <v>0</v>
      </c>
      <c r="G62" s="14" t="str">
        <f>IF(VLOOKUP($A62,'1. Calculo PERT'!$A:$N,14,FALSE())=0,"",VLOOKUP($A62,'1. Calculo PERT'!$A:$N,14,FALSE()))</f>
        <v>1.2.2.2.3FC, 1.2.2.2.4FC, 1.2.2.2.5FC</v>
      </c>
      <c r="H62" s="7">
        <f>MAX(0,$I$56,$I$59,$I$61)</f>
        <v>264</v>
      </c>
      <c r="I62" s="7">
        <f t="shared" si="5"/>
        <v>264</v>
      </c>
      <c r="J62" s="7">
        <f>MIN($J$63,$T$1)-$F62</f>
        <v>264</v>
      </c>
      <c r="K62" s="7">
        <f t="shared" si="6"/>
        <v>264</v>
      </c>
      <c r="L62" s="7">
        <f t="shared" si="7"/>
        <v>0</v>
      </c>
      <c r="M62" s="7" t="str">
        <f t="shared" si="8"/>
        <v>SI</v>
      </c>
      <c r="N62" s="3">
        <f>'0. Parametros'!$B$3+I62-1</f>
        <v>45933</v>
      </c>
      <c r="O62" s="3">
        <f>'0. Parametros'!$B$3+I62-1</f>
        <v>45933</v>
      </c>
      <c r="P62" s="15">
        <f>IFERROR(VLOOKUP($A62,'1. Calculo PERT'!$A:$M,13,FALSE()),0)</f>
        <v>0</v>
      </c>
      <c r="Q62" s="16">
        <f>IFERROR(VLOOKUP($A62,'1. Calculo PERT'!$A:$P,16,FALSE()),0)</f>
        <v>0</v>
      </c>
    </row>
    <row r="63" spans="1:17" x14ac:dyDescent="0.25">
      <c r="A63" s="7" t="s">
        <v>343</v>
      </c>
      <c r="B63" s="7" t="s">
        <v>344</v>
      </c>
      <c r="C63" s="7" t="s">
        <v>55</v>
      </c>
      <c r="D63" s="7" t="s">
        <v>345</v>
      </c>
      <c r="E63" s="7" t="s">
        <v>13</v>
      </c>
      <c r="F63" s="14">
        <f>IFERROR(ROUND(VLOOKUP($A63,'1. Calculo PERT'!$A:$K,11,FALSE()),0),0)</f>
        <v>6</v>
      </c>
      <c r="G63" s="14" t="str">
        <f>IF(VLOOKUP($A63,'1. Calculo PERT'!$A:$N,14,FALSE())=0,"",VLOOKUP($A63,'1. Calculo PERT'!$A:$N,14,FALSE()))</f>
        <v>1.2.2.2.3FC, 1.2.2.1.3FC, 1.2.2.3.3FC, 1.1.2.2.3FC, 1.1.2.1.3FC, 1.2.8FC, 1.1.1.1.5FC, 1.1.1.2.3FC, 1.1.1.2.4FC, 1.1.1.3.4FC, 1.1.1.3.5FC, 1.1.2.1.4FC, 1.1.2.2.4FC, 1.1.2.4.4FC, 1.2.1.1.4FC, 1.2.1.1.5FC, 1.2.1.2.4FC, 1.2.1.2.5FC, 1.2.2.1.4FC, 1.2.2.1.5FC, 1.2.2.3.5FC</v>
      </c>
      <c r="H63" s="7">
        <f>MAX(0,$I$56,$I$48,$I$57,$I$34,$I$28,$I$62,$I$36,$I$31,$I$27,$I$24,$I$25,$I$29,$I$35,$I$18,$I$40,$I$38,$I$46,$I$52,$I$49,$I$50,$I$60)</f>
        <v>264</v>
      </c>
      <c r="I63" s="7">
        <f t="shared" si="5"/>
        <v>270</v>
      </c>
      <c r="J63" s="7">
        <f>MIN($J$64,$J$65,$T$1)-$F63</f>
        <v>264</v>
      </c>
      <c r="K63" s="7">
        <f t="shared" si="6"/>
        <v>270</v>
      </c>
      <c r="L63" s="7">
        <f t="shared" si="7"/>
        <v>0</v>
      </c>
      <c r="M63" s="7" t="str">
        <f t="shared" si="8"/>
        <v>SI</v>
      </c>
      <c r="N63" s="3">
        <f>'0. Parametros'!$B$3+H63</f>
        <v>45934</v>
      </c>
      <c r="O63" s="3">
        <f>'0. Parametros'!$B$3+I63-1</f>
        <v>45939</v>
      </c>
      <c r="P63" s="15">
        <f>IFERROR(VLOOKUP($A63,'1. Calculo PERT'!$A:$M,13,FALSE()),0)</f>
        <v>1.3611111111111114</v>
      </c>
      <c r="Q63" s="16">
        <f>IFERROR(VLOOKUP($A63,'1. Calculo PERT'!$A:$P,16,FALSE()),0)</f>
        <v>17563191</v>
      </c>
    </row>
    <row r="64" spans="1:17" x14ac:dyDescent="0.25">
      <c r="A64" s="7" t="s">
        <v>353</v>
      </c>
      <c r="B64" s="7" t="s">
        <v>354</v>
      </c>
      <c r="C64" s="7"/>
      <c r="D64" s="7"/>
      <c r="E64" s="7" t="s">
        <v>13</v>
      </c>
      <c r="F64" s="14">
        <f>IFERROR(ROUND(VLOOKUP($A64,'1. Calculo PERT'!$A:$K,11,FALSE()),0),0)</f>
        <v>0</v>
      </c>
      <c r="G64" s="14" t="str">
        <f>IF(VLOOKUP($A64,'1. Calculo PERT'!$A:$N,14,FALSE())=0,"",VLOOKUP($A64,'1. Calculo PERT'!$A:$N,14,FALSE()))</f>
        <v>1.2.3FC</v>
      </c>
      <c r="H64" s="7">
        <f>MAX(0,$I$63)</f>
        <v>270</v>
      </c>
      <c r="I64" s="7">
        <f t="shared" si="5"/>
        <v>270</v>
      </c>
      <c r="J64" s="7">
        <f>MIN($T$1)-$F64</f>
        <v>630</v>
      </c>
      <c r="K64" s="7">
        <f t="shared" si="6"/>
        <v>630</v>
      </c>
      <c r="L64" s="7">
        <f t="shared" si="7"/>
        <v>360</v>
      </c>
      <c r="M64" s="7" t="str">
        <f t="shared" si="8"/>
        <v>no</v>
      </c>
      <c r="N64" s="3">
        <f>'0. Parametros'!$B$3+I64-1</f>
        <v>45939</v>
      </c>
      <c r="O64" s="3">
        <f>'0. Parametros'!$B$3+I64-1</f>
        <v>45939</v>
      </c>
      <c r="P64" s="15">
        <f>IFERROR(VLOOKUP($A64,'1. Calculo PERT'!$A:$M,13,FALSE()),0)</f>
        <v>0</v>
      </c>
      <c r="Q64" s="16">
        <f>IFERROR(VLOOKUP($A64,'1. Calculo PERT'!$A:$P,16,FALSE()),0)</f>
        <v>0</v>
      </c>
    </row>
    <row r="65" spans="1:17" x14ac:dyDescent="0.25">
      <c r="A65" s="7" t="s">
        <v>364</v>
      </c>
      <c r="B65" s="7" t="s">
        <v>365</v>
      </c>
      <c r="C65" s="7" t="s">
        <v>90</v>
      </c>
      <c r="D65" s="7" t="s">
        <v>56</v>
      </c>
      <c r="E65" s="7" t="s">
        <v>14</v>
      </c>
      <c r="F65" s="14">
        <f>IFERROR(ROUND(VLOOKUP($A65,'1. Calculo PERT'!$A:$K,11,FALSE()),0),0)</f>
        <v>6</v>
      </c>
      <c r="G65" s="14" t="str">
        <f>IF(VLOOKUP($A65,'1. Calculo PERT'!$A:$N,14,FALSE())=0,"",VLOOKUP($A65,'1. Calculo PERT'!$A:$N,14,FALSE()))</f>
        <v>1.2.3FC</v>
      </c>
      <c r="H65" s="7">
        <f>MAX(0,$I$63)</f>
        <v>270</v>
      </c>
      <c r="I65" s="7">
        <f t="shared" si="5"/>
        <v>276</v>
      </c>
      <c r="J65" s="7">
        <f>MIN($J$66,$T$1)-$F65</f>
        <v>270</v>
      </c>
      <c r="K65" s="7">
        <f t="shared" si="6"/>
        <v>276</v>
      </c>
      <c r="L65" s="7">
        <f t="shared" si="7"/>
        <v>0</v>
      </c>
      <c r="M65" s="7" t="str">
        <f t="shared" si="8"/>
        <v>SI</v>
      </c>
      <c r="N65" s="3">
        <f>'0. Parametros'!$B$3+H65</f>
        <v>45940</v>
      </c>
      <c r="O65" s="3">
        <f>'0. Parametros'!$B$3+I65-1</f>
        <v>45945</v>
      </c>
      <c r="P65" s="15">
        <f>IFERROR(VLOOKUP($A65,'1. Calculo PERT'!$A:$M,13,FALSE()),0)</f>
        <v>1</v>
      </c>
      <c r="Q65" s="16">
        <f>IFERROR(VLOOKUP($A65,'1. Calculo PERT'!$A:$P,16,FALSE()),0)</f>
        <v>141694108</v>
      </c>
    </row>
    <row r="66" spans="1:17" x14ac:dyDescent="0.25">
      <c r="A66" s="7" t="s">
        <v>368</v>
      </c>
      <c r="B66" s="7" t="s">
        <v>369</v>
      </c>
      <c r="C66" s="7" t="s">
        <v>90</v>
      </c>
      <c r="D66" s="7" t="s">
        <v>370</v>
      </c>
      <c r="E66" s="7" t="s">
        <v>14</v>
      </c>
      <c r="F66" s="14">
        <f>IFERROR(ROUND(VLOOKUP($A66,'1. Calculo PERT'!$A:$K,11,FALSE()),0),0)</f>
        <v>5</v>
      </c>
      <c r="G66" s="14" t="str">
        <f>IF(VLOOKUP($A66,'1. Calculo PERT'!$A:$N,14,FALSE())=0,"",VLOOKUP($A66,'1. Calculo PERT'!$A:$N,14,FALSE()))</f>
        <v>1.3.1.1.0FC</v>
      </c>
      <c r="H66" s="7">
        <f>MAX(0,$I$65)</f>
        <v>276</v>
      </c>
      <c r="I66" s="7">
        <f t="shared" si="5"/>
        <v>281</v>
      </c>
      <c r="J66" s="7">
        <f>MIN($J$67,$T$1)-$F66</f>
        <v>276</v>
      </c>
      <c r="K66" s="7">
        <f t="shared" si="6"/>
        <v>281</v>
      </c>
      <c r="L66" s="7">
        <f t="shared" si="7"/>
        <v>0</v>
      </c>
      <c r="M66" s="7" t="str">
        <f t="shared" si="8"/>
        <v>SI</v>
      </c>
      <c r="N66" s="3">
        <f>'0. Parametros'!$B$3+H66</f>
        <v>45946</v>
      </c>
      <c r="O66" s="3">
        <f>'0. Parametros'!$B$3+I66-1</f>
        <v>45950</v>
      </c>
      <c r="P66" s="15">
        <f>IFERROR(VLOOKUP($A66,'1. Calculo PERT'!$A:$M,13,FALSE()),0)</f>
        <v>0.69444444444444453</v>
      </c>
      <c r="Q66" s="16">
        <f>IFERROR(VLOOKUP($A66,'1. Calculo PERT'!$A:$P,16,FALSE()),0)</f>
        <v>106270581</v>
      </c>
    </row>
    <row r="67" spans="1:17" x14ac:dyDescent="0.25">
      <c r="A67" s="7" t="s">
        <v>374</v>
      </c>
      <c r="B67" s="7" t="s">
        <v>375</v>
      </c>
      <c r="C67" s="7" t="s">
        <v>90</v>
      </c>
      <c r="D67" s="7" t="s">
        <v>363</v>
      </c>
      <c r="E67" s="7" t="s">
        <v>14</v>
      </c>
      <c r="F67" s="14">
        <f>IFERROR(ROUND(VLOOKUP($A67,'1. Calculo PERT'!$A:$K,11,FALSE()),0),0)</f>
        <v>6</v>
      </c>
      <c r="G67" s="14" t="str">
        <f>IF(VLOOKUP($A67,'1. Calculo PERT'!$A:$N,14,FALSE())=0,"",VLOOKUP($A67,'1. Calculo PERT'!$A:$N,14,FALSE()))</f>
        <v>1.3.1.1.1FC</v>
      </c>
      <c r="H67" s="7">
        <f>MAX(0,$I$66)</f>
        <v>281</v>
      </c>
      <c r="I67" s="7">
        <f t="shared" si="5"/>
        <v>287</v>
      </c>
      <c r="J67" s="7">
        <f>MIN($J$68,$T$1)-$F67</f>
        <v>281</v>
      </c>
      <c r="K67" s="7">
        <f t="shared" si="6"/>
        <v>287</v>
      </c>
      <c r="L67" s="7">
        <f t="shared" si="7"/>
        <v>0</v>
      </c>
      <c r="M67" s="7" t="str">
        <f t="shared" si="8"/>
        <v>SI</v>
      </c>
      <c r="N67" s="3">
        <f>'0. Parametros'!$B$3+H67</f>
        <v>45951</v>
      </c>
      <c r="O67" s="3">
        <f>'0. Parametros'!$B$3+I67-1</f>
        <v>45956</v>
      </c>
      <c r="P67" s="15">
        <f>IFERROR(VLOOKUP($A67,'1. Calculo PERT'!$A:$M,13,FALSE()),0)</f>
        <v>1.3611111111111114</v>
      </c>
      <c r="Q67" s="16">
        <f>IFERROR(VLOOKUP($A67,'1. Calculo PERT'!$A:$P,16,FALSE()),0)</f>
        <v>141694108</v>
      </c>
    </row>
    <row r="68" spans="1:17" x14ac:dyDescent="0.25">
      <c r="A68" s="7" t="s">
        <v>379</v>
      </c>
      <c r="B68" s="7" t="s">
        <v>380</v>
      </c>
      <c r="C68" s="7" t="s">
        <v>90</v>
      </c>
      <c r="D68" s="7" t="s">
        <v>381</v>
      </c>
      <c r="E68" s="7" t="s">
        <v>14</v>
      </c>
      <c r="F68" s="14">
        <f>IFERROR(ROUND(VLOOKUP($A68,'1. Calculo PERT'!$A:$K,11,FALSE()),0),0)</f>
        <v>12</v>
      </c>
      <c r="G68" s="14" t="str">
        <f>IF(VLOOKUP($A68,'1. Calculo PERT'!$A:$N,14,FALSE())=0,"",VLOOKUP($A68,'1. Calculo PERT'!$A:$N,14,FALSE()))</f>
        <v>1.3.1.1.2FC</v>
      </c>
      <c r="H68" s="7">
        <f>MAX(0,$I$67)</f>
        <v>287</v>
      </c>
      <c r="I68" s="7">
        <f t="shared" si="5"/>
        <v>299</v>
      </c>
      <c r="J68" s="7">
        <f>MIN($J$69,$T$1)-$F68</f>
        <v>287</v>
      </c>
      <c r="K68" s="7">
        <f t="shared" si="6"/>
        <v>299</v>
      </c>
      <c r="L68" s="7">
        <f t="shared" si="7"/>
        <v>0</v>
      </c>
      <c r="M68" s="7" t="str">
        <f t="shared" si="8"/>
        <v>SI</v>
      </c>
      <c r="N68" s="3">
        <f>'0. Parametros'!$B$3+H68</f>
        <v>45957</v>
      </c>
      <c r="O68" s="3">
        <f>'0. Parametros'!$B$3+I68-1</f>
        <v>45968</v>
      </c>
      <c r="P68" s="15">
        <f>IFERROR(VLOOKUP($A68,'1. Calculo PERT'!$A:$M,13,FALSE()),0)</f>
        <v>3.3611111111111107</v>
      </c>
      <c r="Q68" s="16">
        <f>IFERROR(VLOOKUP($A68,'1. Calculo PERT'!$A:$P,16,FALSE()),0)</f>
        <v>247964690</v>
      </c>
    </row>
    <row r="69" spans="1:17" x14ac:dyDescent="0.25">
      <c r="A69" s="7" t="s">
        <v>385</v>
      </c>
      <c r="B69" s="7" t="s">
        <v>386</v>
      </c>
      <c r="C69" s="7" t="s">
        <v>90</v>
      </c>
      <c r="D69" s="7" t="s">
        <v>363</v>
      </c>
      <c r="E69" s="7" t="s">
        <v>14</v>
      </c>
      <c r="F69" s="14">
        <f>IFERROR(ROUND(VLOOKUP($A69,'1. Calculo PERT'!$A:$K,11,FALSE()),0),0)</f>
        <v>14</v>
      </c>
      <c r="G69" s="14" t="str">
        <f>IF(VLOOKUP($A69,'1. Calculo PERT'!$A:$N,14,FALSE())=0,"",VLOOKUP($A69,'1. Calculo PERT'!$A:$N,14,FALSE()))</f>
        <v>1.3.1.1.3FC</v>
      </c>
      <c r="H69" s="7">
        <f>MAX(0,$I$68)</f>
        <v>299</v>
      </c>
      <c r="I69" s="7">
        <f t="shared" ref="I69:I100" si="9">H69+F69</f>
        <v>313</v>
      </c>
      <c r="J69" s="7">
        <f>MIN($J$70,$J$72,$J$73,$J$71,$J$74,$T$1)-$F69</f>
        <v>299</v>
      </c>
      <c r="K69" s="7">
        <f t="shared" ref="K69:K100" si="10">J69+F69</f>
        <v>313</v>
      </c>
      <c r="L69" s="7">
        <f t="shared" ref="L69:L100" si="11">J69-H69</f>
        <v>0</v>
      </c>
      <c r="M69" s="7" t="str">
        <f t="shared" ref="M69:M100" si="12">IF(L69=0,"SI","no")</f>
        <v>SI</v>
      </c>
      <c r="N69" s="3">
        <f>'0. Parametros'!$B$3+H69</f>
        <v>45969</v>
      </c>
      <c r="O69" s="3">
        <f>'0. Parametros'!$B$3+I69-1</f>
        <v>45982</v>
      </c>
      <c r="P69" s="15">
        <f>IFERROR(VLOOKUP($A69,'1. Calculo PERT'!$A:$M,13,FALSE()),0)</f>
        <v>4</v>
      </c>
      <c r="Q69" s="16">
        <f>IFERROR(VLOOKUP($A69,'1. Calculo PERT'!$A:$P,16,FALSE()),0)</f>
        <v>123561108</v>
      </c>
    </row>
    <row r="70" spans="1:17" x14ac:dyDescent="0.25">
      <c r="A70" s="7" t="s">
        <v>391</v>
      </c>
      <c r="B70" s="7" t="s">
        <v>392</v>
      </c>
      <c r="C70" s="7" t="s">
        <v>90</v>
      </c>
      <c r="D70" s="7" t="s">
        <v>363</v>
      </c>
      <c r="E70" s="7" t="s">
        <v>14</v>
      </c>
      <c r="F70" s="14">
        <f>IFERROR(ROUND(VLOOKUP($A70,'1. Calculo PERT'!$A:$K,11,FALSE()),0),0)</f>
        <v>18</v>
      </c>
      <c r="G70" s="14" t="str">
        <f>IF(VLOOKUP($A70,'1. Calculo PERT'!$A:$N,14,FALSE())=0,"",VLOOKUP($A70,'1. Calculo PERT'!$A:$N,14,FALSE()))</f>
        <v>1.3.1.1.4FC</v>
      </c>
      <c r="H70" s="7">
        <f>MAX(0,$I$69)</f>
        <v>313</v>
      </c>
      <c r="I70" s="7">
        <f t="shared" si="9"/>
        <v>331</v>
      </c>
      <c r="J70" s="7">
        <f>MIN(MIN($J$79,$T$1)-$F70,$J$75-2)</f>
        <v>315</v>
      </c>
      <c r="K70" s="7">
        <f t="shared" si="10"/>
        <v>333</v>
      </c>
      <c r="L70" s="7">
        <f t="shared" si="11"/>
        <v>2</v>
      </c>
      <c r="M70" s="7" t="str">
        <f t="shared" si="12"/>
        <v>no</v>
      </c>
      <c r="N70" s="3">
        <f>'0. Parametros'!$B$3+H70</f>
        <v>45983</v>
      </c>
      <c r="O70" s="3">
        <f>'0. Parametros'!$B$3+I70-1</f>
        <v>46000</v>
      </c>
      <c r="P70" s="15">
        <f>IFERROR(VLOOKUP($A70,'1. Calculo PERT'!$A:$M,13,FALSE()),0)</f>
        <v>6.25</v>
      </c>
      <c r="Q70" s="16">
        <f>IFERROR(VLOOKUP($A70,'1. Calculo PERT'!$A:$P,16,FALSE()),0)</f>
        <v>154451386</v>
      </c>
    </row>
    <row r="71" spans="1:17" x14ac:dyDescent="0.25">
      <c r="A71" s="7" t="s">
        <v>458</v>
      </c>
      <c r="B71" s="7" t="s">
        <v>459</v>
      </c>
      <c r="C71" s="7" t="s">
        <v>90</v>
      </c>
      <c r="D71" s="7" t="s">
        <v>457</v>
      </c>
      <c r="E71" s="7" t="s">
        <v>14</v>
      </c>
      <c r="F71" s="14">
        <f>IFERROR(ROUND(VLOOKUP($A71,'1. Calculo PERT'!$A:$K,11,FALSE()),0),0)</f>
        <v>18</v>
      </c>
      <c r="G71" s="14" t="str">
        <f>IF(VLOOKUP($A71,'1. Calculo PERT'!$A:$N,14,FALSE())=0,"",VLOOKUP($A71,'1. Calculo PERT'!$A:$N,14,FALSE()))</f>
        <v>1.3.1.1.4FC</v>
      </c>
      <c r="H71" s="7">
        <f>MAX(0,$I$69)</f>
        <v>313</v>
      </c>
      <c r="I71" s="7">
        <f t="shared" si="9"/>
        <v>331</v>
      </c>
      <c r="J71" s="7">
        <f>MIN($J$76,$T$1)-$F71</f>
        <v>345</v>
      </c>
      <c r="K71" s="7">
        <f t="shared" si="10"/>
        <v>363</v>
      </c>
      <c r="L71" s="7">
        <f t="shared" si="11"/>
        <v>32</v>
      </c>
      <c r="M71" s="7" t="str">
        <f t="shared" si="12"/>
        <v>no</v>
      </c>
      <c r="N71" s="3">
        <f>'0. Parametros'!$B$3+H71</f>
        <v>45983</v>
      </c>
      <c r="O71" s="3">
        <f>'0. Parametros'!$B$3+I71-1</f>
        <v>46000</v>
      </c>
      <c r="P71" s="15">
        <f>IFERROR(VLOOKUP($A71,'1. Calculo PERT'!$A:$M,13,FALSE()),0)</f>
        <v>6.25</v>
      </c>
      <c r="Q71" s="16">
        <f>IFERROR(VLOOKUP($A71,'1. Calculo PERT'!$A:$P,16,FALSE()),0)</f>
        <v>138320090</v>
      </c>
    </row>
    <row r="72" spans="1:17" x14ac:dyDescent="0.25">
      <c r="A72" s="7" t="s">
        <v>396</v>
      </c>
      <c r="B72" s="7" t="s">
        <v>397</v>
      </c>
      <c r="C72" s="7" t="s">
        <v>90</v>
      </c>
      <c r="D72" s="7" t="s">
        <v>363</v>
      </c>
      <c r="E72" s="7" t="s">
        <v>14</v>
      </c>
      <c r="F72" s="14">
        <f>IFERROR(ROUND(VLOOKUP($A72,'1. Calculo PERT'!$A:$K,11,FALSE()),0),0)</f>
        <v>20</v>
      </c>
      <c r="G72" s="14" t="str">
        <f>IF(VLOOKUP($A72,'1. Calculo PERT'!$A:$N,14,FALSE())=0,"",VLOOKUP($A72,'1. Calculo PERT'!$A:$N,14,FALSE()))</f>
        <v>1.3.1.1.4FC</v>
      </c>
      <c r="H72" s="7">
        <f>MAX(0,$I$69)</f>
        <v>313</v>
      </c>
      <c r="I72" s="7">
        <f t="shared" si="9"/>
        <v>333</v>
      </c>
      <c r="J72" s="7">
        <f>MIN($J$79,$J$77,$T$1)-$F72</f>
        <v>313</v>
      </c>
      <c r="K72" s="7">
        <f t="shared" si="10"/>
        <v>333</v>
      </c>
      <c r="L72" s="7">
        <f t="shared" si="11"/>
        <v>0</v>
      </c>
      <c r="M72" s="7" t="str">
        <f t="shared" si="12"/>
        <v>SI</v>
      </c>
      <c r="N72" s="3">
        <f>'0. Parametros'!$B$3+H72</f>
        <v>45983</v>
      </c>
      <c r="O72" s="3">
        <f>'0. Parametros'!$B$3+I72-1</f>
        <v>46002</v>
      </c>
      <c r="P72" s="15">
        <f>IFERROR(VLOOKUP($A72,'1. Calculo PERT'!$A:$M,13,FALSE()),0)</f>
        <v>8.0277777777777786</v>
      </c>
      <c r="Q72" s="16">
        <f>IFERROR(VLOOKUP($A72,'1. Calculo PERT'!$A:$P,16,FALSE()),0)</f>
        <v>169896524</v>
      </c>
    </row>
    <row r="73" spans="1:17" x14ac:dyDescent="0.25">
      <c r="A73" s="7" t="s">
        <v>409</v>
      </c>
      <c r="B73" s="7" t="s">
        <v>410</v>
      </c>
      <c r="C73" s="7" t="s">
        <v>90</v>
      </c>
      <c r="D73" s="7" t="s">
        <v>363</v>
      </c>
      <c r="E73" s="7" t="s">
        <v>14</v>
      </c>
      <c r="F73" s="14">
        <f>IFERROR(ROUND(VLOOKUP($A73,'1. Calculo PERT'!$A:$K,11,FALSE()),0),0)</f>
        <v>20</v>
      </c>
      <c r="G73" s="14" t="str">
        <f>IF(VLOOKUP($A73,'1. Calculo PERT'!$A:$N,14,FALSE())=0,"",VLOOKUP($A73,'1. Calculo PERT'!$A:$N,14,FALSE()))</f>
        <v>1.3.1.1.4FC</v>
      </c>
      <c r="H73" s="7">
        <f>MAX(0,$I$69)</f>
        <v>313</v>
      </c>
      <c r="I73" s="7">
        <f t="shared" si="9"/>
        <v>333</v>
      </c>
      <c r="J73" s="7">
        <f>MIN($J$78,$T$1)-$F73</f>
        <v>340</v>
      </c>
      <c r="K73" s="7">
        <f t="shared" si="10"/>
        <v>360</v>
      </c>
      <c r="L73" s="7">
        <f t="shared" si="11"/>
        <v>27</v>
      </c>
      <c r="M73" s="7" t="str">
        <f t="shared" si="12"/>
        <v>no</v>
      </c>
      <c r="N73" s="3">
        <f>'0. Parametros'!$B$3+H73</f>
        <v>45983</v>
      </c>
      <c r="O73" s="3">
        <f>'0. Parametros'!$B$3+I73-1</f>
        <v>46002</v>
      </c>
      <c r="P73" s="15">
        <f>IFERROR(VLOOKUP($A73,'1. Calculo PERT'!$A:$M,13,FALSE()),0)</f>
        <v>8.0277777777777786</v>
      </c>
      <c r="Q73" s="16">
        <f>IFERROR(VLOOKUP($A73,'1. Calculo PERT'!$A:$P,16,FALSE()),0)</f>
        <v>169896524</v>
      </c>
    </row>
    <row r="74" spans="1:17" x14ac:dyDescent="0.25">
      <c r="A74" s="7" t="s">
        <v>576</v>
      </c>
      <c r="B74" s="7" t="s">
        <v>577</v>
      </c>
      <c r="C74" s="7" t="s">
        <v>90</v>
      </c>
      <c r="D74" s="7" t="s">
        <v>363</v>
      </c>
      <c r="E74" s="7" t="s">
        <v>14</v>
      </c>
      <c r="F74" s="14">
        <f>IFERROR(ROUND(VLOOKUP($A74,'1. Calculo PERT'!$A:$K,11,FALSE()),0),0)</f>
        <v>29</v>
      </c>
      <c r="G74" s="14" t="str">
        <f>IF(VLOOKUP($A74,'1. Calculo PERT'!$A:$N,14,FALSE())=0,"",VLOOKUP($A74,'1. Calculo PERT'!$A:$N,14,FALSE()))</f>
        <v>1.3.1.1.4FC</v>
      </c>
      <c r="H74" s="7">
        <f>MAX(0,$I$69)</f>
        <v>313</v>
      </c>
      <c r="I74" s="7">
        <f t="shared" si="9"/>
        <v>342</v>
      </c>
      <c r="J74" s="7">
        <f>MIN($J$80,$T$1)-$F74</f>
        <v>464</v>
      </c>
      <c r="K74" s="7">
        <f t="shared" si="10"/>
        <v>493</v>
      </c>
      <c r="L74" s="7">
        <f t="shared" si="11"/>
        <v>151</v>
      </c>
      <c r="M74" s="7" t="str">
        <f t="shared" si="12"/>
        <v>no</v>
      </c>
      <c r="N74" s="3">
        <f>'0. Parametros'!$B$3+H74</f>
        <v>45983</v>
      </c>
      <c r="O74" s="3">
        <f>'0. Parametros'!$B$3+I74-1</f>
        <v>46011</v>
      </c>
      <c r="P74" s="15">
        <f>IFERROR(VLOOKUP($A74,'1. Calculo PERT'!$A:$M,13,FALSE()),0)</f>
        <v>18.777777777777775</v>
      </c>
      <c r="Q74" s="16">
        <f>IFERROR(VLOOKUP($A74,'1. Calculo PERT'!$A:$P,16,FALSE()),0)</f>
        <v>93750872</v>
      </c>
    </row>
    <row r="75" spans="1:17" x14ac:dyDescent="0.25">
      <c r="A75" s="7" t="s">
        <v>445</v>
      </c>
      <c r="B75" s="7" t="s">
        <v>446</v>
      </c>
      <c r="C75" s="7" t="s">
        <v>90</v>
      </c>
      <c r="D75" s="7" t="s">
        <v>363</v>
      </c>
      <c r="E75" s="7" t="s">
        <v>14</v>
      </c>
      <c r="F75" s="14">
        <f>IFERROR(ROUND(VLOOKUP($A75,'1. Calculo PERT'!$A:$K,11,FALSE()),0),0)</f>
        <v>12</v>
      </c>
      <c r="G75" s="14" t="str">
        <f>IF(VLOOKUP($A75,'1. Calculo PERT'!$A:$N,14,FALSE())=0,"",VLOOKUP($A75,'1. Calculo PERT'!$A:$N,14,FALSE()))</f>
        <v>1.3.1.1.5CC+2</v>
      </c>
      <c r="H75" s="7">
        <f>MAX(0,$H$70+2)</f>
        <v>315</v>
      </c>
      <c r="I75" s="7">
        <f t="shared" si="9"/>
        <v>327</v>
      </c>
      <c r="J75" s="7">
        <f>MIN($J$144,$T$1)-$F75</f>
        <v>558</v>
      </c>
      <c r="K75" s="7">
        <f t="shared" si="10"/>
        <v>570</v>
      </c>
      <c r="L75" s="7">
        <f t="shared" si="11"/>
        <v>243</v>
      </c>
      <c r="M75" s="7" t="str">
        <f t="shared" si="12"/>
        <v>no</v>
      </c>
      <c r="N75" s="3">
        <f>'0. Parametros'!$B$3+H75</f>
        <v>45985</v>
      </c>
      <c r="O75" s="3">
        <f>'0. Parametros'!$B$3+I75-1</f>
        <v>45996</v>
      </c>
      <c r="P75" s="15">
        <f>IFERROR(VLOOKUP($A75,'1. Calculo PERT'!$A:$M,13,FALSE()),0)</f>
        <v>3.3611111111111107</v>
      </c>
      <c r="Q75" s="16">
        <f>IFERROR(VLOOKUP($A75,'1. Calculo PERT'!$A:$P,16,FALSE()),0)</f>
        <v>108115970</v>
      </c>
    </row>
    <row r="76" spans="1:17" x14ac:dyDescent="0.25">
      <c r="A76" s="7" t="s">
        <v>462</v>
      </c>
      <c r="B76" s="7" t="s">
        <v>463</v>
      </c>
      <c r="C76" s="7" t="s">
        <v>90</v>
      </c>
      <c r="D76" s="7" t="s">
        <v>457</v>
      </c>
      <c r="E76" s="7" t="s">
        <v>14</v>
      </c>
      <c r="F76" s="14">
        <f>IFERROR(ROUND(VLOOKUP($A76,'1. Calculo PERT'!$A:$K,11,FALSE()),0),0)</f>
        <v>12</v>
      </c>
      <c r="G76" s="14" t="str">
        <f>IF(VLOOKUP($A76,'1. Calculo PERT'!$A:$N,14,FALSE())=0,"",VLOOKUP($A76,'1. Calculo PERT'!$A:$N,14,FALSE()))</f>
        <v>1.3.1.2.1FC</v>
      </c>
      <c r="H76" s="7">
        <f>MAX(0,$I$71)</f>
        <v>331</v>
      </c>
      <c r="I76" s="7">
        <f t="shared" si="9"/>
        <v>343</v>
      </c>
      <c r="J76" s="7">
        <f>MIN($J$82,$J$81,$T$1)-$F76</f>
        <v>363</v>
      </c>
      <c r="K76" s="7">
        <f t="shared" si="10"/>
        <v>375</v>
      </c>
      <c r="L76" s="7">
        <f t="shared" si="11"/>
        <v>32</v>
      </c>
      <c r="M76" s="7" t="str">
        <f t="shared" si="12"/>
        <v>no</v>
      </c>
      <c r="N76" s="3">
        <f>'0. Parametros'!$B$3+H76</f>
        <v>46001</v>
      </c>
      <c r="O76" s="3">
        <f>'0. Parametros'!$B$3+I76-1</f>
        <v>46012</v>
      </c>
      <c r="P76" s="15">
        <f>IFERROR(VLOOKUP($A76,'1. Calculo PERT'!$A:$M,13,FALSE()),0)</f>
        <v>2.25</v>
      </c>
      <c r="Q76" s="16">
        <f>IFERROR(VLOOKUP($A76,'1. Calculo PERT'!$A:$P,16,FALSE()),0)</f>
        <v>82992054</v>
      </c>
    </row>
    <row r="77" spans="1:17" x14ac:dyDescent="0.25">
      <c r="A77" s="7" t="s">
        <v>432</v>
      </c>
      <c r="B77" s="7" t="s">
        <v>433</v>
      </c>
      <c r="C77" s="7" t="s">
        <v>90</v>
      </c>
      <c r="D77" s="7" t="s">
        <v>363</v>
      </c>
      <c r="E77" s="7" t="s">
        <v>14</v>
      </c>
      <c r="F77" s="14">
        <f>IFERROR(ROUND(VLOOKUP($A77,'1. Calculo PERT'!$A:$K,11,FALSE()),0),0)</f>
        <v>12</v>
      </c>
      <c r="G77" s="14" t="str">
        <f>IF(VLOOKUP($A77,'1. Calculo PERT'!$A:$N,14,FALSE())=0,"",VLOOKUP($A77,'1. Calculo PERT'!$A:$N,14,FALSE()))</f>
        <v>1.3.1.1.6FC</v>
      </c>
      <c r="H77" s="7">
        <f>MAX(0,$I$72)</f>
        <v>333</v>
      </c>
      <c r="I77" s="7">
        <f t="shared" si="9"/>
        <v>345</v>
      </c>
      <c r="J77" s="7">
        <f>MIN($J$144,$T$1)-$F77</f>
        <v>558</v>
      </c>
      <c r="K77" s="7">
        <f t="shared" si="10"/>
        <v>570</v>
      </c>
      <c r="L77" s="7">
        <f t="shared" si="11"/>
        <v>225</v>
      </c>
      <c r="M77" s="7" t="str">
        <f t="shared" si="12"/>
        <v>no</v>
      </c>
      <c r="N77" s="3">
        <f>'0. Parametros'!$B$3+H77</f>
        <v>46003</v>
      </c>
      <c r="O77" s="3">
        <f>'0. Parametros'!$B$3+I77-1</f>
        <v>46014</v>
      </c>
      <c r="P77" s="15">
        <f>IFERROR(VLOOKUP($A77,'1. Calculo PERT'!$A:$M,13,FALSE()),0)</f>
        <v>2.25</v>
      </c>
      <c r="Q77" s="16">
        <f>IFERROR(VLOOKUP($A77,'1. Calculo PERT'!$A:$P,16,FALSE()),0)</f>
        <v>92670831</v>
      </c>
    </row>
    <row r="78" spans="1:17" x14ac:dyDescent="0.25">
      <c r="A78" s="7" t="s">
        <v>412</v>
      </c>
      <c r="B78" s="7" t="s">
        <v>413</v>
      </c>
      <c r="C78" s="7" t="s">
        <v>90</v>
      </c>
      <c r="D78" s="7" t="s">
        <v>363</v>
      </c>
      <c r="E78" s="7" t="s">
        <v>14</v>
      </c>
      <c r="F78" s="14">
        <f>IFERROR(ROUND(VLOOKUP($A78,'1. Calculo PERT'!$A:$K,11,FALSE()),0),0)</f>
        <v>18</v>
      </c>
      <c r="G78" s="14" t="str">
        <f>IF(VLOOKUP($A78,'1. Calculo PERT'!$A:$N,14,FALSE())=0,"",VLOOKUP($A78,'1. Calculo PERT'!$A:$N,14,FALSE()))</f>
        <v>1.3.1.1.9FC</v>
      </c>
      <c r="H78" s="7">
        <f>MAX(0,$I$73)</f>
        <v>333</v>
      </c>
      <c r="I78" s="7">
        <f t="shared" si="9"/>
        <v>351</v>
      </c>
      <c r="J78" s="7">
        <f>MIN($J$93,$T$1)-$F78</f>
        <v>360</v>
      </c>
      <c r="K78" s="7">
        <f t="shared" si="10"/>
        <v>378</v>
      </c>
      <c r="L78" s="7">
        <f t="shared" si="11"/>
        <v>27</v>
      </c>
      <c r="M78" s="7" t="str">
        <f t="shared" si="12"/>
        <v>no</v>
      </c>
      <c r="N78" s="3">
        <f>'0. Parametros'!$B$3+H78</f>
        <v>46003</v>
      </c>
      <c r="O78" s="3">
        <f>'0. Parametros'!$B$3+I78-1</f>
        <v>46020</v>
      </c>
      <c r="P78" s="15">
        <f>IFERROR(VLOOKUP($A78,'1. Calculo PERT'!$A:$M,13,FALSE()),0)</f>
        <v>6.25</v>
      </c>
      <c r="Q78" s="16">
        <f>IFERROR(VLOOKUP($A78,'1. Calculo PERT'!$A:$P,16,FALSE()),0)</f>
        <v>154451386</v>
      </c>
    </row>
    <row r="79" spans="1:17" x14ac:dyDescent="0.25">
      <c r="A79" s="7" t="s">
        <v>399</v>
      </c>
      <c r="B79" s="7" t="s">
        <v>400</v>
      </c>
      <c r="C79" s="7" t="s">
        <v>90</v>
      </c>
      <c r="D79" s="7" t="s">
        <v>363</v>
      </c>
      <c r="E79" s="7" t="s">
        <v>14</v>
      </c>
      <c r="F79" s="14">
        <f>IFERROR(ROUND(VLOOKUP($A79,'1. Calculo PERT'!$A:$K,11,FALSE()),0),0)</f>
        <v>23</v>
      </c>
      <c r="G79" s="14" t="str">
        <f>IF(VLOOKUP($A79,'1. Calculo PERT'!$A:$N,14,FALSE())=0,"",VLOOKUP($A79,'1. Calculo PERT'!$A:$N,14,FALSE()))</f>
        <v>1.3.1.1.6FC, 1.3.1.1.5FC</v>
      </c>
      <c r="H79" s="7">
        <f>MAX(0,$I$72,$I$70)</f>
        <v>333</v>
      </c>
      <c r="I79" s="7">
        <f t="shared" si="9"/>
        <v>356</v>
      </c>
      <c r="J79" s="7">
        <f>MIN($J$84,$J$83,$T$1)-$F79</f>
        <v>333</v>
      </c>
      <c r="K79" s="7">
        <f t="shared" si="10"/>
        <v>356</v>
      </c>
      <c r="L79" s="7">
        <f t="shared" si="11"/>
        <v>0</v>
      </c>
      <c r="M79" s="7" t="str">
        <f t="shared" si="12"/>
        <v>SI</v>
      </c>
      <c r="N79" s="3">
        <f>'0. Parametros'!$B$3+H79</f>
        <v>46003</v>
      </c>
      <c r="O79" s="3">
        <f>'0. Parametros'!$B$3+I79-1</f>
        <v>46025</v>
      </c>
      <c r="P79" s="15">
        <f>IFERROR(VLOOKUP($A79,'1. Calculo PERT'!$A:$M,13,FALSE()),0)</f>
        <v>10.027777777777777</v>
      </c>
      <c r="Q79" s="16">
        <f>IFERROR(VLOOKUP($A79,'1. Calculo PERT'!$A:$P,16,FALSE()),0)</f>
        <v>200786801</v>
      </c>
    </row>
    <row r="80" spans="1:17" x14ac:dyDescent="0.25">
      <c r="A80" s="7" t="s">
        <v>580</v>
      </c>
      <c r="B80" s="7" t="s">
        <v>581</v>
      </c>
      <c r="C80" s="7" t="s">
        <v>90</v>
      </c>
      <c r="D80" s="7" t="s">
        <v>363</v>
      </c>
      <c r="E80" s="7" t="s">
        <v>14</v>
      </c>
      <c r="F80" s="14">
        <f>IFERROR(ROUND(VLOOKUP($A80,'1. Calculo PERT'!$A:$K,11,FALSE()),0),0)</f>
        <v>18</v>
      </c>
      <c r="G80" s="14" t="str">
        <f>IF(VLOOKUP($A80,'1. Calculo PERT'!$A:$N,14,FALSE())=0,"",VLOOKUP($A80,'1. Calculo PERT'!$A:$N,14,FALSE()))</f>
        <v>1.3.2.3.1FC</v>
      </c>
      <c r="H80" s="7">
        <f>MAX(0,$I$74)</f>
        <v>342</v>
      </c>
      <c r="I80" s="7">
        <f t="shared" si="9"/>
        <v>360</v>
      </c>
      <c r="J80" s="7">
        <f>MIN($J$86,$J$85,$T$1)-$F80</f>
        <v>493</v>
      </c>
      <c r="K80" s="7">
        <f t="shared" si="10"/>
        <v>511</v>
      </c>
      <c r="L80" s="7">
        <f t="shared" si="11"/>
        <v>151</v>
      </c>
      <c r="M80" s="7" t="str">
        <f t="shared" si="12"/>
        <v>no</v>
      </c>
      <c r="N80" s="3">
        <f>'0. Parametros'!$B$3+H80</f>
        <v>46012</v>
      </c>
      <c r="O80" s="3">
        <f>'0. Parametros'!$B$3+I80-1</f>
        <v>46029</v>
      </c>
      <c r="P80" s="15">
        <f>IFERROR(VLOOKUP($A80,'1. Calculo PERT'!$A:$M,13,FALSE()),0)</f>
        <v>6.25</v>
      </c>
      <c r="Q80" s="16">
        <f>IFERROR(VLOOKUP($A80,'1. Calculo PERT'!$A:$P,16,FALSE()),0)</f>
        <v>58594295</v>
      </c>
    </row>
    <row r="81" spans="1:17" x14ac:dyDescent="0.25">
      <c r="A81" s="7" t="s">
        <v>472</v>
      </c>
      <c r="B81" s="7" t="s">
        <v>473</v>
      </c>
      <c r="C81" s="7" t="s">
        <v>90</v>
      </c>
      <c r="D81" s="7" t="s">
        <v>457</v>
      </c>
      <c r="E81" s="7" t="s">
        <v>14</v>
      </c>
      <c r="F81" s="14">
        <f>IFERROR(ROUND(VLOOKUP($A81,'1. Calculo PERT'!$A:$K,11,FALSE()),0),0)</f>
        <v>18</v>
      </c>
      <c r="G81" s="14" t="str">
        <f>IF(VLOOKUP($A81,'1. Calculo PERT'!$A:$N,14,FALSE())=0,"",VLOOKUP($A81,'1. Calculo PERT'!$A:$N,14,FALSE()))</f>
        <v>1.3.1.2.2FC</v>
      </c>
      <c r="H81" s="7">
        <f>MAX(0,$I$76)</f>
        <v>343</v>
      </c>
      <c r="I81" s="7">
        <f t="shared" si="9"/>
        <v>361</v>
      </c>
      <c r="J81" s="7">
        <f>MIN($J$87,$T$1)-$F81</f>
        <v>377</v>
      </c>
      <c r="K81" s="7">
        <f t="shared" si="10"/>
        <v>395</v>
      </c>
      <c r="L81" s="7">
        <f t="shared" si="11"/>
        <v>34</v>
      </c>
      <c r="M81" s="7" t="str">
        <f t="shared" si="12"/>
        <v>no</v>
      </c>
      <c r="N81" s="3">
        <f>'0. Parametros'!$B$3+H81</f>
        <v>46013</v>
      </c>
      <c r="O81" s="3">
        <f>'0. Parametros'!$B$3+I81-1</f>
        <v>46030</v>
      </c>
      <c r="P81" s="15">
        <f>IFERROR(VLOOKUP($A81,'1. Calculo PERT'!$A:$M,13,FALSE()),0)</f>
        <v>6.25</v>
      </c>
      <c r="Q81" s="16">
        <f>IFERROR(VLOOKUP($A81,'1. Calculo PERT'!$A:$P,16,FALSE()),0)</f>
        <v>138320090</v>
      </c>
    </row>
    <row r="82" spans="1:17" x14ac:dyDescent="0.25">
      <c r="A82" s="7" t="s">
        <v>467</v>
      </c>
      <c r="B82" s="7" t="s">
        <v>468</v>
      </c>
      <c r="C82" s="7" t="s">
        <v>90</v>
      </c>
      <c r="D82" s="7" t="s">
        <v>457</v>
      </c>
      <c r="E82" s="7" t="s">
        <v>14</v>
      </c>
      <c r="F82" s="14">
        <f>IFERROR(ROUND(VLOOKUP($A82,'1. Calculo PERT'!$A:$K,11,FALSE()),0),0)</f>
        <v>20</v>
      </c>
      <c r="G82" s="14" t="str">
        <f>IF(VLOOKUP($A82,'1. Calculo PERT'!$A:$N,14,FALSE())=0,"",VLOOKUP($A82,'1. Calculo PERT'!$A:$N,14,FALSE()))</f>
        <v>1.3.1.2.2FC</v>
      </c>
      <c r="H82" s="7">
        <f>MAX(0,$I$76)</f>
        <v>343</v>
      </c>
      <c r="I82" s="7">
        <f t="shared" si="9"/>
        <v>363</v>
      </c>
      <c r="J82" s="7">
        <f>MIN($J$87,$T$1)-$F82</f>
        <v>375</v>
      </c>
      <c r="K82" s="7">
        <f t="shared" si="10"/>
        <v>395</v>
      </c>
      <c r="L82" s="7">
        <f t="shared" si="11"/>
        <v>32</v>
      </c>
      <c r="M82" s="7" t="str">
        <f t="shared" si="12"/>
        <v>no</v>
      </c>
      <c r="N82" s="3">
        <f>'0. Parametros'!$B$3+H82</f>
        <v>46013</v>
      </c>
      <c r="O82" s="3">
        <f>'0. Parametros'!$B$3+I82-1</f>
        <v>46032</v>
      </c>
      <c r="P82" s="15">
        <f>IFERROR(VLOOKUP($A82,'1. Calculo PERT'!$A:$M,13,FALSE()),0)</f>
        <v>6.25</v>
      </c>
      <c r="Q82" s="16">
        <f>IFERROR(VLOOKUP($A82,'1. Calculo PERT'!$A:$P,16,FALSE()),0)</f>
        <v>152152099</v>
      </c>
    </row>
    <row r="83" spans="1:17" x14ac:dyDescent="0.25">
      <c r="A83" s="7" t="s">
        <v>437</v>
      </c>
      <c r="B83" s="7" t="s">
        <v>438</v>
      </c>
      <c r="C83" s="7" t="s">
        <v>90</v>
      </c>
      <c r="D83" s="7" t="s">
        <v>363</v>
      </c>
      <c r="E83" s="7" t="s">
        <v>14</v>
      </c>
      <c r="F83" s="14">
        <f>IFERROR(ROUND(VLOOKUP($A83,'1. Calculo PERT'!$A:$K,11,FALSE()),0),0)</f>
        <v>12</v>
      </c>
      <c r="G83" s="14" t="str">
        <f>IF(VLOOKUP($A83,'1. Calculo PERT'!$A:$N,14,FALSE())=0,"",VLOOKUP($A83,'1. Calculo PERT'!$A:$N,14,FALSE()))</f>
        <v>1.3.1.1.7FC</v>
      </c>
      <c r="H83" s="7">
        <f>MAX(0,$I$79)</f>
        <v>356</v>
      </c>
      <c r="I83" s="7">
        <f t="shared" si="9"/>
        <v>368</v>
      </c>
      <c r="J83" s="7">
        <f>MIN($J$144,$T$1)-$F83</f>
        <v>558</v>
      </c>
      <c r="K83" s="7">
        <f t="shared" si="10"/>
        <v>570</v>
      </c>
      <c r="L83" s="7">
        <f t="shared" si="11"/>
        <v>202</v>
      </c>
      <c r="M83" s="7" t="str">
        <f t="shared" si="12"/>
        <v>no</v>
      </c>
      <c r="N83" s="3">
        <f>'0. Parametros'!$B$3+H83</f>
        <v>46026</v>
      </c>
      <c r="O83" s="3">
        <f>'0. Parametros'!$B$3+I83-1</f>
        <v>46037</v>
      </c>
      <c r="P83" s="15">
        <f>IFERROR(VLOOKUP($A83,'1. Calculo PERT'!$A:$M,13,FALSE()),0)</f>
        <v>3.3611111111111107</v>
      </c>
      <c r="Q83" s="16">
        <f>IFERROR(VLOOKUP($A83,'1. Calculo PERT'!$A:$P,16,FALSE()),0)</f>
        <v>108115970</v>
      </c>
    </row>
    <row r="84" spans="1:17" x14ac:dyDescent="0.25">
      <c r="A84" s="7" t="s">
        <v>404</v>
      </c>
      <c r="B84" s="7" t="s">
        <v>405</v>
      </c>
      <c r="C84" s="7" t="s">
        <v>90</v>
      </c>
      <c r="D84" s="7" t="s">
        <v>363</v>
      </c>
      <c r="E84" s="7" t="s">
        <v>14</v>
      </c>
      <c r="F84" s="14">
        <f>IFERROR(ROUND(VLOOKUP($A84,'1. Calculo PERT'!$A:$K,11,FALSE()),0),0)</f>
        <v>22</v>
      </c>
      <c r="G84" s="14" t="str">
        <f>IF(VLOOKUP($A84,'1. Calculo PERT'!$A:$N,14,FALSE())=0,"",VLOOKUP($A84,'1. Calculo PERT'!$A:$N,14,FALSE()))</f>
        <v>1.3.1.1.7FC</v>
      </c>
      <c r="H84" s="7">
        <f>MAX(0,$I$79)</f>
        <v>356</v>
      </c>
      <c r="I84" s="7">
        <f t="shared" si="9"/>
        <v>378</v>
      </c>
      <c r="J84" s="7">
        <f>MIN($J$93,$J$92,$K$88,$T$1)-$F84</f>
        <v>356</v>
      </c>
      <c r="K84" s="7">
        <f t="shared" si="10"/>
        <v>378</v>
      </c>
      <c r="L84" s="7">
        <f t="shared" si="11"/>
        <v>0</v>
      </c>
      <c r="M84" s="7" t="str">
        <f t="shared" si="12"/>
        <v>SI</v>
      </c>
      <c r="N84" s="3">
        <f>'0. Parametros'!$B$3+H84</f>
        <v>46026</v>
      </c>
      <c r="O84" s="3">
        <f>'0. Parametros'!$B$3+I84-1</f>
        <v>46047</v>
      </c>
      <c r="P84" s="15">
        <f>IFERROR(VLOOKUP($A84,'1. Calculo PERT'!$A:$M,13,FALSE()),0)</f>
        <v>10.027777777777777</v>
      </c>
      <c r="Q84" s="16">
        <f>IFERROR(VLOOKUP($A84,'1. Calculo PERT'!$A:$P,16,FALSE()),0)</f>
        <v>185341663</v>
      </c>
    </row>
    <row r="85" spans="1:17" x14ac:dyDescent="0.25">
      <c r="A85" s="7" t="s">
        <v>603</v>
      </c>
      <c r="B85" s="7" t="s">
        <v>604</v>
      </c>
      <c r="C85" s="7" t="s">
        <v>90</v>
      </c>
      <c r="D85" s="7" t="s">
        <v>363</v>
      </c>
      <c r="E85" s="7" t="s">
        <v>14</v>
      </c>
      <c r="F85" s="14">
        <f>IFERROR(ROUND(VLOOKUP($A85,'1. Calculo PERT'!$A:$K,11,FALSE()),0),0)</f>
        <v>12</v>
      </c>
      <c r="G85" s="14" t="str">
        <f>IF(VLOOKUP($A85,'1. Calculo PERT'!$A:$N,14,FALSE())=0,"",VLOOKUP($A85,'1. Calculo PERT'!$A:$N,14,FALSE()))</f>
        <v>1.3.2.3.2FC</v>
      </c>
      <c r="H85" s="7">
        <f>MAX(0,$I$80)</f>
        <v>360</v>
      </c>
      <c r="I85" s="7">
        <f t="shared" si="9"/>
        <v>372</v>
      </c>
      <c r="J85" s="7">
        <f>MIN($J$144,$T$1)-$F85</f>
        <v>558</v>
      </c>
      <c r="K85" s="7">
        <f t="shared" si="10"/>
        <v>570</v>
      </c>
      <c r="L85" s="7">
        <f t="shared" si="11"/>
        <v>198</v>
      </c>
      <c r="M85" s="7" t="str">
        <f t="shared" si="12"/>
        <v>no</v>
      </c>
      <c r="N85" s="3">
        <f>'0. Parametros'!$B$3+H85</f>
        <v>46030</v>
      </c>
      <c r="O85" s="3">
        <f>'0. Parametros'!$B$3+I85-1</f>
        <v>46041</v>
      </c>
      <c r="P85" s="15">
        <f>IFERROR(VLOOKUP($A85,'1. Calculo PERT'!$A:$M,13,FALSE()),0)</f>
        <v>3.3611111111111107</v>
      </c>
      <c r="Q85" s="16">
        <f>IFERROR(VLOOKUP($A85,'1. Calculo PERT'!$A:$P,16,FALSE()),0)</f>
        <v>41016006</v>
      </c>
    </row>
    <row r="86" spans="1:17" x14ac:dyDescent="0.25">
      <c r="A86" s="7" t="s">
        <v>585</v>
      </c>
      <c r="B86" s="7" t="s">
        <v>586</v>
      </c>
      <c r="C86" s="7" t="s">
        <v>90</v>
      </c>
      <c r="D86" s="7" t="s">
        <v>363</v>
      </c>
      <c r="E86" s="7" t="s">
        <v>14</v>
      </c>
      <c r="F86" s="14">
        <f>IFERROR(ROUND(VLOOKUP($A86,'1. Calculo PERT'!$A:$K,11,FALSE()),0),0)</f>
        <v>27</v>
      </c>
      <c r="G86" s="14" t="str">
        <f>IF(VLOOKUP($A86,'1. Calculo PERT'!$A:$N,14,FALSE())=0,"",VLOOKUP($A86,'1. Calculo PERT'!$A:$N,14,FALSE()))</f>
        <v>1.3.2.3.2FC</v>
      </c>
      <c r="H86" s="7">
        <f>MAX(0,$I$80)</f>
        <v>360</v>
      </c>
      <c r="I86" s="7">
        <f t="shared" si="9"/>
        <v>387</v>
      </c>
      <c r="J86" s="7">
        <f>MIN($J$94,$T$1)-$F86</f>
        <v>511</v>
      </c>
      <c r="K86" s="7">
        <f t="shared" si="10"/>
        <v>538</v>
      </c>
      <c r="L86" s="7">
        <f t="shared" si="11"/>
        <v>151</v>
      </c>
      <c r="M86" s="7" t="str">
        <f t="shared" si="12"/>
        <v>no</v>
      </c>
      <c r="N86" s="3">
        <f>'0. Parametros'!$B$3+H86</f>
        <v>46030</v>
      </c>
      <c r="O86" s="3">
        <f>'0. Parametros'!$B$3+I86-1</f>
        <v>46056</v>
      </c>
      <c r="P86" s="15">
        <f>IFERROR(VLOOKUP($A86,'1. Calculo PERT'!$A:$M,13,FALSE()),0)</f>
        <v>16</v>
      </c>
      <c r="Q86" s="16">
        <f>IFERROR(VLOOKUP($A86,'1. Calculo PERT'!$A:$P,16,FALSE()),0)</f>
        <v>87891442</v>
      </c>
    </row>
    <row r="87" spans="1:17" x14ac:dyDescent="0.25">
      <c r="A87" s="7" t="s">
        <v>475</v>
      </c>
      <c r="B87" s="7" t="s">
        <v>476</v>
      </c>
      <c r="C87" s="7" t="s">
        <v>90</v>
      </c>
      <c r="D87" s="7" t="s">
        <v>457</v>
      </c>
      <c r="E87" s="7" t="s">
        <v>14</v>
      </c>
      <c r="F87" s="14">
        <f>IFERROR(ROUND(VLOOKUP($A87,'1. Calculo PERT'!$A:$K,11,FALSE()),0),0)</f>
        <v>12</v>
      </c>
      <c r="G87" s="14" t="str">
        <f>IF(VLOOKUP($A87,'1. Calculo PERT'!$A:$N,14,FALSE())=0,"",VLOOKUP($A87,'1. Calculo PERT'!$A:$N,14,FALSE()))</f>
        <v>1.3.1.2.3FC, 1.3.1.2.4FC</v>
      </c>
      <c r="H87" s="7">
        <f>MAX(0,$I$82,$I$81)</f>
        <v>363</v>
      </c>
      <c r="I87" s="7">
        <f t="shared" si="9"/>
        <v>375</v>
      </c>
      <c r="J87" s="7">
        <f>MIN($J$91,$J$90,$J$89,$T$1)-$F87</f>
        <v>395</v>
      </c>
      <c r="K87" s="7">
        <f t="shared" si="10"/>
        <v>407</v>
      </c>
      <c r="L87" s="7">
        <f t="shared" si="11"/>
        <v>32</v>
      </c>
      <c r="M87" s="7" t="str">
        <f t="shared" si="12"/>
        <v>no</v>
      </c>
      <c r="N87" s="3">
        <f>'0. Parametros'!$B$3+H87</f>
        <v>46033</v>
      </c>
      <c r="O87" s="3">
        <f>'0. Parametros'!$B$3+I87-1</f>
        <v>46044</v>
      </c>
      <c r="P87" s="15">
        <f>IFERROR(VLOOKUP($A87,'1. Calculo PERT'!$A:$M,13,FALSE()),0)</f>
        <v>2.25</v>
      </c>
      <c r="Q87" s="16">
        <f>IFERROR(VLOOKUP($A87,'1. Calculo PERT'!$A:$P,16,FALSE()),0)</f>
        <v>82992054</v>
      </c>
    </row>
    <row r="88" spans="1:17" x14ac:dyDescent="0.25">
      <c r="A88" s="7" t="s">
        <v>450</v>
      </c>
      <c r="B88" s="7" t="s">
        <v>451</v>
      </c>
      <c r="C88" s="7" t="s">
        <v>90</v>
      </c>
      <c r="D88" s="7" t="s">
        <v>363</v>
      </c>
      <c r="E88" s="7" t="s">
        <v>14</v>
      </c>
      <c r="F88" s="14">
        <f>IFERROR(ROUND(VLOOKUP($A88,'1. Calculo PERT'!$A:$K,11,FALSE()),0),0)</f>
        <v>10</v>
      </c>
      <c r="G88" s="14" t="str">
        <f>IF(VLOOKUP($A88,'1. Calculo PERT'!$A:$N,14,FALSE())=0,"",VLOOKUP($A88,'1. Calculo PERT'!$A:$N,14,FALSE()))</f>
        <v>1.3.1.1.8FF</v>
      </c>
      <c r="H88" s="7">
        <f>MAX(0,$I$84-$F88)</f>
        <v>368</v>
      </c>
      <c r="I88" s="7">
        <f t="shared" si="9"/>
        <v>378</v>
      </c>
      <c r="J88" s="7">
        <f>MIN($J$144,$T$1)-$F88</f>
        <v>560</v>
      </c>
      <c r="K88" s="7">
        <f t="shared" si="10"/>
        <v>570</v>
      </c>
      <c r="L88" s="7">
        <f t="shared" si="11"/>
        <v>192</v>
      </c>
      <c r="M88" s="7" t="str">
        <f t="shared" si="12"/>
        <v>no</v>
      </c>
      <c r="N88" s="3">
        <f>'0. Parametros'!$B$3+H88</f>
        <v>46038</v>
      </c>
      <c r="O88" s="3">
        <f>'0. Parametros'!$B$3+I88-1</f>
        <v>46047</v>
      </c>
      <c r="P88" s="15">
        <f>IFERROR(VLOOKUP($A88,'1. Calculo PERT'!$A:$M,13,FALSE()),0)</f>
        <v>2.25</v>
      </c>
      <c r="Q88" s="16">
        <f>IFERROR(VLOOKUP($A88,'1. Calculo PERT'!$A:$P,16,FALSE()),0)</f>
        <v>77225694</v>
      </c>
    </row>
    <row r="89" spans="1:17" x14ac:dyDescent="0.25">
      <c r="A89" s="7" t="s">
        <v>488</v>
      </c>
      <c r="B89" s="7" t="s">
        <v>489</v>
      </c>
      <c r="C89" s="7" t="s">
        <v>94</v>
      </c>
      <c r="D89" s="7" t="s">
        <v>457</v>
      </c>
      <c r="E89" s="7" t="s">
        <v>14</v>
      </c>
      <c r="F89" s="14">
        <f>IFERROR(ROUND(VLOOKUP($A89,'1. Calculo PERT'!$A:$K,11,FALSE()),0),0)</f>
        <v>6</v>
      </c>
      <c r="G89" s="14" t="str">
        <f>IF(VLOOKUP($A89,'1. Calculo PERT'!$A:$N,14,FALSE())=0,"",VLOOKUP($A89,'1. Calculo PERT'!$A:$N,14,FALSE()))</f>
        <v>1.3.1.2.5FC</v>
      </c>
      <c r="H89" s="7">
        <f>MAX(0,$I$87)</f>
        <v>375</v>
      </c>
      <c r="I89" s="7">
        <f t="shared" si="9"/>
        <v>381</v>
      </c>
      <c r="J89" s="7">
        <f>MIN($J$144,$T$1)-$F89</f>
        <v>564</v>
      </c>
      <c r="K89" s="7">
        <f t="shared" si="10"/>
        <v>570</v>
      </c>
      <c r="L89" s="7">
        <f t="shared" si="11"/>
        <v>189</v>
      </c>
      <c r="M89" s="7" t="str">
        <f t="shared" si="12"/>
        <v>no</v>
      </c>
      <c r="N89" s="3">
        <f>'0. Parametros'!$B$3+H89</f>
        <v>46045</v>
      </c>
      <c r="O89" s="3">
        <f>'0. Parametros'!$B$3+I89-1</f>
        <v>46050</v>
      </c>
      <c r="P89" s="15">
        <f>IFERROR(VLOOKUP($A89,'1. Calculo PERT'!$A:$M,13,FALSE()),0)</f>
        <v>1</v>
      </c>
      <c r="Q89" s="16">
        <f>IFERROR(VLOOKUP($A89,'1. Calculo PERT'!$A:$P,16,FALSE()),0)</f>
        <v>55328037</v>
      </c>
    </row>
    <row r="90" spans="1:17" x14ac:dyDescent="0.25">
      <c r="A90" s="7" t="s">
        <v>485</v>
      </c>
      <c r="B90" s="7" t="s">
        <v>486</v>
      </c>
      <c r="C90" s="7" t="s">
        <v>90</v>
      </c>
      <c r="D90" s="7" t="s">
        <v>457</v>
      </c>
      <c r="E90" s="7" t="s">
        <v>14</v>
      </c>
      <c r="F90" s="14">
        <f>IFERROR(ROUND(VLOOKUP($A90,'1. Calculo PERT'!$A:$K,11,FALSE()),0),0)</f>
        <v>10</v>
      </c>
      <c r="G90" s="14" t="str">
        <f>IF(VLOOKUP($A90,'1. Calculo PERT'!$A:$N,14,FALSE())=0,"",VLOOKUP($A90,'1. Calculo PERT'!$A:$N,14,FALSE()))</f>
        <v>1.3.1.2.5FC</v>
      </c>
      <c r="H90" s="7">
        <f>MAX(0,$I$87)</f>
        <v>375</v>
      </c>
      <c r="I90" s="7">
        <f t="shared" si="9"/>
        <v>385</v>
      </c>
      <c r="J90" s="7">
        <f>MIN($J$144,$T$1)-$F90</f>
        <v>560</v>
      </c>
      <c r="K90" s="7">
        <f t="shared" si="10"/>
        <v>570</v>
      </c>
      <c r="L90" s="7">
        <f t="shared" si="11"/>
        <v>185</v>
      </c>
      <c r="M90" s="7" t="str">
        <f t="shared" si="12"/>
        <v>no</v>
      </c>
      <c r="N90" s="3">
        <f>'0. Parametros'!$B$3+H90</f>
        <v>46045</v>
      </c>
      <c r="O90" s="3">
        <f>'0. Parametros'!$B$3+I90-1</f>
        <v>46054</v>
      </c>
      <c r="P90" s="15">
        <f>IFERROR(VLOOKUP($A90,'1. Calculo PERT'!$A:$M,13,FALSE()),0)</f>
        <v>2.25</v>
      </c>
      <c r="Q90" s="16">
        <f>IFERROR(VLOOKUP($A90,'1. Calculo PERT'!$A:$P,16,FALSE()),0)</f>
        <v>69160045</v>
      </c>
    </row>
    <row r="91" spans="1:17" x14ac:dyDescent="0.25">
      <c r="A91" s="7" t="s">
        <v>480</v>
      </c>
      <c r="B91" s="7" t="s">
        <v>481</v>
      </c>
      <c r="C91" s="7" t="s">
        <v>94</v>
      </c>
      <c r="D91" s="7" t="s">
        <v>457</v>
      </c>
      <c r="E91" s="7" t="s">
        <v>14</v>
      </c>
      <c r="F91" s="14">
        <f>IFERROR(ROUND(VLOOKUP($A91,'1. Calculo PERT'!$A:$K,11,FALSE()),0),0)</f>
        <v>12</v>
      </c>
      <c r="G91" s="14" t="str">
        <f>IF(VLOOKUP($A91,'1. Calculo PERT'!$A:$N,14,FALSE())=0,"",VLOOKUP($A91,'1. Calculo PERT'!$A:$N,14,FALSE()))</f>
        <v>1.3.1.2.5FC</v>
      </c>
      <c r="H91" s="7">
        <f>MAX(0,$I$87)</f>
        <v>375</v>
      </c>
      <c r="I91" s="7">
        <f t="shared" si="9"/>
        <v>387</v>
      </c>
      <c r="J91" s="7">
        <f>MIN($J$99,$J$144,$T$1)-$F91</f>
        <v>407</v>
      </c>
      <c r="K91" s="7">
        <f t="shared" si="10"/>
        <v>419</v>
      </c>
      <c r="L91" s="7">
        <f t="shared" si="11"/>
        <v>32</v>
      </c>
      <c r="M91" s="7" t="str">
        <f t="shared" si="12"/>
        <v>no</v>
      </c>
      <c r="N91" s="3">
        <f>'0. Parametros'!$B$3+H91</f>
        <v>46045</v>
      </c>
      <c r="O91" s="3">
        <f>'0. Parametros'!$B$3+I91-1</f>
        <v>46056</v>
      </c>
      <c r="P91" s="15">
        <f>IFERROR(VLOOKUP($A91,'1. Calculo PERT'!$A:$M,13,FALSE()),0)</f>
        <v>3.3611111111111107</v>
      </c>
      <c r="Q91" s="16">
        <f>IFERROR(VLOOKUP($A91,'1. Calculo PERT'!$A:$P,16,FALSE()),0)</f>
        <v>96824063</v>
      </c>
    </row>
    <row r="92" spans="1:17" x14ac:dyDescent="0.25">
      <c r="A92" s="7" t="s">
        <v>440</v>
      </c>
      <c r="B92" s="7" t="s">
        <v>441</v>
      </c>
      <c r="C92" s="7" t="s">
        <v>90</v>
      </c>
      <c r="D92" s="7" t="s">
        <v>363</v>
      </c>
      <c r="E92" s="7" t="s">
        <v>14</v>
      </c>
      <c r="F92" s="14">
        <f>IFERROR(ROUND(VLOOKUP($A92,'1. Calculo PERT'!$A:$K,11,FALSE()),0),0)</f>
        <v>12</v>
      </c>
      <c r="G92" s="14" t="str">
        <f>IF(VLOOKUP($A92,'1. Calculo PERT'!$A:$N,14,FALSE())=0,"",VLOOKUP($A92,'1. Calculo PERT'!$A:$N,14,FALSE()))</f>
        <v>1.3.1.1.8FC</v>
      </c>
      <c r="H92" s="7">
        <f>MAX(0,$I$84)</f>
        <v>378</v>
      </c>
      <c r="I92" s="7">
        <f t="shared" si="9"/>
        <v>390</v>
      </c>
      <c r="J92" s="7">
        <f>MIN($J$144,$T$1)-$F92</f>
        <v>558</v>
      </c>
      <c r="K92" s="7">
        <f t="shared" si="10"/>
        <v>570</v>
      </c>
      <c r="L92" s="7">
        <f t="shared" si="11"/>
        <v>180</v>
      </c>
      <c r="M92" s="7" t="str">
        <f t="shared" si="12"/>
        <v>no</v>
      </c>
      <c r="N92" s="3">
        <f>'0. Parametros'!$B$3+H92</f>
        <v>46048</v>
      </c>
      <c r="O92" s="3">
        <f>'0. Parametros'!$B$3+I92-1</f>
        <v>46059</v>
      </c>
      <c r="P92" s="15">
        <f>IFERROR(VLOOKUP($A92,'1. Calculo PERT'!$A:$M,13,FALSE()),0)</f>
        <v>3.3611111111111107</v>
      </c>
      <c r="Q92" s="16">
        <f>IFERROR(VLOOKUP($A92,'1. Calculo PERT'!$A:$P,16,FALSE()),0)</f>
        <v>108115970</v>
      </c>
    </row>
    <row r="93" spans="1:17" x14ac:dyDescent="0.25">
      <c r="A93" s="7" t="s">
        <v>417</v>
      </c>
      <c r="B93" s="7" t="s">
        <v>418</v>
      </c>
      <c r="C93" s="7" t="s">
        <v>90</v>
      </c>
      <c r="D93" s="7" t="s">
        <v>363</v>
      </c>
      <c r="E93" s="7" t="s">
        <v>14</v>
      </c>
      <c r="F93" s="14">
        <f>IFERROR(ROUND(VLOOKUP($A93,'1. Calculo PERT'!$A:$K,11,FALSE()),0),0)</f>
        <v>15</v>
      </c>
      <c r="G93" s="14" t="str">
        <f>IF(VLOOKUP($A93,'1. Calculo PERT'!$A:$N,14,FALSE())=0,"",VLOOKUP($A93,'1. Calculo PERT'!$A:$N,14,FALSE()))</f>
        <v>1.3.1.1.8FC, 1.3.1.1.10FC</v>
      </c>
      <c r="H93" s="7">
        <f>MAX(0,$I$84,$I$78)</f>
        <v>378</v>
      </c>
      <c r="I93" s="7">
        <f t="shared" si="9"/>
        <v>393</v>
      </c>
      <c r="J93" s="7">
        <f>MIN($J$95,$T$1)-$F93</f>
        <v>378</v>
      </c>
      <c r="K93" s="7">
        <f t="shared" si="10"/>
        <v>393</v>
      </c>
      <c r="L93" s="7">
        <f t="shared" si="11"/>
        <v>0</v>
      </c>
      <c r="M93" s="7" t="str">
        <f t="shared" si="12"/>
        <v>SI</v>
      </c>
      <c r="N93" s="3">
        <f>'0. Parametros'!$B$3+H93</f>
        <v>46048</v>
      </c>
      <c r="O93" s="3">
        <f>'0. Parametros'!$B$3+I93-1</f>
        <v>46062</v>
      </c>
      <c r="P93" s="15">
        <f>IFERROR(VLOOKUP($A93,'1. Calculo PERT'!$A:$M,13,FALSE()),0)</f>
        <v>4.6944444444444438</v>
      </c>
      <c r="Q93" s="16">
        <f>IFERROR(VLOOKUP($A93,'1. Calculo PERT'!$A:$P,16,FALSE()),0)</f>
        <v>123561108</v>
      </c>
    </row>
    <row r="94" spans="1:17" x14ac:dyDescent="0.25">
      <c r="A94" s="7" t="s">
        <v>590</v>
      </c>
      <c r="B94" s="7" t="s">
        <v>591</v>
      </c>
      <c r="C94" s="7" t="s">
        <v>90</v>
      </c>
      <c r="D94" s="7" t="s">
        <v>363</v>
      </c>
      <c r="E94" s="7" t="s">
        <v>14</v>
      </c>
      <c r="F94" s="14">
        <f>IFERROR(ROUND(VLOOKUP($A94,'1. Calculo PERT'!$A:$K,11,FALSE()),0),0)</f>
        <v>22</v>
      </c>
      <c r="G94" s="14" t="str">
        <f>IF(VLOOKUP($A94,'1. Calculo PERT'!$A:$N,14,FALSE())=0,"",VLOOKUP($A94,'1. Calculo PERT'!$A:$N,14,FALSE()))</f>
        <v>1.3.2.3.3FC</v>
      </c>
      <c r="H94" s="7">
        <f>MAX(0,$I$86)</f>
        <v>387</v>
      </c>
      <c r="I94" s="7">
        <f t="shared" si="9"/>
        <v>409</v>
      </c>
      <c r="J94" s="7">
        <f>MIN($J$97,$J$98,$J$144,$T$1)-$F94</f>
        <v>538</v>
      </c>
      <c r="K94" s="7">
        <f t="shared" si="10"/>
        <v>560</v>
      </c>
      <c r="L94" s="7">
        <f t="shared" si="11"/>
        <v>151</v>
      </c>
      <c r="M94" s="7" t="str">
        <f t="shared" si="12"/>
        <v>no</v>
      </c>
      <c r="N94" s="3">
        <f>'0. Parametros'!$B$3+H94</f>
        <v>46057</v>
      </c>
      <c r="O94" s="3">
        <f>'0. Parametros'!$B$3+I94-1</f>
        <v>46078</v>
      </c>
      <c r="P94" s="15">
        <f>IFERROR(VLOOKUP($A94,'1. Calculo PERT'!$A:$M,13,FALSE()),0)</f>
        <v>10.027777777777777</v>
      </c>
      <c r="Q94" s="16">
        <f>IFERROR(VLOOKUP($A94,'1. Calculo PERT'!$A:$P,16,FALSE()),0)</f>
        <v>70313154</v>
      </c>
    </row>
    <row r="95" spans="1:17" x14ac:dyDescent="0.25">
      <c r="A95" s="7" t="s">
        <v>422</v>
      </c>
      <c r="B95" s="7" t="s">
        <v>423</v>
      </c>
      <c r="C95" s="7" t="s">
        <v>94</v>
      </c>
      <c r="D95" s="7" t="s">
        <v>363</v>
      </c>
      <c r="E95" s="7" t="s">
        <v>14</v>
      </c>
      <c r="F95" s="14">
        <f>IFERROR(ROUND(VLOOKUP($A95,'1. Calculo PERT'!$A:$K,11,FALSE()),0),0)</f>
        <v>14</v>
      </c>
      <c r="G95" s="14" t="str">
        <f>IF(VLOOKUP($A95,'1. Calculo PERT'!$A:$N,14,FALSE())=0,"",VLOOKUP($A95,'1. Calculo PERT'!$A:$N,14,FALSE()))</f>
        <v>1.3.1.1.11FC</v>
      </c>
      <c r="H95" s="7">
        <f>MAX(0,$I$93)</f>
        <v>393</v>
      </c>
      <c r="I95" s="7">
        <f t="shared" si="9"/>
        <v>407</v>
      </c>
      <c r="J95" s="7">
        <f>MIN($J$96,$T$1)-$F95</f>
        <v>393</v>
      </c>
      <c r="K95" s="7">
        <f t="shared" si="10"/>
        <v>407</v>
      </c>
      <c r="L95" s="7">
        <f t="shared" si="11"/>
        <v>0</v>
      </c>
      <c r="M95" s="7" t="str">
        <f t="shared" si="12"/>
        <v>SI</v>
      </c>
      <c r="N95" s="3">
        <f>'0. Parametros'!$B$3+H95</f>
        <v>46063</v>
      </c>
      <c r="O95" s="3">
        <f>'0. Parametros'!$B$3+I95-1</f>
        <v>46076</v>
      </c>
      <c r="P95" s="15">
        <f>IFERROR(VLOOKUP($A95,'1. Calculo PERT'!$A:$M,13,FALSE()),0)</f>
        <v>4</v>
      </c>
      <c r="Q95" s="16">
        <f>IFERROR(VLOOKUP($A95,'1. Calculo PERT'!$A:$P,16,FALSE()),0)</f>
        <v>123561108</v>
      </c>
    </row>
    <row r="96" spans="1:17" x14ac:dyDescent="0.25">
      <c r="A96" s="7" t="s">
        <v>427</v>
      </c>
      <c r="B96" s="7" t="s">
        <v>428</v>
      </c>
      <c r="C96" s="7" t="s">
        <v>90</v>
      </c>
      <c r="D96" s="7" t="s">
        <v>363</v>
      </c>
      <c r="E96" s="7" t="s">
        <v>14</v>
      </c>
      <c r="F96" s="14">
        <f>IFERROR(ROUND(VLOOKUP($A96,'1. Calculo PERT'!$A:$K,11,FALSE()),0),0)</f>
        <v>12</v>
      </c>
      <c r="G96" s="14" t="str">
        <f>IF(VLOOKUP($A96,'1. Calculo PERT'!$A:$N,14,FALSE())=0,"",VLOOKUP($A96,'1. Calculo PERT'!$A:$N,14,FALSE()))</f>
        <v>1.3.1.1.12FC</v>
      </c>
      <c r="H96" s="7">
        <f>MAX(0,$I$95)</f>
        <v>407</v>
      </c>
      <c r="I96" s="7">
        <f t="shared" si="9"/>
        <v>419</v>
      </c>
      <c r="J96" s="7">
        <f>MIN($J$99,$T$1)-$F96</f>
        <v>407</v>
      </c>
      <c r="K96" s="7">
        <f t="shared" si="10"/>
        <v>419</v>
      </c>
      <c r="L96" s="7">
        <f t="shared" si="11"/>
        <v>0</v>
      </c>
      <c r="M96" s="7" t="str">
        <f t="shared" si="12"/>
        <v>SI</v>
      </c>
      <c r="N96" s="3">
        <f>'0. Parametros'!$B$3+H96</f>
        <v>46077</v>
      </c>
      <c r="O96" s="3">
        <f>'0. Parametros'!$B$3+I96-1</f>
        <v>46088</v>
      </c>
      <c r="P96" s="15">
        <f>IFERROR(VLOOKUP($A96,'1. Calculo PERT'!$A:$M,13,FALSE()),0)</f>
        <v>4.6944444444444438</v>
      </c>
      <c r="Q96" s="16">
        <f>IFERROR(VLOOKUP($A96,'1. Calculo PERT'!$A:$P,16,FALSE()),0)</f>
        <v>108115970</v>
      </c>
    </row>
    <row r="97" spans="1:17" x14ac:dyDescent="0.25">
      <c r="A97" s="7" t="s">
        <v>595</v>
      </c>
      <c r="B97" s="7" t="s">
        <v>596</v>
      </c>
      <c r="C97" s="7" t="s">
        <v>94</v>
      </c>
      <c r="D97" s="7" t="s">
        <v>363</v>
      </c>
      <c r="E97" s="7" t="s">
        <v>14</v>
      </c>
      <c r="F97" s="14">
        <f>IFERROR(ROUND(VLOOKUP($A97,'1. Calculo PERT'!$A:$K,11,FALSE()),0),0)</f>
        <v>10</v>
      </c>
      <c r="G97" s="14" t="str">
        <f>IF(VLOOKUP($A97,'1. Calculo PERT'!$A:$N,14,FALSE())=0,"",VLOOKUP($A97,'1. Calculo PERT'!$A:$N,14,FALSE()))</f>
        <v>1.3.2.3.4FC</v>
      </c>
      <c r="H97" s="7">
        <f>MAX(0,$I$94)</f>
        <v>409</v>
      </c>
      <c r="I97" s="7">
        <f t="shared" si="9"/>
        <v>419</v>
      </c>
      <c r="J97" s="7">
        <f>MIN($J$144,$T$1)-$F97</f>
        <v>560</v>
      </c>
      <c r="K97" s="7">
        <f t="shared" si="10"/>
        <v>570</v>
      </c>
      <c r="L97" s="7">
        <f t="shared" si="11"/>
        <v>151</v>
      </c>
      <c r="M97" s="7" t="str">
        <f t="shared" si="12"/>
        <v>no</v>
      </c>
      <c r="N97" s="3">
        <f>'0. Parametros'!$B$3+H97</f>
        <v>46079</v>
      </c>
      <c r="O97" s="3">
        <f>'0. Parametros'!$B$3+I97-1</f>
        <v>46088</v>
      </c>
      <c r="P97" s="15">
        <f>IFERROR(VLOOKUP($A97,'1. Calculo PERT'!$A:$M,13,FALSE()),0)</f>
        <v>2.25</v>
      </c>
      <c r="Q97" s="16">
        <f>IFERROR(VLOOKUP($A97,'1. Calculo PERT'!$A:$P,16,FALSE()),0)</f>
        <v>29297147</v>
      </c>
    </row>
    <row r="98" spans="1:17" x14ac:dyDescent="0.25">
      <c r="A98" s="7" t="s">
        <v>600</v>
      </c>
      <c r="B98" s="7" t="s">
        <v>601</v>
      </c>
      <c r="C98" s="7" t="s">
        <v>90</v>
      </c>
      <c r="D98" s="7" t="s">
        <v>363</v>
      </c>
      <c r="E98" s="7" t="s">
        <v>14</v>
      </c>
      <c r="F98" s="14">
        <f>IFERROR(ROUND(VLOOKUP($A98,'1. Calculo PERT'!$A:$K,11,FALSE()),0),0)</f>
        <v>10</v>
      </c>
      <c r="G98" s="14" t="str">
        <f>IF(VLOOKUP($A98,'1. Calculo PERT'!$A:$N,14,FALSE())=0,"",VLOOKUP($A98,'1. Calculo PERT'!$A:$N,14,FALSE()))</f>
        <v>1.3.2.3.4FC</v>
      </c>
      <c r="H98" s="7">
        <f>MAX(0,$I$94)</f>
        <v>409</v>
      </c>
      <c r="I98" s="7">
        <f t="shared" si="9"/>
        <v>419</v>
      </c>
      <c r="J98" s="7">
        <f>MIN($J$144,$T$1)-$F98</f>
        <v>560</v>
      </c>
      <c r="K98" s="7">
        <f t="shared" si="10"/>
        <v>570</v>
      </c>
      <c r="L98" s="7">
        <f t="shared" si="11"/>
        <v>151</v>
      </c>
      <c r="M98" s="7" t="str">
        <f t="shared" si="12"/>
        <v>no</v>
      </c>
      <c r="N98" s="3">
        <f>'0. Parametros'!$B$3+H98</f>
        <v>46079</v>
      </c>
      <c r="O98" s="3">
        <f>'0. Parametros'!$B$3+I98-1</f>
        <v>46088</v>
      </c>
      <c r="P98" s="15">
        <f>IFERROR(VLOOKUP($A98,'1. Calculo PERT'!$A:$M,13,FALSE()),0)</f>
        <v>2.25</v>
      </c>
      <c r="Q98" s="16">
        <f>IFERROR(VLOOKUP($A98,'1. Calculo PERT'!$A:$P,16,FALSE()),0)</f>
        <v>29297147</v>
      </c>
    </row>
    <row r="99" spans="1:17" x14ac:dyDescent="0.25">
      <c r="A99" s="7" t="s">
        <v>496</v>
      </c>
      <c r="B99" s="7" t="s">
        <v>497</v>
      </c>
      <c r="C99" s="7" t="s">
        <v>90</v>
      </c>
      <c r="D99" s="7" t="s">
        <v>495</v>
      </c>
      <c r="E99" s="7" t="s">
        <v>14</v>
      </c>
      <c r="F99" s="14">
        <f>IFERROR(ROUND(VLOOKUP($A99,'1. Calculo PERT'!$A:$K,11,FALSE()),0),0)</f>
        <v>12</v>
      </c>
      <c r="G99" s="14" t="str">
        <f>IF(VLOOKUP($A99,'1. Calculo PERT'!$A:$N,14,FALSE())=0,"",VLOOKUP($A99,'1. Calculo PERT'!$A:$N,14,FALSE()))</f>
        <v>1.3.1.1.13FC, 1.3.1.2.6FC</v>
      </c>
      <c r="H99" s="7">
        <f>MAX(0,$I$96,$I$91)</f>
        <v>419</v>
      </c>
      <c r="I99" s="7">
        <f t="shared" si="9"/>
        <v>431</v>
      </c>
      <c r="J99" s="7">
        <f>MIN($J$100,$J$101,$T$1)-$F99</f>
        <v>419</v>
      </c>
      <c r="K99" s="7">
        <f t="shared" si="10"/>
        <v>431</v>
      </c>
      <c r="L99" s="7">
        <f t="shared" si="11"/>
        <v>0</v>
      </c>
      <c r="M99" s="7" t="str">
        <f t="shared" si="12"/>
        <v>SI</v>
      </c>
      <c r="N99" s="3">
        <f>'0. Parametros'!$B$3+H99</f>
        <v>46089</v>
      </c>
      <c r="O99" s="3">
        <f>'0. Parametros'!$B$3+I99-1</f>
        <v>46100</v>
      </c>
      <c r="P99" s="15">
        <f>IFERROR(VLOOKUP($A99,'1. Calculo PERT'!$A:$M,13,FALSE()),0)</f>
        <v>3.3611111111111107</v>
      </c>
      <c r="Q99" s="16">
        <f>IFERROR(VLOOKUP($A99,'1. Calculo PERT'!$A:$P,16,FALSE()),0)</f>
        <v>334451068</v>
      </c>
    </row>
    <row r="100" spans="1:17" x14ac:dyDescent="0.25">
      <c r="A100" s="7" t="s">
        <v>502</v>
      </c>
      <c r="B100" s="7" t="s">
        <v>503</v>
      </c>
      <c r="C100" s="7" t="s">
        <v>90</v>
      </c>
      <c r="D100" s="7" t="s">
        <v>495</v>
      </c>
      <c r="E100" s="7" t="s">
        <v>14</v>
      </c>
      <c r="F100" s="14">
        <f>IFERROR(ROUND(VLOOKUP($A100,'1. Calculo PERT'!$A:$K,11,FALSE()),0),0)</f>
        <v>10</v>
      </c>
      <c r="G100" s="14" t="str">
        <f>IF(VLOOKUP($A100,'1. Calculo PERT'!$A:$N,14,FALSE())=0,"",VLOOKUP($A100,'1. Calculo PERT'!$A:$N,14,FALSE()))</f>
        <v>1.3.2.1.1FC</v>
      </c>
      <c r="H100" s="7">
        <f>MAX(0,$I$99)</f>
        <v>431</v>
      </c>
      <c r="I100" s="7">
        <f t="shared" si="9"/>
        <v>441</v>
      </c>
      <c r="J100" s="7">
        <f>MIN($J$102,$T$1)-$F100</f>
        <v>437</v>
      </c>
      <c r="K100" s="7">
        <f t="shared" si="10"/>
        <v>447</v>
      </c>
      <c r="L100" s="7">
        <f t="shared" si="11"/>
        <v>6</v>
      </c>
      <c r="M100" s="7" t="str">
        <f t="shared" si="12"/>
        <v>no</v>
      </c>
      <c r="N100" s="3">
        <f>'0. Parametros'!$B$3+H100</f>
        <v>46101</v>
      </c>
      <c r="O100" s="3">
        <f>'0. Parametros'!$B$3+I100-1</f>
        <v>46110</v>
      </c>
      <c r="P100" s="15">
        <f>IFERROR(VLOOKUP($A100,'1. Calculo PERT'!$A:$M,13,FALSE()),0)</f>
        <v>2.25</v>
      </c>
      <c r="Q100" s="16">
        <f>IFERROR(VLOOKUP($A100,'1. Calculo PERT'!$A:$P,16,FALSE()),0)</f>
        <v>238893620</v>
      </c>
    </row>
    <row r="101" spans="1:17" x14ac:dyDescent="0.25">
      <c r="A101" s="7" t="s">
        <v>507</v>
      </c>
      <c r="B101" s="7" t="s">
        <v>508</v>
      </c>
      <c r="C101" s="7" t="s">
        <v>90</v>
      </c>
      <c r="D101" s="7" t="s">
        <v>495</v>
      </c>
      <c r="E101" s="7" t="s">
        <v>14</v>
      </c>
      <c r="F101" s="14">
        <f>IFERROR(ROUND(VLOOKUP($A101,'1. Calculo PERT'!$A:$K,11,FALSE()),0),0)</f>
        <v>14</v>
      </c>
      <c r="G101" s="14" t="str">
        <f>IF(VLOOKUP($A101,'1. Calculo PERT'!$A:$N,14,FALSE())=0,"",VLOOKUP($A101,'1. Calculo PERT'!$A:$N,14,FALSE()))</f>
        <v>1.3.2.1.1FC</v>
      </c>
      <c r="H101" s="7">
        <f>MAX(0,$I$99)</f>
        <v>431</v>
      </c>
      <c r="I101" s="7">
        <f t="shared" ref="I101:I132" si="13">H101+F101</f>
        <v>445</v>
      </c>
      <c r="J101" s="7">
        <f>MIN($J$102,$J$103,$T$1)-$F101</f>
        <v>431</v>
      </c>
      <c r="K101" s="7">
        <f t="shared" ref="K101:K132" si="14">J101+F101</f>
        <v>445</v>
      </c>
      <c r="L101" s="7">
        <f t="shared" ref="L101:L132" si="15">J101-H101</f>
        <v>0</v>
      </c>
      <c r="M101" s="7" t="str">
        <f t="shared" ref="M101:M132" si="16">IF(L101=0,"SI","no")</f>
        <v>SI</v>
      </c>
      <c r="N101" s="3">
        <f>'0. Parametros'!$B$3+H101</f>
        <v>46101</v>
      </c>
      <c r="O101" s="3">
        <f>'0. Parametros'!$B$3+I101-1</f>
        <v>46114</v>
      </c>
      <c r="P101" s="15">
        <f>IFERROR(VLOOKUP($A101,'1. Calculo PERT'!$A:$M,13,FALSE()),0)</f>
        <v>4.6944444444444438</v>
      </c>
      <c r="Q101" s="16">
        <f>IFERROR(VLOOKUP($A101,'1. Calculo PERT'!$A:$P,16,FALSE()),0)</f>
        <v>382229792</v>
      </c>
    </row>
    <row r="102" spans="1:17" x14ac:dyDescent="0.25">
      <c r="A102" s="7" t="s">
        <v>510</v>
      </c>
      <c r="B102" s="7" t="s">
        <v>511</v>
      </c>
      <c r="C102" s="7" t="s">
        <v>90</v>
      </c>
      <c r="D102" s="7" t="s">
        <v>495</v>
      </c>
      <c r="E102" s="7" t="s">
        <v>14</v>
      </c>
      <c r="F102" s="14">
        <f>IFERROR(ROUND(VLOOKUP($A102,'1. Calculo PERT'!$A:$K,11,FALSE()),0),0)</f>
        <v>12</v>
      </c>
      <c r="G102" s="14" t="str">
        <f>IF(VLOOKUP($A102,'1. Calculo PERT'!$A:$N,14,FALSE())=0,"",VLOOKUP($A102,'1. Calculo PERT'!$A:$N,14,FALSE()))</f>
        <v>1.3.2.1.3FC, 1.3.2.1.2FC</v>
      </c>
      <c r="H102" s="7">
        <f>MAX(0,$I$101,$I$100)</f>
        <v>445</v>
      </c>
      <c r="I102" s="7">
        <f t="shared" si="13"/>
        <v>457</v>
      </c>
      <c r="J102" s="7">
        <f>MIN($J$105,$J$104,$T$1)-$F102</f>
        <v>447</v>
      </c>
      <c r="K102" s="7">
        <f t="shared" si="14"/>
        <v>459</v>
      </c>
      <c r="L102" s="7">
        <f t="shared" si="15"/>
        <v>2</v>
      </c>
      <c r="M102" s="7" t="str">
        <f t="shared" si="16"/>
        <v>no</v>
      </c>
      <c r="N102" s="3">
        <f>'0. Parametros'!$B$3+H102</f>
        <v>46115</v>
      </c>
      <c r="O102" s="3">
        <f>'0. Parametros'!$B$3+I102-1</f>
        <v>46126</v>
      </c>
      <c r="P102" s="15">
        <f>IFERROR(VLOOKUP($A102,'1. Calculo PERT'!$A:$M,13,FALSE()),0)</f>
        <v>3.3611111111111107</v>
      </c>
      <c r="Q102" s="16">
        <f>IFERROR(VLOOKUP($A102,'1. Calculo PERT'!$A:$P,16,FALSE()),0)</f>
        <v>334451068</v>
      </c>
    </row>
    <row r="103" spans="1:17" x14ac:dyDescent="0.25">
      <c r="A103" s="7" t="s">
        <v>515</v>
      </c>
      <c r="B103" s="7" t="s">
        <v>516</v>
      </c>
      <c r="C103" s="7" t="s">
        <v>90</v>
      </c>
      <c r="D103" s="7" t="s">
        <v>495</v>
      </c>
      <c r="E103" s="7" t="s">
        <v>14</v>
      </c>
      <c r="F103" s="14">
        <f>IFERROR(ROUND(VLOOKUP($A103,'1. Calculo PERT'!$A:$K,11,FALSE()),0),0)</f>
        <v>14</v>
      </c>
      <c r="G103" s="14" t="str">
        <f>IF(VLOOKUP($A103,'1. Calculo PERT'!$A:$N,14,FALSE())=0,"",VLOOKUP($A103,'1. Calculo PERT'!$A:$N,14,FALSE()))</f>
        <v>1.3.2.1.3FC</v>
      </c>
      <c r="H103" s="7">
        <f>MAX(0,$I$101)</f>
        <v>445</v>
      </c>
      <c r="I103" s="7">
        <f t="shared" si="13"/>
        <v>459</v>
      </c>
      <c r="J103" s="7">
        <f>MIN($J$105,$T$1)-$F103</f>
        <v>445</v>
      </c>
      <c r="K103" s="7">
        <f t="shared" si="14"/>
        <v>459</v>
      </c>
      <c r="L103" s="7">
        <f t="shared" si="15"/>
        <v>0</v>
      </c>
      <c r="M103" s="7" t="str">
        <f t="shared" si="16"/>
        <v>SI</v>
      </c>
      <c r="N103" s="3">
        <f>'0. Parametros'!$B$3+H103</f>
        <v>46115</v>
      </c>
      <c r="O103" s="3">
        <f>'0. Parametros'!$B$3+I103-1</f>
        <v>46128</v>
      </c>
      <c r="P103" s="15">
        <f>IFERROR(VLOOKUP($A103,'1. Calculo PERT'!$A:$M,13,FALSE()),0)</f>
        <v>4</v>
      </c>
      <c r="Q103" s="16">
        <f>IFERROR(VLOOKUP($A103,'1. Calculo PERT'!$A:$P,16,FALSE()),0)</f>
        <v>382229792</v>
      </c>
    </row>
    <row r="104" spans="1:17" x14ac:dyDescent="0.25">
      <c r="A104" s="7" t="s">
        <v>530</v>
      </c>
      <c r="B104" s="7" t="s">
        <v>531</v>
      </c>
      <c r="C104" s="7" t="s">
        <v>90</v>
      </c>
      <c r="D104" s="7" t="s">
        <v>495</v>
      </c>
      <c r="E104" s="7" t="s">
        <v>14</v>
      </c>
      <c r="F104" s="14">
        <f>IFERROR(ROUND(VLOOKUP($A104,'1. Calculo PERT'!$A:$K,11,FALSE()),0),0)</f>
        <v>12</v>
      </c>
      <c r="G104" s="14" t="str">
        <f>IF(VLOOKUP($A104,'1. Calculo PERT'!$A:$N,14,FALSE())=0,"",VLOOKUP($A104,'1. Calculo PERT'!$A:$N,14,FALSE()))</f>
        <v>1.3.2.1.4FC</v>
      </c>
      <c r="H104" s="7">
        <f>MAX(0,$I$102)</f>
        <v>457</v>
      </c>
      <c r="I104" s="7">
        <f t="shared" si="13"/>
        <v>469</v>
      </c>
      <c r="J104" s="7">
        <f>MIN($J$106,$T$1)-$F104</f>
        <v>548</v>
      </c>
      <c r="K104" s="7">
        <f t="shared" si="14"/>
        <v>560</v>
      </c>
      <c r="L104" s="7">
        <f t="shared" si="15"/>
        <v>91</v>
      </c>
      <c r="M104" s="7" t="str">
        <f t="shared" si="16"/>
        <v>no</v>
      </c>
      <c r="N104" s="3">
        <f>'0. Parametros'!$B$3+H104</f>
        <v>46127</v>
      </c>
      <c r="O104" s="3">
        <f>'0. Parametros'!$B$3+I104-1</f>
        <v>46138</v>
      </c>
      <c r="P104" s="15">
        <f>IFERROR(VLOOKUP($A104,'1. Calculo PERT'!$A:$M,13,FALSE()),0)</f>
        <v>2.25</v>
      </c>
      <c r="Q104" s="16">
        <f>IFERROR(VLOOKUP($A104,'1. Calculo PERT'!$A:$P,16,FALSE()),0)</f>
        <v>286672344</v>
      </c>
    </row>
    <row r="105" spans="1:17" x14ac:dyDescent="0.25">
      <c r="A105" s="7" t="s">
        <v>520</v>
      </c>
      <c r="B105" s="7" t="s">
        <v>521</v>
      </c>
      <c r="C105" s="7" t="s">
        <v>90</v>
      </c>
      <c r="D105" s="7" t="s">
        <v>495</v>
      </c>
      <c r="E105" s="7" t="s">
        <v>14</v>
      </c>
      <c r="F105" s="14">
        <f>IFERROR(ROUND(VLOOKUP($A105,'1. Calculo PERT'!$A:$K,11,FALSE()),0),0)</f>
        <v>12</v>
      </c>
      <c r="G105" s="14" t="str">
        <f>IF(VLOOKUP($A105,'1. Calculo PERT'!$A:$N,14,FALSE())=0,"",VLOOKUP($A105,'1. Calculo PERT'!$A:$N,14,FALSE()))</f>
        <v>1.3.2.1.5FC, 1.3.2.1.4FC</v>
      </c>
      <c r="H105" s="7">
        <f>MAX(0,$I$103,$I$102)</f>
        <v>459</v>
      </c>
      <c r="I105" s="7">
        <f t="shared" si="13"/>
        <v>471</v>
      </c>
      <c r="J105" s="7">
        <f>MIN($J$107,$J$108,$J$110,$J$109,$T$1)-$F105</f>
        <v>459</v>
      </c>
      <c r="K105" s="7">
        <f t="shared" si="14"/>
        <v>471</v>
      </c>
      <c r="L105" s="7">
        <f t="shared" si="15"/>
        <v>0</v>
      </c>
      <c r="M105" s="7" t="str">
        <f t="shared" si="16"/>
        <v>SI</v>
      </c>
      <c r="N105" s="3">
        <f>'0. Parametros'!$B$3+H105</f>
        <v>46129</v>
      </c>
      <c r="O105" s="3">
        <f>'0. Parametros'!$B$3+I105-1</f>
        <v>46140</v>
      </c>
      <c r="P105" s="15">
        <f>IFERROR(VLOOKUP($A105,'1. Calculo PERT'!$A:$M,13,FALSE()),0)</f>
        <v>2.25</v>
      </c>
      <c r="Q105" s="16">
        <f>IFERROR(VLOOKUP($A105,'1. Calculo PERT'!$A:$P,16,FALSE()),0)</f>
        <v>286672344</v>
      </c>
    </row>
    <row r="106" spans="1:17" x14ac:dyDescent="0.25">
      <c r="A106" s="7" t="s">
        <v>535</v>
      </c>
      <c r="B106" s="7" t="s">
        <v>536</v>
      </c>
      <c r="C106" s="7" t="s">
        <v>90</v>
      </c>
      <c r="D106" s="7" t="s">
        <v>495</v>
      </c>
      <c r="E106" s="7" t="s">
        <v>14</v>
      </c>
      <c r="F106" s="14">
        <f>IFERROR(ROUND(VLOOKUP($A106,'1. Calculo PERT'!$A:$K,11,FALSE()),0),0)</f>
        <v>10</v>
      </c>
      <c r="G106" s="14" t="str">
        <f>IF(VLOOKUP($A106,'1. Calculo PERT'!$A:$N,14,FALSE())=0,"",VLOOKUP($A106,'1. Calculo PERT'!$A:$N,14,FALSE()))</f>
        <v>1.3.2.1.8FC</v>
      </c>
      <c r="H106" s="7">
        <f>MAX(0,$I$104)</f>
        <v>469</v>
      </c>
      <c r="I106" s="7">
        <f t="shared" si="13"/>
        <v>479</v>
      </c>
      <c r="J106" s="7">
        <f>MIN($J$144,$T$1)-$F106</f>
        <v>560</v>
      </c>
      <c r="K106" s="7">
        <f t="shared" si="14"/>
        <v>570</v>
      </c>
      <c r="L106" s="7">
        <f t="shared" si="15"/>
        <v>91</v>
      </c>
      <c r="M106" s="7" t="str">
        <f t="shared" si="16"/>
        <v>no</v>
      </c>
      <c r="N106" s="3">
        <f>'0. Parametros'!$B$3+H106</f>
        <v>46139</v>
      </c>
      <c r="O106" s="3">
        <f>'0. Parametros'!$B$3+I106-1</f>
        <v>46148</v>
      </c>
      <c r="P106" s="15">
        <f>IFERROR(VLOOKUP($A106,'1. Calculo PERT'!$A:$M,13,FALSE()),0)</f>
        <v>2.25</v>
      </c>
      <c r="Q106" s="16">
        <f>IFERROR(VLOOKUP($A106,'1. Calculo PERT'!$A:$P,16,FALSE()),0)</f>
        <v>238893620</v>
      </c>
    </row>
    <row r="107" spans="1:17" x14ac:dyDescent="0.25">
      <c r="A107" s="7" t="s">
        <v>525</v>
      </c>
      <c r="B107" s="7" t="s">
        <v>526</v>
      </c>
      <c r="C107" s="7" t="s">
        <v>94</v>
      </c>
      <c r="D107" s="7" t="s">
        <v>495</v>
      </c>
      <c r="E107" s="7" t="s">
        <v>14</v>
      </c>
      <c r="F107" s="14">
        <f>IFERROR(ROUND(VLOOKUP($A107,'1. Calculo PERT'!$A:$K,11,FALSE()),0),0)</f>
        <v>5</v>
      </c>
      <c r="G107" s="14" t="str">
        <f>IF(VLOOKUP($A107,'1. Calculo PERT'!$A:$N,14,FALSE())=0,"",VLOOKUP($A107,'1. Calculo PERT'!$A:$N,14,FALSE()))</f>
        <v>1.3.2.1.6FC</v>
      </c>
      <c r="H107" s="7">
        <f>MAX(0,$I$105)</f>
        <v>471</v>
      </c>
      <c r="I107" s="7">
        <f t="shared" si="13"/>
        <v>476</v>
      </c>
      <c r="J107" s="7">
        <f>MIN($J$111,$T$1)-$F107</f>
        <v>484</v>
      </c>
      <c r="K107" s="7">
        <f t="shared" si="14"/>
        <v>489</v>
      </c>
      <c r="L107" s="7">
        <f t="shared" si="15"/>
        <v>13</v>
      </c>
      <c r="M107" s="7" t="str">
        <f t="shared" si="16"/>
        <v>no</v>
      </c>
      <c r="N107" s="3">
        <f>'0. Parametros'!$B$3+H107</f>
        <v>46141</v>
      </c>
      <c r="O107" s="3">
        <f>'0. Parametros'!$B$3+I107-1</f>
        <v>46145</v>
      </c>
      <c r="P107" s="15">
        <f>IFERROR(VLOOKUP($A107,'1. Calculo PERT'!$A:$M,13,FALSE()),0)</f>
        <v>0.69444444444444453</v>
      </c>
      <c r="Q107" s="16">
        <f>IFERROR(VLOOKUP($A107,'1. Calculo PERT'!$A:$P,16,FALSE()),0)</f>
        <v>143336172</v>
      </c>
    </row>
    <row r="108" spans="1:17" x14ac:dyDescent="0.25">
      <c r="A108" s="7" t="s">
        <v>540</v>
      </c>
      <c r="B108" s="7" t="s">
        <v>541</v>
      </c>
      <c r="C108" s="7" t="s">
        <v>90</v>
      </c>
      <c r="D108" s="7" t="s">
        <v>495</v>
      </c>
      <c r="E108" s="7" t="s">
        <v>14</v>
      </c>
      <c r="F108" s="14">
        <f>IFERROR(ROUND(VLOOKUP($A108,'1. Calculo PERT'!$A:$K,11,FALSE()),0),0)</f>
        <v>12</v>
      </c>
      <c r="G108" s="14" t="str">
        <f>IF(VLOOKUP($A108,'1. Calculo PERT'!$A:$N,14,FALSE())=0,"",VLOOKUP($A108,'1. Calculo PERT'!$A:$N,14,FALSE()))</f>
        <v>1.3.2.1.6FC</v>
      </c>
      <c r="H108" s="7">
        <f>MAX(0,$I$105)</f>
        <v>471</v>
      </c>
      <c r="I108" s="7">
        <f t="shared" si="13"/>
        <v>483</v>
      </c>
      <c r="J108" s="7">
        <f>MIN($J$144,$T$1)-$F108</f>
        <v>558</v>
      </c>
      <c r="K108" s="7">
        <f t="shared" si="14"/>
        <v>570</v>
      </c>
      <c r="L108" s="7">
        <f t="shared" si="15"/>
        <v>87</v>
      </c>
      <c r="M108" s="7" t="str">
        <f t="shared" si="16"/>
        <v>no</v>
      </c>
      <c r="N108" s="3">
        <f>'0. Parametros'!$B$3+H108</f>
        <v>46141</v>
      </c>
      <c r="O108" s="3">
        <f>'0. Parametros'!$B$3+I108-1</f>
        <v>46152</v>
      </c>
      <c r="P108" s="15">
        <f>IFERROR(VLOOKUP($A108,'1. Calculo PERT'!$A:$M,13,FALSE()),0)</f>
        <v>3.3611111111111107</v>
      </c>
      <c r="Q108" s="16">
        <f>IFERROR(VLOOKUP($A108,'1. Calculo PERT'!$A:$P,16,FALSE()),0)</f>
        <v>334451068</v>
      </c>
    </row>
    <row r="109" spans="1:17" x14ac:dyDescent="0.25">
      <c r="A109" s="7" t="s">
        <v>649</v>
      </c>
      <c r="B109" s="7" t="s">
        <v>650</v>
      </c>
      <c r="C109" s="7" t="s">
        <v>90</v>
      </c>
      <c r="D109" s="7" t="s">
        <v>648</v>
      </c>
      <c r="E109" s="7" t="s">
        <v>14</v>
      </c>
      <c r="F109" s="14">
        <f>IFERROR(ROUND(VLOOKUP($A109,'1. Calculo PERT'!$A:$K,11,FALSE()),0),0)</f>
        <v>12</v>
      </c>
      <c r="G109" s="14" t="str">
        <f>IF(VLOOKUP($A109,'1. Calculo PERT'!$A:$N,14,FALSE())=0,"",VLOOKUP($A109,'1. Calculo PERT'!$A:$N,14,FALSE()))</f>
        <v>1.3.2.1.6FC</v>
      </c>
      <c r="H109" s="7">
        <f>MAX(0,$I$105)</f>
        <v>471</v>
      </c>
      <c r="I109" s="7">
        <f t="shared" si="13"/>
        <v>483</v>
      </c>
      <c r="J109" s="7">
        <f>MIN($J$113,$T$1)-$F109</f>
        <v>500</v>
      </c>
      <c r="K109" s="7">
        <f t="shared" si="14"/>
        <v>512</v>
      </c>
      <c r="L109" s="7">
        <f t="shared" si="15"/>
        <v>29</v>
      </c>
      <c r="M109" s="7" t="str">
        <f t="shared" si="16"/>
        <v>no</v>
      </c>
      <c r="N109" s="3">
        <f>'0. Parametros'!$B$3+H109</f>
        <v>46141</v>
      </c>
      <c r="O109" s="3">
        <f>'0. Parametros'!$B$3+I109-1</f>
        <v>46152</v>
      </c>
      <c r="P109" s="15">
        <f>IFERROR(VLOOKUP($A109,'1. Calculo PERT'!$A:$M,13,FALSE()),0)</f>
        <v>3.3611111111111107</v>
      </c>
      <c r="Q109" s="16">
        <f>IFERROR(VLOOKUP($A109,'1. Calculo PERT'!$A:$P,16,FALSE()),0)</f>
        <v>49922806</v>
      </c>
    </row>
    <row r="110" spans="1:17" x14ac:dyDescent="0.25">
      <c r="A110" s="7" t="s">
        <v>611</v>
      </c>
      <c r="B110" s="7" t="s">
        <v>612</v>
      </c>
      <c r="C110" s="7" t="s">
        <v>90</v>
      </c>
      <c r="D110" s="7" t="s">
        <v>610</v>
      </c>
      <c r="E110" s="7" t="s">
        <v>14</v>
      </c>
      <c r="F110" s="14">
        <f>IFERROR(ROUND(VLOOKUP($A110,'1. Calculo PERT'!$A:$K,11,FALSE()),0),0)</f>
        <v>15</v>
      </c>
      <c r="G110" s="14" t="str">
        <f>IF(VLOOKUP($A110,'1. Calculo PERT'!$A:$N,14,FALSE())=0,"",VLOOKUP($A110,'1. Calculo PERT'!$A:$N,14,FALSE()))</f>
        <v>1.3.2.1.6FC</v>
      </c>
      <c r="H110" s="7">
        <f>MAX(0,$I$105)</f>
        <v>471</v>
      </c>
      <c r="I110" s="7">
        <f t="shared" si="13"/>
        <v>486</v>
      </c>
      <c r="J110" s="7">
        <f>MIN($J$114,$J$115,$T$1)-$F110</f>
        <v>471</v>
      </c>
      <c r="K110" s="7">
        <f t="shared" si="14"/>
        <v>486</v>
      </c>
      <c r="L110" s="7">
        <f t="shared" si="15"/>
        <v>0</v>
      </c>
      <c r="M110" s="7" t="str">
        <f t="shared" si="16"/>
        <v>SI</v>
      </c>
      <c r="N110" s="3">
        <f>'0. Parametros'!$B$3+H110</f>
        <v>46141</v>
      </c>
      <c r="O110" s="3">
        <f>'0. Parametros'!$B$3+I110-1</f>
        <v>46155</v>
      </c>
      <c r="P110" s="15">
        <f>IFERROR(VLOOKUP($A110,'1. Calculo PERT'!$A:$M,13,FALSE()),0)</f>
        <v>4.6944444444444438</v>
      </c>
      <c r="Q110" s="16">
        <f>IFERROR(VLOOKUP($A110,'1. Calculo PERT'!$A:$P,16,FALSE()),0)</f>
        <v>177920842</v>
      </c>
    </row>
    <row r="111" spans="1:17" x14ac:dyDescent="0.25">
      <c r="A111" s="7" t="s">
        <v>546</v>
      </c>
      <c r="B111" s="7" t="s">
        <v>547</v>
      </c>
      <c r="C111" s="7" t="s">
        <v>90</v>
      </c>
      <c r="D111" s="7" t="s">
        <v>545</v>
      </c>
      <c r="E111" s="7" t="s">
        <v>14</v>
      </c>
      <c r="F111" s="14">
        <f>IFERROR(ROUND(VLOOKUP($A111,'1. Calculo PERT'!$A:$K,11,FALSE()),0),0)</f>
        <v>5</v>
      </c>
      <c r="G111" s="14" t="str">
        <f>IF(VLOOKUP($A111,'1. Calculo PERT'!$A:$N,14,FALSE())=0,"",VLOOKUP($A111,'1. Calculo PERT'!$A:$N,14,FALSE()))</f>
        <v>1.3.2.1.7FC</v>
      </c>
      <c r="H111" s="7">
        <f>MAX(0,$I$107)</f>
        <v>476</v>
      </c>
      <c r="I111" s="7">
        <f t="shared" si="13"/>
        <v>481</v>
      </c>
      <c r="J111" s="7">
        <f>MIN($J$112,$T$1)-$F111</f>
        <v>489</v>
      </c>
      <c r="K111" s="7">
        <f t="shared" si="14"/>
        <v>494</v>
      </c>
      <c r="L111" s="7">
        <f t="shared" si="15"/>
        <v>13</v>
      </c>
      <c r="M111" s="7" t="str">
        <f t="shared" si="16"/>
        <v>no</v>
      </c>
      <c r="N111" s="3">
        <f>'0. Parametros'!$B$3+H111</f>
        <v>46146</v>
      </c>
      <c r="O111" s="3">
        <f>'0. Parametros'!$B$3+I111-1</f>
        <v>46150</v>
      </c>
      <c r="P111" s="15">
        <f>IFERROR(VLOOKUP($A111,'1. Calculo PERT'!$A:$M,13,FALSE()),0)</f>
        <v>0.69444444444444453</v>
      </c>
      <c r="Q111" s="16">
        <f>IFERROR(VLOOKUP($A111,'1. Calculo PERT'!$A:$P,16,FALSE()),0)</f>
        <v>143336172</v>
      </c>
    </row>
    <row r="112" spans="1:17" x14ac:dyDescent="0.25">
      <c r="A112" s="7" t="s">
        <v>551</v>
      </c>
      <c r="B112" s="7" t="s">
        <v>552</v>
      </c>
      <c r="C112" s="7" t="s">
        <v>90</v>
      </c>
      <c r="D112" s="7" t="s">
        <v>545</v>
      </c>
      <c r="E112" s="7" t="s">
        <v>14</v>
      </c>
      <c r="F112" s="14">
        <f>IFERROR(ROUND(VLOOKUP($A112,'1. Calculo PERT'!$A:$K,11,FALSE()),0),0)</f>
        <v>12</v>
      </c>
      <c r="G112" s="14" t="str">
        <f>IF(VLOOKUP($A112,'1. Calculo PERT'!$A:$N,14,FALSE())=0,"",VLOOKUP($A112,'1. Calculo PERT'!$A:$N,14,FALSE()))</f>
        <v>1.3.2.2.1FC</v>
      </c>
      <c r="H112" s="7">
        <f>MAX(0,$I$111)</f>
        <v>481</v>
      </c>
      <c r="I112" s="7">
        <f t="shared" si="13"/>
        <v>493</v>
      </c>
      <c r="J112" s="7">
        <f>MIN($J$117,$J$118,$T$1)-$F112</f>
        <v>494</v>
      </c>
      <c r="K112" s="7">
        <f t="shared" si="14"/>
        <v>506</v>
      </c>
      <c r="L112" s="7">
        <f t="shared" si="15"/>
        <v>13</v>
      </c>
      <c r="M112" s="7" t="str">
        <f t="shared" si="16"/>
        <v>no</v>
      </c>
      <c r="N112" s="3">
        <f>'0. Parametros'!$B$3+H112</f>
        <v>46151</v>
      </c>
      <c r="O112" s="3">
        <f>'0. Parametros'!$B$3+I112-1</f>
        <v>46162</v>
      </c>
      <c r="P112" s="15">
        <f>IFERROR(VLOOKUP($A112,'1. Calculo PERT'!$A:$M,13,FALSE()),0)</f>
        <v>3.3611111111111107</v>
      </c>
      <c r="Q112" s="16">
        <f>IFERROR(VLOOKUP($A112,'1. Calculo PERT'!$A:$P,16,FALSE()),0)</f>
        <v>334451068</v>
      </c>
    </row>
    <row r="113" spans="1:17" x14ac:dyDescent="0.25">
      <c r="A113" s="7" t="s">
        <v>653</v>
      </c>
      <c r="B113" s="7" t="s">
        <v>654</v>
      </c>
      <c r="C113" s="7" t="s">
        <v>90</v>
      </c>
      <c r="D113" s="7" t="s">
        <v>648</v>
      </c>
      <c r="E113" s="7" t="s">
        <v>14</v>
      </c>
      <c r="F113" s="14">
        <f>IFERROR(ROUND(VLOOKUP($A113,'1. Calculo PERT'!$A:$K,11,FALSE()),0),0)</f>
        <v>10</v>
      </c>
      <c r="G113" s="14" t="str">
        <f>IF(VLOOKUP($A113,'1. Calculo PERT'!$A:$N,14,FALSE())=0,"",VLOOKUP($A113,'1. Calculo PERT'!$A:$N,14,FALSE()))</f>
        <v>1.3.3.2.1FC</v>
      </c>
      <c r="H113" s="7">
        <f>MAX(0,$I$109)</f>
        <v>483</v>
      </c>
      <c r="I113" s="7">
        <f t="shared" si="13"/>
        <v>493</v>
      </c>
      <c r="J113" s="7">
        <f>MIN($J$116,$T$1)-$F113</f>
        <v>512</v>
      </c>
      <c r="K113" s="7">
        <f t="shared" si="14"/>
        <v>522</v>
      </c>
      <c r="L113" s="7">
        <f t="shared" si="15"/>
        <v>29</v>
      </c>
      <c r="M113" s="7" t="str">
        <f t="shared" si="16"/>
        <v>no</v>
      </c>
      <c r="N113" s="3">
        <f>'0. Parametros'!$B$3+H113</f>
        <v>46153</v>
      </c>
      <c r="O113" s="3">
        <f>'0. Parametros'!$B$3+I113-1</f>
        <v>46162</v>
      </c>
      <c r="P113" s="15">
        <f>IFERROR(VLOOKUP($A113,'1. Calculo PERT'!$A:$M,13,FALSE()),0)</f>
        <v>2.25</v>
      </c>
      <c r="Q113" s="16">
        <f>IFERROR(VLOOKUP($A113,'1. Calculo PERT'!$A:$P,16,FALSE()),0)</f>
        <v>35659147</v>
      </c>
    </row>
    <row r="114" spans="1:17" x14ac:dyDescent="0.25">
      <c r="A114" s="7" t="s">
        <v>615</v>
      </c>
      <c r="B114" s="7" t="s">
        <v>616</v>
      </c>
      <c r="C114" s="7" t="s">
        <v>90</v>
      </c>
      <c r="D114" s="7" t="s">
        <v>610</v>
      </c>
      <c r="E114" s="7" t="s">
        <v>14</v>
      </c>
      <c r="F114" s="14">
        <f>IFERROR(ROUND(VLOOKUP($A114,'1. Calculo PERT'!$A:$K,11,FALSE()),0),0)</f>
        <v>12</v>
      </c>
      <c r="G114" s="14" t="str">
        <f>IF(VLOOKUP($A114,'1. Calculo PERT'!$A:$N,14,FALSE())=0,"",VLOOKUP($A114,'1. Calculo PERT'!$A:$N,14,FALSE()))</f>
        <v>1.3.3.1.1FC</v>
      </c>
      <c r="H114" s="7">
        <f>MAX(0,$I$110)</f>
        <v>486</v>
      </c>
      <c r="I114" s="7">
        <f t="shared" si="13"/>
        <v>498</v>
      </c>
      <c r="J114" s="7">
        <f>MIN($J$120,$T$1)-$F114</f>
        <v>489</v>
      </c>
      <c r="K114" s="7">
        <f t="shared" si="14"/>
        <v>501</v>
      </c>
      <c r="L114" s="7">
        <f t="shared" si="15"/>
        <v>3</v>
      </c>
      <c r="M114" s="7" t="str">
        <f t="shared" si="16"/>
        <v>no</v>
      </c>
      <c r="N114" s="3">
        <f>'0. Parametros'!$B$3+H114</f>
        <v>46156</v>
      </c>
      <c r="O114" s="3">
        <f>'0. Parametros'!$B$3+I114-1</f>
        <v>46167</v>
      </c>
      <c r="P114" s="15">
        <f>IFERROR(VLOOKUP($A114,'1. Calculo PERT'!$A:$M,13,FALSE()),0)</f>
        <v>2.25</v>
      </c>
      <c r="Q114" s="16">
        <f>IFERROR(VLOOKUP($A114,'1. Calculo PERT'!$A:$P,16,FALSE()),0)</f>
        <v>133440632</v>
      </c>
    </row>
    <row r="115" spans="1:17" x14ac:dyDescent="0.25">
      <c r="A115" s="7" t="s">
        <v>620</v>
      </c>
      <c r="B115" s="7" t="s">
        <v>621</v>
      </c>
      <c r="C115" s="7" t="s">
        <v>90</v>
      </c>
      <c r="D115" s="7" t="s">
        <v>610</v>
      </c>
      <c r="E115" s="7" t="s">
        <v>14</v>
      </c>
      <c r="F115" s="14">
        <f>IFERROR(ROUND(VLOOKUP($A115,'1. Calculo PERT'!$A:$K,11,FALSE()),0),0)</f>
        <v>15</v>
      </c>
      <c r="G115" s="14" t="str">
        <f>IF(VLOOKUP($A115,'1. Calculo PERT'!$A:$N,14,FALSE())=0,"",VLOOKUP($A115,'1. Calculo PERT'!$A:$N,14,FALSE()))</f>
        <v>1.3.3.1.1FC</v>
      </c>
      <c r="H115" s="7">
        <f>MAX(0,$I$110)</f>
        <v>486</v>
      </c>
      <c r="I115" s="7">
        <f t="shared" si="13"/>
        <v>501</v>
      </c>
      <c r="J115" s="7">
        <f>MIN($J$120,$J$121,$J$122,$T$1)-$F115</f>
        <v>486</v>
      </c>
      <c r="K115" s="7">
        <f t="shared" si="14"/>
        <v>501</v>
      </c>
      <c r="L115" s="7">
        <f t="shared" si="15"/>
        <v>0</v>
      </c>
      <c r="M115" s="7" t="str">
        <f t="shared" si="16"/>
        <v>SI</v>
      </c>
      <c r="N115" s="3">
        <f>'0. Parametros'!$B$3+H115</f>
        <v>46156</v>
      </c>
      <c r="O115" s="3">
        <f>'0. Parametros'!$B$3+I115-1</f>
        <v>46170</v>
      </c>
      <c r="P115" s="15">
        <f>IFERROR(VLOOKUP($A115,'1. Calculo PERT'!$A:$M,13,FALSE()),0)</f>
        <v>4.6944444444444438</v>
      </c>
      <c r="Q115" s="16">
        <f>IFERROR(VLOOKUP($A115,'1. Calculo PERT'!$A:$P,16,FALSE()),0)</f>
        <v>177920842</v>
      </c>
    </row>
    <row r="116" spans="1:17" x14ac:dyDescent="0.25">
      <c r="A116" s="7" t="s">
        <v>658</v>
      </c>
      <c r="B116" s="7" t="s">
        <v>659</v>
      </c>
      <c r="C116" s="7" t="s">
        <v>90</v>
      </c>
      <c r="D116" s="7" t="s">
        <v>648</v>
      </c>
      <c r="E116" s="7" t="s">
        <v>14</v>
      </c>
      <c r="F116" s="14">
        <f>IFERROR(ROUND(VLOOKUP($A116,'1. Calculo PERT'!$A:$K,11,FALSE()),0),0)</f>
        <v>6</v>
      </c>
      <c r="G116" s="14" t="str">
        <f>IF(VLOOKUP($A116,'1. Calculo PERT'!$A:$N,14,FALSE())=0,"",VLOOKUP($A116,'1. Calculo PERT'!$A:$N,14,FALSE()))</f>
        <v>1.3.3.2.2FC</v>
      </c>
      <c r="H116" s="7">
        <f>MAX(0,$I$113)</f>
        <v>493</v>
      </c>
      <c r="I116" s="7">
        <f t="shared" si="13"/>
        <v>499</v>
      </c>
      <c r="J116" s="7">
        <f>MIN($J$119,$J$132,$T$1)-$F116</f>
        <v>522</v>
      </c>
      <c r="K116" s="7">
        <f t="shared" si="14"/>
        <v>528</v>
      </c>
      <c r="L116" s="7">
        <f t="shared" si="15"/>
        <v>29</v>
      </c>
      <c r="M116" s="7" t="str">
        <f t="shared" si="16"/>
        <v>no</v>
      </c>
      <c r="N116" s="3">
        <f>'0. Parametros'!$B$3+H116</f>
        <v>46163</v>
      </c>
      <c r="O116" s="3">
        <f>'0. Parametros'!$B$3+I116-1</f>
        <v>46168</v>
      </c>
      <c r="P116" s="15">
        <f>IFERROR(VLOOKUP($A116,'1. Calculo PERT'!$A:$M,13,FALSE()),0)</f>
        <v>1.3611111111111114</v>
      </c>
      <c r="Q116" s="16">
        <f>IFERROR(VLOOKUP($A116,'1. Calculo PERT'!$A:$P,16,FALSE()),0)</f>
        <v>28527318</v>
      </c>
    </row>
    <row r="117" spans="1:17" x14ac:dyDescent="0.25">
      <c r="A117" s="7" t="s">
        <v>556</v>
      </c>
      <c r="B117" s="7" t="s">
        <v>557</v>
      </c>
      <c r="C117" s="7" t="s">
        <v>90</v>
      </c>
      <c r="D117" s="7" t="s">
        <v>545</v>
      </c>
      <c r="E117" s="7" t="s">
        <v>14</v>
      </c>
      <c r="F117" s="14">
        <f>IFERROR(ROUND(VLOOKUP($A117,'1. Calculo PERT'!$A:$K,11,FALSE()),0),0)</f>
        <v>12</v>
      </c>
      <c r="G117" s="14" t="str">
        <f>IF(VLOOKUP($A117,'1. Calculo PERT'!$A:$N,14,FALSE())=0,"",VLOOKUP($A117,'1. Calculo PERT'!$A:$N,14,FALSE()))</f>
        <v>1.3.2.2.2FC</v>
      </c>
      <c r="H117" s="7">
        <f>MAX(0,$I$112)</f>
        <v>493</v>
      </c>
      <c r="I117" s="7">
        <f t="shared" si="13"/>
        <v>505</v>
      </c>
      <c r="J117" s="7">
        <f>MIN($J$125,$T$1)-$F117</f>
        <v>506</v>
      </c>
      <c r="K117" s="7">
        <f t="shared" si="14"/>
        <v>518</v>
      </c>
      <c r="L117" s="7">
        <f t="shared" si="15"/>
        <v>13</v>
      </c>
      <c r="M117" s="7" t="str">
        <f t="shared" si="16"/>
        <v>no</v>
      </c>
      <c r="N117" s="3">
        <f>'0. Parametros'!$B$3+H117</f>
        <v>46163</v>
      </c>
      <c r="O117" s="3">
        <f>'0. Parametros'!$B$3+I117-1</f>
        <v>46174</v>
      </c>
      <c r="P117" s="15">
        <f>IFERROR(VLOOKUP($A117,'1. Calculo PERT'!$A:$M,13,FALSE()),0)</f>
        <v>3.3611111111111107</v>
      </c>
      <c r="Q117" s="16">
        <f>IFERROR(VLOOKUP($A117,'1. Calculo PERT'!$A:$P,16,FALSE()),0)</f>
        <v>334451068</v>
      </c>
    </row>
    <row r="118" spans="1:17" x14ac:dyDescent="0.25">
      <c r="A118" s="7" t="s">
        <v>685</v>
      </c>
      <c r="B118" s="7" t="s">
        <v>686</v>
      </c>
      <c r="C118" s="7" t="s">
        <v>90</v>
      </c>
      <c r="D118" s="7" t="s">
        <v>610</v>
      </c>
      <c r="E118" s="7" t="s">
        <v>14</v>
      </c>
      <c r="F118" s="14">
        <f>IFERROR(ROUND(VLOOKUP($A118,'1. Calculo PERT'!$A:$K,11,FALSE()),0),0)</f>
        <v>12</v>
      </c>
      <c r="G118" s="14" t="str">
        <f>IF(VLOOKUP($A118,'1. Calculo PERT'!$A:$N,14,FALSE())=0,"",VLOOKUP($A118,'1. Calculo PERT'!$A:$N,14,FALSE()))</f>
        <v>1.3.2.2.2FC</v>
      </c>
      <c r="H118" s="7">
        <f>MAX(0,$I$112)</f>
        <v>493</v>
      </c>
      <c r="I118" s="7">
        <f t="shared" si="13"/>
        <v>505</v>
      </c>
      <c r="J118" s="7">
        <f>MIN($J$124,$J$144,$T$1)-$F118</f>
        <v>552</v>
      </c>
      <c r="K118" s="7">
        <f t="shared" si="14"/>
        <v>564</v>
      </c>
      <c r="L118" s="7">
        <f t="shared" si="15"/>
        <v>59</v>
      </c>
      <c r="M118" s="7" t="str">
        <f t="shared" si="16"/>
        <v>no</v>
      </c>
      <c r="N118" s="3">
        <f>'0. Parametros'!$B$3+H118</f>
        <v>46163</v>
      </c>
      <c r="O118" s="3">
        <f>'0. Parametros'!$B$3+I118-1</f>
        <v>46174</v>
      </c>
      <c r="P118" s="15">
        <f>IFERROR(VLOOKUP($A118,'1. Calculo PERT'!$A:$M,13,FALSE()),0)</f>
        <v>3.3611111111111107</v>
      </c>
      <c r="Q118" s="16">
        <f>IFERROR(VLOOKUP($A118,'1. Calculo PERT'!$A:$P,16,FALSE()),0)</f>
        <v>132387870</v>
      </c>
    </row>
    <row r="119" spans="1:17" x14ac:dyDescent="0.25">
      <c r="A119" s="7" t="s">
        <v>663</v>
      </c>
      <c r="B119" s="7" t="s">
        <v>664</v>
      </c>
      <c r="C119" s="7" t="s">
        <v>90</v>
      </c>
      <c r="D119" s="7" t="s">
        <v>648</v>
      </c>
      <c r="E119" s="7" t="s">
        <v>14</v>
      </c>
      <c r="F119" s="14">
        <f>IFERROR(ROUND(VLOOKUP($A119,'1. Calculo PERT'!$A:$K,11,FALSE()),0),0)</f>
        <v>6</v>
      </c>
      <c r="G119" s="14" t="str">
        <f>IF(VLOOKUP($A119,'1. Calculo PERT'!$A:$N,14,FALSE())=0,"",VLOOKUP($A119,'1. Calculo PERT'!$A:$N,14,FALSE()))</f>
        <v>1.3.3.2.3FC</v>
      </c>
      <c r="H119" s="7">
        <f>MAX(0,$I$116)</f>
        <v>499</v>
      </c>
      <c r="I119" s="7">
        <f t="shared" si="13"/>
        <v>505</v>
      </c>
      <c r="J119" s="7">
        <f>MIN($J$123,$T$1)-$F119</f>
        <v>559</v>
      </c>
      <c r="K119" s="7">
        <f t="shared" si="14"/>
        <v>565</v>
      </c>
      <c r="L119" s="7">
        <f t="shared" si="15"/>
        <v>60</v>
      </c>
      <c r="M119" s="7" t="str">
        <f t="shared" si="16"/>
        <v>no</v>
      </c>
      <c r="N119" s="3">
        <f>'0. Parametros'!$B$3+H119</f>
        <v>46169</v>
      </c>
      <c r="O119" s="3">
        <f>'0. Parametros'!$B$3+I119-1</f>
        <v>46174</v>
      </c>
      <c r="P119" s="15">
        <f>IFERROR(VLOOKUP($A119,'1. Calculo PERT'!$A:$M,13,FALSE()),0)</f>
        <v>1.3611111111111114</v>
      </c>
      <c r="Q119" s="16">
        <f>IFERROR(VLOOKUP($A119,'1. Calculo PERT'!$A:$P,16,FALSE()),0)</f>
        <v>28527318</v>
      </c>
    </row>
    <row r="120" spans="1:17" x14ac:dyDescent="0.25">
      <c r="A120" s="7" t="s">
        <v>623</v>
      </c>
      <c r="B120" s="7" t="s">
        <v>624</v>
      </c>
      <c r="C120" s="7" t="s">
        <v>90</v>
      </c>
      <c r="D120" s="7" t="s">
        <v>610</v>
      </c>
      <c r="E120" s="7" t="s">
        <v>14</v>
      </c>
      <c r="F120" s="14">
        <f>IFERROR(ROUND(VLOOKUP($A120,'1. Calculo PERT'!$A:$K,11,FALSE()),0),0)</f>
        <v>12</v>
      </c>
      <c r="G120" s="14" t="str">
        <f>IF(VLOOKUP($A120,'1. Calculo PERT'!$A:$N,14,FALSE())=0,"",VLOOKUP($A120,'1. Calculo PERT'!$A:$N,14,FALSE()))</f>
        <v>1.3.3.1.3FC, 1.3.3.1.2FC</v>
      </c>
      <c r="H120" s="7">
        <f>MAX(0,$I$115,$I$114)</f>
        <v>501</v>
      </c>
      <c r="I120" s="7">
        <f t="shared" si="13"/>
        <v>513</v>
      </c>
      <c r="J120" s="7">
        <f>MIN($J$127,$T$1)-$F120</f>
        <v>501</v>
      </c>
      <c r="K120" s="7">
        <f t="shared" si="14"/>
        <v>513</v>
      </c>
      <c r="L120" s="7">
        <f t="shared" si="15"/>
        <v>0</v>
      </c>
      <c r="M120" s="7" t="str">
        <f t="shared" si="16"/>
        <v>SI</v>
      </c>
      <c r="N120" s="3">
        <f>'0. Parametros'!$B$3+H120</f>
        <v>46171</v>
      </c>
      <c r="O120" s="3">
        <f>'0. Parametros'!$B$3+I120-1</f>
        <v>46182</v>
      </c>
      <c r="P120" s="15">
        <f>IFERROR(VLOOKUP($A120,'1. Calculo PERT'!$A:$M,13,FALSE()),0)</f>
        <v>2.25</v>
      </c>
      <c r="Q120" s="16">
        <f>IFERROR(VLOOKUP($A120,'1. Calculo PERT'!$A:$P,16,FALSE()),0)</f>
        <v>133440632</v>
      </c>
    </row>
    <row r="121" spans="1:17" x14ac:dyDescent="0.25">
      <c r="A121" s="7" t="s">
        <v>675</v>
      </c>
      <c r="B121" s="7" t="s">
        <v>676</v>
      </c>
      <c r="C121" s="7" t="s">
        <v>90</v>
      </c>
      <c r="D121" s="7" t="s">
        <v>610</v>
      </c>
      <c r="E121" s="7" t="s">
        <v>14</v>
      </c>
      <c r="F121" s="14">
        <f>IFERROR(ROUND(VLOOKUP($A121,'1. Calculo PERT'!$A:$K,11,FALSE()),0),0)</f>
        <v>12</v>
      </c>
      <c r="G121" s="14" t="str">
        <f>IF(VLOOKUP($A121,'1. Calculo PERT'!$A:$N,14,FALSE())=0,"",VLOOKUP($A121,'1. Calculo PERT'!$A:$N,14,FALSE()))</f>
        <v>1.3.3.1.3FC</v>
      </c>
      <c r="H121" s="7">
        <f>MAX(0,$I$115)</f>
        <v>501</v>
      </c>
      <c r="I121" s="7">
        <f t="shared" si="13"/>
        <v>513</v>
      </c>
      <c r="J121" s="7">
        <f>MIN($J$144,$T$1)-$F121</f>
        <v>558</v>
      </c>
      <c r="K121" s="7">
        <f t="shared" si="14"/>
        <v>570</v>
      </c>
      <c r="L121" s="7">
        <f t="shared" si="15"/>
        <v>57</v>
      </c>
      <c r="M121" s="7" t="str">
        <f t="shared" si="16"/>
        <v>no</v>
      </c>
      <c r="N121" s="3">
        <f>'0. Parametros'!$B$3+H121</f>
        <v>46171</v>
      </c>
      <c r="O121" s="3">
        <f>'0. Parametros'!$B$3+I121-1</f>
        <v>46182</v>
      </c>
      <c r="P121" s="15">
        <f>IFERROR(VLOOKUP($A121,'1. Calculo PERT'!$A:$M,13,FALSE()),0)</f>
        <v>3.3611111111111107</v>
      </c>
      <c r="Q121" s="16">
        <f>IFERROR(VLOOKUP($A121,'1. Calculo PERT'!$A:$P,16,FALSE()),0)</f>
        <v>5078343</v>
      </c>
    </row>
    <row r="122" spans="1:17" x14ac:dyDescent="0.25">
      <c r="A122" s="7" t="s">
        <v>681</v>
      </c>
      <c r="B122" s="7" t="s">
        <v>682</v>
      </c>
      <c r="C122" s="7" t="s">
        <v>90</v>
      </c>
      <c r="D122" s="7" t="s">
        <v>610</v>
      </c>
      <c r="E122" s="7" t="s">
        <v>14</v>
      </c>
      <c r="F122" s="14">
        <f>IFERROR(ROUND(VLOOKUP($A122,'1. Calculo PERT'!$A:$K,11,FALSE()),0),0)</f>
        <v>16</v>
      </c>
      <c r="G122" s="14" t="str">
        <f>IF(VLOOKUP($A122,'1. Calculo PERT'!$A:$N,14,FALSE())=0,"",VLOOKUP($A122,'1. Calculo PERT'!$A:$N,14,FALSE()))</f>
        <v>1.3.3.1.3FC</v>
      </c>
      <c r="H122" s="7">
        <f>MAX(0,$I$115)</f>
        <v>501</v>
      </c>
      <c r="I122" s="7">
        <f t="shared" si="13"/>
        <v>517</v>
      </c>
      <c r="J122" s="7">
        <f>MIN(MIN($J$130,$J$144,$T$1)-$F122,$J$126-5)</f>
        <v>542</v>
      </c>
      <c r="K122" s="7">
        <f t="shared" si="14"/>
        <v>558</v>
      </c>
      <c r="L122" s="7">
        <f t="shared" si="15"/>
        <v>41</v>
      </c>
      <c r="M122" s="7" t="str">
        <f t="shared" si="16"/>
        <v>no</v>
      </c>
      <c r="N122" s="3">
        <f>'0. Parametros'!$B$3+H122</f>
        <v>46171</v>
      </c>
      <c r="O122" s="3">
        <f>'0. Parametros'!$B$3+I122-1</f>
        <v>46186</v>
      </c>
      <c r="P122" s="15">
        <f>IFERROR(VLOOKUP($A122,'1. Calculo PERT'!$A:$M,13,FALSE()),0)</f>
        <v>6.25</v>
      </c>
      <c r="Q122" s="16">
        <f>IFERROR(VLOOKUP($A122,'1. Calculo PERT'!$A:$P,16,FALSE()),0)</f>
        <v>70774268</v>
      </c>
    </row>
    <row r="123" spans="1:17" x14ac:dyDescent="0.25">
      <c r="A123" s="7" t="s">
        <v>668</v>
      </c>
      <c r="B123" s="7" t="s">
        <v>669</v>
      </c>
      <c r="C123" s="7" t="s">
        <v>94</v>
      </c>
      <c r="D123" s="7" t="s">
        <v>648</v>
      </c>
      <c r="E123" s="7" t="s">
        <v>14</v>
      </c>
      <c r="F123" s="14">
        <f>IFERROR(ROUND(VLOOKUP($A123,'1. Calculo PERT'!$A:$K,11,FALSE()),0),0)</f>
        <v>5</v>
      </c>
      <c r="G123" s="14" t="str">
        <f>IF(VLOOKUP($A123,'1. Calculo PERT'!$A:$N,14,FALSE())=0,"",VLOOKUP($A123,'1. Calculo PERT'!$A:$N,14,FALSE()))</f>
        <v>1.3.3.2.4FC</v>
      </c>
      <c r="H123" s="7">
        <f>MAX(0,$I$119)</f>
        <v>505</v>
      </c>
      <c r="I123" s="7">
        <f t="shared" si="13"/>
        <v>510</v>
      </c>
      <c r="J123" s="7">
        <f>MIN($J$144,$T$1)-$F123</f>
        <v>565</v>
      </c>
      <c r="K123" s="7">
        <f t="shared" si="14"/>
        <v>570</v>
      </c>
      <c r="L123" s="7">
        <f t="shared" si="15"/>
        <v>60</v>
      </c>
      <c r="M123" s="7" t="str">
        <f t="shared" si="16"/>
        <v>no</v>
      </c>
      <c r="N123" s="3">
        <f>'0. Parametros'!$B$3+H123</f>
        <v>46175</v>
      </c>
      <c r="O123" s="3">
        <f>'0. Parametros'!$B$3+I123-1</f>
        <v>46179</v>
      </c>
      <c r="P123" s="15">
        <f>IFERROR(VLOOKUP($A123,'1. Calculo PERT'!$A:$M,13,FALSE()),0)</f>
        <v>0.69444444444444453</v>
      </c>
      <c r="Q123" s="16">
        <f>IFERROR(VLOOKUP($A123,'1. Calculo PERT'!$A:$P,16,FALSE()),0)</f>
        <v>21395487</v>
      </c>
    </row>
    <row r="124" spans="1:17" x14ac:dyDescent="0.25">
      <c r="A124" s="7" t="s">
        <v>699</v>
      </c>
      <c r="B124" s="7" t="s">
        <v>700</v>
      </c>
      <c r="C124" s="7" t="s">
        <v>90</v>
      </c>
      <c r="D124" s="7" t="s">
        <v>610</v>
      </c>
      <c r="E124" s="7" t="s">
        <v>14</v>
      </c>
      <c r="F124" s="14">
        <f>IFERROR(ROUND(VLOOKUP($A124,'1. Calculo PERT'!$A:$K,11,FALSE()),0),0)</f>
        <v>6</v>
      </c>
      <c r="G124" s="14" t="str">
        <f>IF(VLOOKUP($A124,'1. Calculo PERT'!$A:$N,14,FALSE())=0,"",VLOOKUP($A124,'1. Calculo PERT'!$A:$N,14,FALSE()))</f>
        <v>1.3.3.3.3FC</v>
      </c>
      <c r="H124" s="7">
        <f>MAX(0,$I$118)</f>
        <v>505</v>
      </c>
      <c r="I124" s="7">
        <f t="shared" si="13"/>
        <v>511</v>
      </c>
      <c r="J124" s="7">
        <f>MIN($J$144,$T$1)-$F124</f>
        <v>564</v>
      </c>
      <c r="K124" s="7">
        <f t="shared" si="14"/>
        <v>570</v>
      </c>
      <c r="L124" s="7">
        <f t="shared" si="15"/>
        <v>59</v>
      </c>
      <c r="M124" s="7" t="str">
        <f t="shared" si="16"/>
        <v>no</v>
      </c>
      <c r="N124" s="3">
        <f>'0. Parametros'!$B$3+H124</f>
        <v>46175</v>
      </c>
      <c r="O124" s="3">
        <f>'0. Parametros'!$B$3+I124-1</f>
        <v>46180</v>
      </c>
      <c r="P124" s="15">
        <f>IFERROR(VLOOKUP($A124,'1. Calculo PERT'!$A:$M,13,FALSE()),0)</f>
        <v>1</v>
      </c>
      <c r="Q124" s="16">
        <f>IFERROR(VLOOKUP($A124,'1. Calculo PERT'!$A:$P,16,FALSE()),0)</f>
        <v>31455230</v>
      </c>
    </row>
    <row r="125" spans="1:17" x14ac:dyDescent="0.25">
      <c r="A125" s="7" t="s">
        <v>561</v>
      </c>
      <c r="B125" s="7" t="s">
        <v>562</v>
      </c>
      <c r="C125" s="7" t="s">
        <v>94</v>
      </c>
      <c r="D125" s="7" t="s">
        <v>545</v>
      </c>
      <c r="E125" s="7" t="s">
        <v>14</v>
      </c>
      <c r="F125" s="14">
        <f>IFERROR(ROUND(VLOOKUP($A125,'1. Calculo PERT'!$A:$K,11,FALSE()),0),0)</f>
        <v>10</v>
      </c>
      <c r="G125" s="14" t="str">
        <f>IF(VLOOKUP($A125,'1. Calculo PERT'!$A:$N,14,FALSE())=0,"",VLOOKUP($A125,'1. Calculo PERT'!$A:$N,14,FALSE()))</f>
        <v>1.3.2.2.3FC</v>
      </c>
      <c r="H125" s="7">
        <f>MAX(0,$I$117)</f>
        <v>505</v>
      </c>
      <c r="I125" s="7">
        <f t="shared" si="13"/>
        <v>515</v>
      </c>
      <c r="J125" s="7">
        <f>MIN($J$128,$J$129,$J$132,$T$1)-$F125</f>
        <v>518</v>
      </c>
      <c r="K125" s="7">
        <f t="shared" si="14"/>
        <v>528</v>
      </c>
      <c r="L125" s="7">
        <f t="shared" si="15"/>
        <v>13</v>
      </c>
      <c r="M125" s="7" t="str">
        <f t="shared" si="16"/>
        <v>no</v>
      </c>
      <c r="N125" s="3">
        <f>'0. Parametros'!$B$3+H125</f>
        <v>46175</v>
      </c>
      <c r="O125" s="3">
        <f>'0. Parametros'!$B$3+I125-1</f>
        <v>46184</v>
      </c>
      <c r="P125" s="15">
        <f>IFERROR(VLOOKUP($A125,'1. Calculo PERT'!$A:$M,13,FALSE()),0)</f>
        <v>2.25</v>
      </c>
      <c r="Q125" s="16">
        <f>IFERROR(VLOOKUP($A125,'1. Calculo PERT'!$A:$P,16,FALSE()),0)</f>
        <v>238893620</v>
      </c>
    </row>
    <row r="126" spans="1:17" x14ac:dyDescent="0.25">
      <c r="A126" s="7" t="s">
        <v>689</v>
      </c>
      <c r="B126" s="7" t="s">
        <v>690</v>
      </c>
      <c r="C126" s="7" t="s">
        <v>90</v>
      </c>
      <c r="D126" s="7" t="s">
        <v>610</v>
      </c>
      <c r="E126" s="7" t="s">
        <v>14</v>
      </c>
      <c r="F126" s="14">
        <f>IFERROR(ROUND(VLOOKUP($A126,'1. Calculo PERT'!$A:$K,11,FALSE()),0),0)</f>
        <v>10</v>
      </c>
      <c r="G126" s="14" t="str">
        <f>IF(VLOOKUP($A126,'1. Calculo PERT'!$A:$N,14,FALSE())=0,"",VLOOKUP($A126,'1. Calculo PERT'!$A:$N,14,FALSE()))</f>
        <v>1.3.3.3.2CC+5</v>
      </c>
      <c r="H126" s="7">
        <f>MAX(0,$H$122+5)</f>
        <v>506</v>
      </c>
      <c r="I126" s="7">
        <f t="shared" si="13"/>
        <v>516</v>
      </c>
      <c r="J126" s="7">
        <f>MIN($J$144,$T$1)-$F126</f>
        <v>560</v>
      </c>
      <c r="K126" s="7">
        <f t="shared" si="14"/>
        <v>570</v>
      </c>
      <c r="L126" s="7">
        <f t="shared" si="15"/>
        <v>54</v>
      </c>
      <c r="M126" s="7" t="str">
        <f t="shared" si="16"/>
        <v>no</v>
      </c>
      <c r="N126" s="3">
        <f>'0. Parametros'!$B$3+H126</f>
        <v>46176</v>
      </c>
      <c r="O126" s="3">
        <f>'0. Parametros'!$B$3+I126-1</f>
        <v>46185</v>
      </c>
      <c r="P126" s="15">
        <f>IFERROR(VLOOKUP($A126,'1. Calculo PERT'!$A:$M,13,FALSE()),0)</f>
        <v>3.3611111111111107</v>
      </c>
      <c r="Q126" s="16">
        <f>IFERROR(VLOOKUP($A126,'1. Calculo PERT'!$A:$P,16,FALSE()),0)</f>
        <v>39319038</v>
      </c>
    </row>
    <row r="127" spans="1:17" x14ac:dyDescent="0.25">
      <c r="A127" s="7" t="s">
        <v>628</v>
      </c>
      <c r="B127" s="7" t="s">
        <v>629</v>
      </c>
      <c r="C127" s="7" t="s">
        <v>90</v>
      </c>
      <c r="D127" s="7" t="s">
        <v>610</v>
      </c>
      <c r="E127" s="7" t="s">
        <v>14</v>
      </c>
      <c r="F127" s="14">
        <f>IFERROR(ROUND(VLOOKUP($A127,'1. Calculo PERT'!$A:$K,11,FALSE()),0),0)</f>
        <v>15</v>
      </c>
      <c r="G127" s="14" t="str">
        <f>IF(VLOOKUP($A127,'1. Calculo PERT'!$A:$N,14,FALSE())=0,"",VLOOKUP($A127,'1. Calculo PERT'!$A:$N,14,FALSE()))</f>
        <v>1.3.3.1.4FC</v>
      </c>
      <c r="H127" s="7">
        <f>MAX(0,$I$120)</f>
        <v>513</v>
      </c>
      <c r="I127" s="7">
        <f t="shared" si="13"/>
        <v>528</v>
      </c>
      <c r="J127" s="7">
        <f>MIN($J$133,$J$131,$J$132,$T$1)-$F127</f>
        <v>513</v>
      </c>
      <c r="K127" s="7">
        <f t="shared" si="14"/>
        <v>528</v>
      </c>
      <c r="L127" s="7">
        <f t="shared" si="15"/>
        <v>0</v>
      </c>
      <c r="M127" s="7" t="str">
        <f t="shared" si="16"/>
        <v>SI</v>
      </c>
      <c r="N127" s="3">
        <f>'0. Parametros'!$B$3+H127</f>
        <v>46183</v>
      </c>
      <c r="O127" s="3">
        <f>'0. Parametros'!$B$3+I127-1</f>
        <v>46197</v>
      </c>
      <c r="P127" s="15">
        <f>IFERROR(VLOOKUP($A127,'1. Calculo PERT'!$A:$M,13,FALSE()),0)</f>
        <v>4.6944444444444438</v>
      </c>
      <c r="Q127" s="16">
        <f>IFERROR(VLOOKUP($A127,'1. Calculo PERT'!$A:$P,16,FALSE()),0)</f>
        <v>177920842</v>
      </c>
    </row>
    <row r="128" spans="1:17" x14ac:dyDescent="0.25">
      <c r="A128" s="7" t="s">
        <v>566</v>
      </c>
      <c r="B128" s="7" t="s">
        <v>567</v>
      </c>
      <c r="C128" s="7" t="s">
        <v>90</v>
      </c>
      <c r="D128" s="7" t="s">
        <v>545</v>
      </c>
      <c r="E128" s="7" t="s">
        <v>14</v>
      </c>
      <c r="F128" s="14">
        <f>IFERROR(ROUND(VLOOKUP($A128,'1. Calculo PERT'!$A:$K,11,FALSE()),0),0)</f>
        <v>5</v>
      </c>
      <c r="G128" s="14" t="str">
        <f>IF(VLOOKUP($A128,'1. Calculo PERT'!$A:$N,14,FALSE())=0,"",VLOOKUP($A128,'1. Calculo PERT'!$A:$N,14,FALSE()))</f>
        <v>1.3.2.2.4FC</v>
      </c>
      <c r="H128" s="7">
        <f>MAX(0,$I$125)</f>
        <v>515</v>
      </c>
      <c r="I128" s="7">
        <f t="shared" si="13"/>
        <v>520</v>
      </c>
      <c r="J128" s="7">
        <f>MIN($J$144,$T$1)-$F128</f>
        <v>565</v>
      </c>
      <c r="K128" s="7">
        <f t="shared" si="14"/>
        <v>570</v>
      </c>
      <c r="L128" s="7">
        <f t="shared" si="15"/>
        <v>50</v>
      </c>
      <c r="M128" s="7" t="str">
        <f t="shared" si="16"/>
        <v>no</v>
      </c>
      <c r="N128" s="3">
        <f>'0. Parametros'!$B$3+H128</f>
        <v>46185</v>
      </c>
      <c r="O128" s="3">
        <f>'0. Parametros'!$B$3+I128-1</f>
        <v>46189</v>
      </c>
      <c r="P128" s="15">
        <f>IFERROR(VLOOKUP($A128,'1. Calculo PERT'!$A:$M,13,FALSE()),0)</f>
        <v>0.69444444444444453</v>
      </c>
      <c r="Q128" s="16">
        <f>IFERROR(VLOOKUP($A128,'1. Calculo PERT'!$A:$P,16,FALSE()),0)</f>
        <v>143336172</v>
      </c>
    </row>
    <row r="129" spans="1:17" x14ac:dyDescent="0.25">
      <c r="A129" s="7" t="s">
        <v>571</v>
      </c>
      <c r="B129" s="7" t="s">
        <v>572</v>
      </c>
      <c r="C129" s="7" t="s">
        <v>90</v>
      </c>
      <c r="D129" s="7" t="s">
        <v>545</v>
      </c>
      <c r="E129" s="7" t="s">
        <v>14</v>
      </c>
      <c r="F129" s="14">
        <f>IFERROR(ROUND(VLOOKUP($A129,'1. Calculo PERT'!$A:$K,11,FALSE()),0),0)</f>
        <v>5</v>
      </c>
      <c r="G129" s="14" t="str">
        <f>IF(VLOOKUP($A129,'1. Calculo PERT'!$A:$N,14,FALSE())=0,"",VLOOKUP($A129,'1. Calculo PERT'!$A:$N,14,FALSE()))</f>
        <v>1.3.2.2.4FC</v>
      </c>
      <c r="H129" s="7">
        <f>MAX(0,$I$125)</f>
        <v>515</v>
      </c>
      <c r="I129" s="7">
        <f t="shared" si="13"/>
        <v>520</v>
      </c>
      <c r="J129" s="7">
        <f>MIN($J$144,$T$1)-$F129</f>
        <v>565</v>
      </c>
      <c r="K129" s="7">
        <f t="shared" si="14"/>
        <v>570</v>
      </c>
      <c r="L129" s="7">
        <f t="shared" si="15"/>
        <v>50</v>
      </c>
      <c r="M129" s="7" t="str">
        <f t="shared" si="16"/>
        <v>no</v>
      </c>
      <c r="N129" s="3">
        <f>'0. Parametros'!$B$3+H129</f>
        <v>46185</v>
      </c>
      <c r="O129" s="3">
        <f>'0. Parametros'!$B$3+I129-1</f>
        <v>46189</v>
      </c>
      <c r="P129" s="15">
        <f>IFERROR(VLOOKUP($A129,'1. Calculo PERT'!$A:$M,13,FALSE()),0)</f>
        <v>0.69444444444444453</v>
      </c>
      <c r="Q129" s="16">
        <f>IFERROR(VLOOKUP($A129,'1. Calculo PERT'!$A:$P,16,FALSE()),0)</f>
        <v>143336170</v>
      </c>
    </row>
    <row r="130" spans="1:17" x14ac:dyDescent="0.25">
      <c r="A130" s="7" t="s">
        <v>694</v>
      </c>
      <c r="B130" s="7" t="s">
        <v>695</v>
      </c>
      <c r="C130" s="7" t="s">
        <v>90</v>
      </c>
      <c r="D130" s="7" t="s">
        <v>610</v>
      </c>
      <c r="E130" s="7" t="s">
        <v>14</v>
      </c>
      <c r="F130" s="14">
        <f>IFERROR(ROUND(VLOOKUP($A130,'1. Calculo PERT'!$A:$K,11,FALSE()),0),0)</f>
        <v>12</v>
      </c>
      <c r="G130" s="14" t="str">
        <f>IF(VLOOKUP($A130,'1. Calculo PERT'!$A:$N,14,FALSE())=0,"",VLOOKUP($A130,'1. Calculo PERT'!$A:$N,14,FALSE()))</f>
        <v>1.3.3.3.2FC</v>
      </c>
      <c r="H130" s="7">
        <f>MAX(0,$I$122)</f>
        <v>517</v>
      </c>
      <c r="I130" s="7">
        <f t="shared" si="13"/>
        <v>529</v>
      </c>
      <c r="J130" s="7">
        <f>MIN($J$144,$T$1)-$F130</f>
        <v>558</v>
      </c>
      <c r="K130" s="7">
        <f t="shared" si="14"/>
        <v>570</v>
      </c>
      <c r="L130" s="7">
        <f t="shared" si="15"/>
        <v>41</v>
      </c>
      <c r="M130" s="7" t="str">
        <f t="shared" si="16"/>
        <v>no</v>
      </c>
      <c r="N130" s="3">
        <f>'0. Parametros'!$B$3+H130</f>
        <v>46187</v>
      </c>
      <c r="O130" s="3">
        <f>'0. Parametros'!$B$3+I130-1</f>
        <v>46198</v>
      </c>
      <c r="P130" s="15">
        <f>IFERROR(VLOOKUP($A130,'1. Calculo PERT'!$A:$M,13,FALSE()),0)</f>
        <v>4.6944444444444438</v>
      </c>
      <c r="Q130" s="16">
        <f>IFERROR(VLOOKUP($A130,'1. Calculo PERT'!$A:$P,16,FALSE()),0)</f>
        <v>55046653</v>
      </c>
    </row>
    <row r="131" spans="1:17" x14ac:dyDescent="0.25">
      <c r="A131" s="7" t="s">
        <v>643</v>
      </c>
      <c r="B131" s="7" t="s">
        <v>644</v>
      </c>
      <c r="C131" s="7" t="s">
        <v>90</v>
      </c>
      <c r="D131" s="7" t="s">
        <v>610</v>
      </c>
      <c r="E131" s="7" t="s">
        <v>14</v>
      </c>
      <c r="F131" s="14">
        <f>IFERROR(ROUND(VLOOKUP($A131,'1. Calculo PERT'!$A:$K,11,FALSE()),0),0)</f>
        <v>6</v>
      </c>
      <c r="G131" s="14" t="str">
        <f>IF(VLOOKUP($A131,'1. Calculo PERT'!$A:$N,14,FALSE())=0,"",VLOOKUP($A131,'1. Calculo PERT'!$A:$N,14,FALSE()))</f>
        <v>1.3.3.1.5FC</v>
      </c>
      <c r="H131" s="7">
        <f>MAX(0,$I$127)</f>
        <v>528</v>
      </c>
      <c r="I131" s="7">
        <f t="shared" si="13"/>
        <v>534</v>
      </c>
      <c r="J131" s="7">
        <f>MIN($J$144,$T$1)-$F131</f>
        <v>564</v>
      </c>
      <c r="K131" s="7">
        <f t="shared" si="14"/>
        <v>570</v>
      </c>
      <c r="L131" s="7">
        <f t="shared" si="15"/>
        <v>36</v>
      </c>
      <c r="M131" s="7" t="str">
        <f t="shared" si="16"/>
        <v>no</v>
      </c>
      <c r="N131" s="3">
        <f>'0. Parametros'!$B$3+H131</f>
        <v>46198</v>
      </c>
      <c r="O131" s="3">
        <f>'0. Parametros'!$B$3+I131-1</f>
        <v>46203</v>
      </c>
      <c r="P131" s="15">
        <f>IFERROR(VLOOKUP($A131,'1. Calculo PERT'!$A:$M,13,FALSE()),0)</f>
        <v>1</v>
      </c>
      <c r="Q131" s="16">
        <f>IFERROR(VLOOKUP($A131,'1. Calculo PERT'!$A:$P,16,FALSE()),0)</f>
        <v>88960422</v>
      </c>
    </row>
    <row r="132" spans="1:17" x14ac:dyDescent="0.25">
      <c r="A132" s="7" t="s">
        <v>709</v>
      </c>
      <c r="B132" s="7" t="s">
        <v>710</v>
      </c>
      <c r="C132" s="7" t="s">
        <v>90</v>
      </c>
      <c r="D132" s="7" t="s">
        <v>708</v>
      </c>
      <c r="E132" s="7" t="s">
        <v>14</v>
      </c>
      <c r="F132" s="14">
        <f>IFERROR(ROUND(VLOOKUP($A132,'1. Calculo PERT'!$A:$K,11,FALSE()),0),0)</f>
        <v>10</v>
      </c>
      <c r="G132" s="14" t="str">
        <f>IF(VLOOKUP($A132,'1. Calculo PERT'!$A:$N,14,FALSE())=0,"",VLOOKUP($A132,'1. Calculo PERT'!$A:$N,14,FALSE()))</f>
        <v>1.3.2.2.4FC, 1.3.3.1.5FC, 1.3.3.2.3FC</v>
      </c>
      <c r="H132" s="7">
        <f>MAX(0,$I$125,$I$127,$I$116)</f>
        <v>528</v>
      </c>
      <c r="I132" s="7">
        <f t="shared" si="13"/>
        <v>538</v>
      </c>
      <c r="J132" s="7">
        <f>MIN($J$134,$T$1)-$F132</f>
        <v>528</v>
      </c>
      <c r="K132" s="7">
        <f t="shared" si="14"/>
        <v>538</v>
      </c>
      <c r="L132" s="7">
        <f t="shared" si="15"/>
        <v>0</v>
      </c>
      <c r="M132" s="7" t="str">
        <f t="shared" si="16"/>
        <v>SI</v>
      </c>
      <c r="N132" s="3">
        <f>'0. Parametros'!$B$3+H132</f>
        <v>46198</v>
      </c>
      <c r="O132" s="3">
        <f>'0. Parametros'!$B$3+I132-1</f>
        <v>46207</v>
      </c>
      <c r="P132" s="15">
        <f>IFERROR(VLOOKUP($A132,'1. Calculo PERT'!$A:$M,13,FALSE()),0)</f>
        <v>2.25</v>
      </c>
      <c r="Q132" s="16">
        <f>IFERROR(VLOOKUP($A132,'1. Calculo PERT'!$A:$P,16,FALSE()),0)</f>
        <v>47572645</v>
      </c>
    </row>
    <row r="133" spans="1:17" x14ac:dyDescent="0.25">
      <c r="A133" s="7" t="s">
        <v>633</v>
      </c>
      <c r="B133" s="7" t="s">
        <v>634</v>
      </c>
      <c r="C133" s="7" t="s">
        <v>90</v>
      </c>
      <c r="D133" s="7" t="s">
        <v>610</v>
      </c>
      <c r="E133" s="7" t="s">
        <v>14</v>
      </c>
      <c r="F133" s="14">
        <f>IFERROR(ROUND(VLOOKUP($A133,'1. Calculo PERT'!$A:$K,11,FALSE()),0),0)</f>
        <v>12</v>
      </c>
      <c r="G133" s="14" t="str">
        <f>IF(VLOOKUP($A133,'1. Calculo PERT'!$A:$N,14,FALSE())=0,"",VLOOKUP($A133,'1. Calculo PERT'!$A:$N,14,FALSE()))</f>
        <v>1.3.3.1.5FC</v>
      </c>
      <c r="H133" s="7">
        <f>MAX(0,$I$127)</f>
        <v>528</v>
      </c>
      <c r="I133" s="7">
        <f t="shared" ref="I133:I164" si="17">H133+F133</f>
        <v>540</v>
      </c>
      <c r="J133" s="7">
        <f>MIN($J$135,$T$1)-$F133</f>
        <v>548</v>
      </c>
      <c r="K133" s="7">
        <f t="shared" ref="K133:K164" si="18">J133+F133</f>
        <v>560</v>
      </c>
      <c r="L133" s="7">
        <f t="shared" ref="L133:L167" si="19">J133-H133</f>
        <v>20</v>
      </c>
      <c r="M133" s="7" t="str">
        <f t="shared" ref="M133:M164" si="20">IF(L133=0,"SI","no")</f>
        <v>no</v>
      </c>
      <c r="N133" s="3">
        <f>'0. Parametros'!$B$3+H133</f>
        <v>46198</v>
      </c>
      <c r="O133" s="3">
        <f>'0. Parametros'!$B$3+I133-1</f>
        <v>46209</v>
      </c>
      <c r="P133" s="15">
        <f>IFERROR(VLOOKUP($A133,'1. Calculo PERT'!$A:$M,13,FALSE()),0)</f>
        <v>3.3611111111111107</v>
      </c>
      <c r="Q133" s="16">
        <f>IFERROR(VLOOKUP($A133,'1. Calculo PERT'!$A:$P,16,FALSE()),0)</f>
        <v>155680737</v>
      </c>
    </row>
    <row r="134" spans="1:17" x14ac:dyDescent="0.25">
      <c r="A134" s="7" t="s">
        <v>715</v>
      </c>
      <c r="B134" s="7" t="s">
        <v>716</v>
      </c>
      <c r="C134" s="7" t="s">
        <v>90</v>
      </c>
      <c r="D134" s="7" t="s">
        <v>708</v>
      </c>
      <c r="E134" s="7" t="s">
        <v>14</v>
      </c>
      <c r="F134" s="14">
        <f>IFERROR(ROUND(VLOOKUP($A134,'1. Calculo PERT'!$A:$K,11,FALSE()),0),0)</f>
        <v>6</v>
      </c>
      <c r="G134" s="14" t="str">
        <f>IF(VLOOKUP($A134,'1. Calculo PERT'!$A:$N,14,FALSE())=0,"",VLOOKUP($A134,'1. Calculo PERT'!$A:$N,14,FALSE()))</f>
        <v>1.3.4.1.1FC</v>
      </c>
      <c r="H134" s="7">
        <f>MAX(0,$I$132)</f>
        <v>538</v>
      </c>
      <c r="I134" s="7">
        <f t="shared" si="17"/>
        <v>544</v>
      </c>
      <c r="J134" s="7">
        <f>MIN($J$136,$J$137,$J$138,$T$1)-$F134</f>
        <v>538</v>
      </c>
      <c r="K134" s="7">
        <f t="shared" si="18"/>
        <v>544</v>
      </c>
      <c r="L134" s="7">
        <f t="shared" si="19"/>
        <v>0</v>
      </c>
      <c r="M134" s="7" t="str">
        <f t="shared" si="20"/>
        <v>SI</v>
      </c>
      <c r="N134" s="3">
        <f>'0. Parametros'!$B$3+H134</f>
        <v>46208</v>
      </c>
      <c r="O134" s="3">
        <f>'0. Parametros'!$B$3+I134-1</f>
        <v>46213</v>
      </c>
      <c r="P134" s="15">
        <f>IFERROR(VLOOKUP($A134,'1. Calculo PERT'!$A:$M,13,FALSE()),0)</f>
        <v>1</v>
      </c>
      <c r="Q134" s="16">
        <f>IFERROR(VLOOKUP($A134,'1. Calculo PERT'!$A:$P,16,FALSE()),0)</f>
        <v>38058116</v>
      </c>
    </row>
    <row r="135" spans="1:17" x14ac:dyDescent="0.25">
      <c r="A135" s="7" t="s">
        <v>638</v>
      </c>
      <c r="B135" s="7" t="s">
        <v>639</v>
      </c>
      <c r="C135" s="7" t="s">
        <v>90</v>
      </c>
      <c r="D135" s="7" t="s">
        <v>610</v>
      </c>
      <c r="E135" s="7" t="s">
        <v>14</v>
      </c>
      <c r="F135" s="14">
        <f>IFERROR(ROUND(VLOOKUP($A135,'1. Calculo PERT'!$A:$K,11,FALSE()),0),0)</f>
        <v>10</v>
      </c>
      <c r="G135" s="14" t="str">
        <f>IF(VLOOKUP($A135,'1. Calculo PERT'!$A:$N,14,FALSE())=0,"",VLOOKUP($A135,'1. Calculo PERT'!$A:$N,14,FALSE()))</f>
        <v>1.3.3.1.6FC</v>
      </c>
      <c r="H135" s="7">
        <f>MAX(0,$I$133)</f>
        <v>540</v>
      </c>
      <c r="I135" s="7">
        <f t="shared" si="17"/>
        <v>550</v>
      </c>
      <c r="J135" s="7">
        <f>MIN($J$144,$T$1)-$F135</f>
        <v>560</v>
      </c>
      <c r="K135" s="7">
        <f t="shared" si="18"/>
        <v>570</v>
      </c>
      <c r="L135" s="7">
        <f t="shared" si="19"/>
        <v>20</v>
      </c>
      <c r="M135" s="7" t="str">
        <f t="shared" si="20"/>
        <v>no</v>
      </c>
      <c r="N135" s="3">
        <f>'0. Parametros'!$B$3+H135</f>
        <v>46210</v>
      </c>
      <c r="O135" s="3">
        <f>'0. Parametros'!$B$3+I135-1</f>
        <v>46219</v>
      </c>
      <c r="P135" s="15">
        <f>IFERROR(VLOOKUP($A135,'1. Calculo PERT'!$A:$M,13,FALSE()),0)</f>
        <v>2.25</v>
      </c>
      <c r="Q135" s="16">
        <f>IFERROR(VLOOKUP($A135,'1. Calculo PERT'!$A:$P,16,FALSE()),0)</f>
        <v>111200526</v>
      </c>
    </row>
    <row r="136" spans="1:17" x14ac:dyDescent="0.25">
      <c r="A136" s="7" t="s">
        <v>720</v>
      </c>
      <c r="B136" s="7" t="s">
        <v>721</v>
      </c>
      <c r="C136" s="7" t="s">
        <v>94</v>
      </c>
      <c r="D136" s="7" t="s">
        <v>708</v>
      </c>
      <c r="E136" s="7" t="s">
        <v>14</v>
      </c>
      <c r="F136" s="14">
        <f>IFERROR(ROUND(VLOOKUP($A136,'1. Calculo PERT'!$A:$K,11,FALSE()),0),0)</f>
        <v>5</v>
      </c>
      <c r="G136" s="14" t="str">
        <f>IF(VLOOKUP($A136,'1. Calculo PERT'!$A:$N,14,FALSE())=0,"",VLOOKUP($A136,'1. Calculo PERT'!$A:$N,14,FALSE()))</f>
        <v>1.3.4.1.2FC</v>
      </c>
      <c r="H136" s="7">
        <f>MAX(0,$I$134)</f>
        <v>544</v>
      </c>
      <c r="I136" s="7">
        <f t="shared" si="17"/>
        <v>549</v>
      </c>
      <c r="J136" s="7">
        <f>MIN($J$139,$J$144,$T$1)-$F136</f>
        <v>559</v>
      </c>
      <c r="K136" s="7">
        <f t="shared" si="18"/>
        <v>564</v>
      </c>
      <c r="L136" s="7">
        <f t="shared" si="19"/>
        <v>15</v>
      </c>
      <c r="M136" s="7" t="str">
        <f t="shared" si="20"/>
        <v>no</v>
      </c>
      <c r="N136" s="3">
        <f>'0. Parametros'!$B$3+H136</f>
        <v>46214</v>
      </c>
      <c r="O136" s="3">
        <f>'0. Parametros'!$B$3+I136-1</f>
        <v>46218</v>
      </c>
      <c r="P136" s="15">
        <f>IFERROR(VLOOKUP($A136,'1. Calculo PERT'!$A:$M,13,FALSE()),0)</f>
        <v>0.69444444444444453</v>
      </c>
      <c r="Q136" s="16">
        <f>IFERROR(VLOOKUP($A136,'1. Calculo PERT'!$A:$P,16,FALSE()),0)</f>
        <v>28543587</v>
      </c>
    </row>
    <row r="137" spans="1:17" x14ac:dyDescent="0.25">
      <c r="A137" s="7" t="s">
        <v>725</v>
      </c>
      <c r="B137" s="7" t="s">
        <v>726</v>
      </c>
      <c r="C137" s="7" t="s">
        <v>90</v>
      </c>
      <c r="D137" s="7" t="s">
        <v>708</v>
      </c>
      <c r="E137" s="7" t="s">
        <v>14</v>
      </c>
      <c r="F137" s="14">
        <f>IFERROR(ROUND(VLOOKUP($A137,'1. Calculo PERT'!$A:$K,11,FALSE()),0),0)</f>
        <v>6</v>
      </c>
      <c r="G137" s="14" t="str">
        <f>IF(VLOOKUP($A137,'1. Calculo PERT'!$A:$N,14,FALSE())=0,"",VLOOKUP($A137,'1. Calculo PERT'!$A:$N,14,FALSE()))</f>
        <v>1.3.4.1.2FC</v>
      </c>
      <c r="H137" s="7">
        <f>MAX(0,$I$134)</f>
        <v>544</v>
      </c>
      <c r="I137" s="7">
        <f t="shared" si="17"/>
        <v>550</v>
      </c>
      <c r="J137" s="7">
        <f>MIN($J$144,$T$1)-$F137</f>
        <v>564</v>
      </c>
      <c r="K137" s="7">
        <f t="shared" si="18"/>
        <v>570</v>
      </c>
      <c r="L137" s="7">
        <f t="shared" si="19"/>
        <v>20</v>
      </c>
      <c r="M137" s="7" t="str">
        <f t="shared" si="20"/>
        <v>no</v>
      </c>
      <c r="N137" s="3">
        <f>'0. Parametros'!$B$3+H137</f>
        <v>46214</v>
      </c>
      <c r="O137" s="3">
        <f>'0. Parametros'!$B$3+I137-1</f>
        <v>46219</v>
      </c>
      <c r="P137" s="15">
        <f>IFERROR(VLOOKUP($A137,'1. Calculo PERT'!$A:$M,13,FALSE()),0)</f>
        <v>1</v>
      </c>
      <c r="Q137" s="16">
        <f>IFERROR(VLOOKUP($A137,'1. Calculo PERT'!$A:$P,16,FALSE()),0)</f>
        <v>38058116</v>
      </c>
    </row>
    <row r="138" spans="1:17" x14ac:dyDescent="0.25">
      <c r="A138" s="7" t="s">
        <v>736</v>
      </c>
      <c r="B138" s="7" t="s">
        <v>737</v>
      </c>
      <c r="C138" s="7" t="s">
        <v>90</v>
      </c>
      <c r="D138" s="7" t="s">
        <v>735</v>
      </c>
      <c r="E138" s="7" t="s">
        <v>14</v>
      </c>
      <c r="F138" s="14">
        <f>IFERROR(ROUND(VLOOKUP($A138,'1. Calculo PERT'!$A:$K,11,FALSE()),0),0)</f>
        <v>10</v>
      </c>
      <c r="G138" s="14" t="str">
        <f>IF(VLOOKUP($A138,'1. Calculo PERT'!$A:$N,14,FALSE())=0,"",VLOOKUP($A138,'1. Calculo PERT'!$A:$N,14,FALSE()))</f>
        <v>1.3.4.1.2FC</v>
      </c>
      <c r="H138" s="7">
        <f>MAX(0,$I$134)</f>
        <v>544</v>
      </c>
      <c r="I138" s="7">
        <f t="shared" si="17"/>
        <v>554</v>
      </c>
      <c r="J138" s="7">
        <f>MIN($J$140,$T$1)-$F138</f>
        <v>544</v>
      </c>
      <c r="K138" s="7">
        <f t="shared" si="18"/>
        <v>554</v>
      </c>
      <c r="L138" s="7">
        <f t="shared" si="19"/>
        <v>0</v>
      </c>
      <c r="M138" s="7" t="str">
        <f t="shared" si="20"/>
        <v>SI</v>
      </c>
      <c r="N138" s="3">
        <f>'0. Parametros'!$B$3+H138</f>
        <v>46214</v>
      </c>
      <c r="O138" s="3">
        <f>'0. Parametros'!$B$3+I138-1</f>
        <v>46223</v>
      </c>
      <c r="P138" s="15">
        <f>IFERROR(VLOOKUP($A138,'1. Calculo PERT'!$A:$M,13,FALSE()),0)</f>
        <v>2.25</v>
      </c>
      <c r="Q138" s="16">
        <f>IFERROR(VLOOKUP($A138,'1. Calculo PERT'!$A:$P,16,FALSE()),0)</f>
        <v>47572645</v>
      </c>
    </row>
    <row r="139" spans="1:17" x14ac:dyDescent="0.25">
      <c r="A139" s="7" t="s">
        <v>728</v>
      </c>
      <c r="B139" s="7" t="s">
        <v>729</v>
      </c>
      <c r="C139" s="7" t="s">
        <v>90</v>
      </c>
      <c r="D139" s="7" t="s">
        <v>708</v>
      </c>
      <c r="E139" s="7" t="s">
        <v>14</v>
      </c>
      <c r="F139" s="14">
        <f>IFERROR(ROUND(VLOOKUP($A139,'1. Calculo PERT'!$A:$K,11,FALSE()),0),0)</f>
        <v>6</v>
      </c>
      <c r="G139" s="14" t="str">
        <f>IF(VLOOKUP($A139,'1. Calculo PERT'!$A:$N,14,FALSE())=0,"",VLOOKUP($A139,'1. Calculo PERT'!$A:$N,14,FALSE()))</f>
        <v>1.3.4.1.3FC</v>
      </c>
      <c r="H139" s="7">
        <f>MAX(0,$I$136)</f>
        <v>549</v>
      </c>
      <c r="I139" s="7">
        <f t="shared" si="17"/>
        <v>555</v>
      </c>
      <c r="J139" s="7">
        <f>MIN($J$144,$T$1)-$F139</f>
        <v>564</v>
      </c>
      <c r="K139" s="7">
        <f t="shared" si="18"/>
        <v>570</v>
      </c>
      <c r="L139" s="7">
        <f t="shared" si="19"/>
        <v>15</v>
      </c>
      <c r="M139" s="7" t="str">
        <f t="shared" si="20"/>
        <v>no</v>
      </c>
      <c r="N139" s="3">
        <f>'0. Parametros'!$B$3+H139</f>
        <v>46219</v>
      </c>
      <c r="O139" s="3">
        <f>'0. Parametros'!$B$3+I139-1</f>
        <v>46224</v>
      </c>
      <c r="P139" s="15">
        <f>IFERROR(VLOOKUP($A139,'1. Calculo PERT'!$A:$M,13,FALSE()),0)</f>
        <v>1</v>
      </c>
      <c r="Q139" s="16">
        <f>IFERROR(VLOOKUP($A139,'1. Calculo PERT'!$A:$P,16,FALSE()),0)</f>
        <v>38058116</v>
      </c>
    </row>
    <row r="140" spans="1:17" x14ac:dyDescent="0.25">
      <c r="A140" s="7" t="s">
        <v>739</v>
      </c>
      <c r="B140" s="7" t="s">
        <v>740</v>
      </c>
      <c r="C140" s="7" t="s">
        <v>90</v>
      </c>
      <c r="D140" s="7" t="s">
        <v>735</v>
      </c>
      <c r="E140" s="7" t="s">
        <v>14</v>
      </c>
      <c r="F140" s="14">
        <f>IFERROR(ROUND(VLOOKUP($A140,'1. Calculo PERT'!$A:$K,11,FALSE()),0),0)</f>
        <v>5</v>
      </c>
      <c r="G140" s="14" t="str">
        <f>IF(VLOOKUP($A140,'1. Calculo PERT'!$A:$N,14,FALSE())=0,"",VLOOKUP($A140,'1. Calculo PERT'!$A:$N,14,FALSE()))</f>
        <v>1.3.4.2.1FC</v>
      </c>
      <c r="H140" s="7">
        <f>MAX(0,$I$138)</f>
        <v>554</v>
      </c>
      <c r="I140" s="7">
        <f t="shared" si="17"/>
        <v>559</v>
      </c>
      <c r="J140" s="7">
        <f>MIN($J$141,$J$142,$T$1)-$F140</f>
        <v>554</v>
      </c>
      <c r="K140" s="7">
        <f t="shared" si="18"/>
        <v>559</v>
      </c>
      <c r="L140" s="7">
        <f t="shared" si="19"/>
        <v>0</v>
      </c>
      <c r="M140" s="7" t="str">
        <f t="shared" si="20"/>
        <v>SI</v>
      </c>
      <c r="N140" s="3">
        <f>'0. Parametros'!$B$3+H140</f>
        <v>46224</v>
      </c>
      <c r="O140" s="3">
        <f>'0. Parametros'!$B$3+I140-1</f>
        <v>46228</v>
      </c>
      <c r="P140" s="15">
        <f>IFERROR(VLOOKUP($A140,'1. Calculo PERT'!$A:$M,13,FALSE()),0)</f>
        <v>0.69444444444444453</v>
      </c>
      <c r="Q140" s="16">
        <f>IFERROR(VLOOKUP($A140,'1. Calculo PERT'!$A:$P,16,FALSE()),0)</f>
        <v>28543587</v>
      </c>
    </row>
    <row r="141" spans="1:17" x14ac:dyDescent="0.25">
      <c r="A141" s="7" t="s">
        <v>744</v>
      </c>
      <c r="B141" s="7" t="s">
        <v>745</v>
      </c>
      <c r="C141" s="7" t="s">
        <v>90</v>
      </c>
      <c r="D141" s="7" t="s">
        <v>735</v>
      </c>
      <c r="E141" s="7" t="s">
        <v>14</v>
      </c>
      <c r="F141" s="14">
        <f>IFERROR(ROUND(VLOOKUP($A141,'1. Calculo PERT'!$A:$K,11,FALSE()),0),0)</f>
        <v>6</v>
      </c>
      <c r="G141" s="14" t="str">
        <f>IF(VLOOKUP($A141,'1. Calculo PERT'!$A:$N,14,FALSE())=0,"",VLOOKUP($A141,'1. Calculo PERT'!$A:$N,14,FALSE()))</f>
        <v>1.3.4.2.2FC</v>
      </c>
      <c r="H141" s="7">
        <f>MAX(0,$I$140)</f>
        <v>559</v>
      </c>
      <c r="I141" s="7">
        <f t="shared" si="17"/>
        <v>565</v>
      </c>
      <c r="J141" s="7">
        <f>MIN($J$144,$T$1)-$F141</f>
        <v>564</v>
      </c>
      <c r="K141" s="7">
        <f t="shared" si="18"/>
        <v>570</v>
      </c>
      <c r="L141" s="7">
        <f t="shared" si="19"/>
        <v>5</v>
      </c>
      <c r="M141" s="7" t="str">
        <f t="shared" si="20"/>
        <v>no</v>
      </c>
      <c r="N141" s="3">
        <f>'0. Parametros'!$B$3+H141</f>
        <v>46229</v>
      </c>
      <c r="O141" s="3">
        <f>'0. Parametros'!$B$3+I141-1</f>
        <v>46234</v>
      </c>
      <c r="P141" s="15">
        <f>IFERROR(VLOOKUP($A141,'1. Calculo PERT'!$A:$M,13,FALSE()),0)</f>
        <v>1</v>
      </c>
      <c r="Q141" s="16">
        <f>IFERROR(VLOOKUP($A141,'1. Calculo PERT'!$A:$P,16,FALSE()),0)</f>
        <v>38058116</v>
      </c>
    </row>
    <row r="142" spans="1:17" x14ac:dyDescent="0.25">
      <c r="A142" s="7" t="s">
        <v>749</v>
      </c>
      <c r="B142" s="7" t="s">
        <v>750</v>
      </c>
      <c r="C142" s="7" t="s">
        <v>90</v>
      </c>
      <c r="D142" s="7" t="s">
        <v>735</v>
      </c>
      <c r="E142" s="7" t="s">
        <v>14</v>
      </c>
      <c r="F142" s="14">
        <f>IFERROR(ROUND(VLOOKUP($A142,'1. Calculo PERT'!$A:$K,11,FALSE()),0),0)</f>
        <v>6</v>
      </c>
      <c r="G142" s="14" t="str">
        <f>IF(VLOOKUP($A142,'1. Calculo PERT'!$A:$N,14,FALSE())=0,"",VLOOKUP($A142,'1. Calculo PERT'!$A:$N,14,FALSE()))</f>
        <v>1.3.4.2.2FC</v>
      </c>
      <c r="H142" s="7">
        <f>MAX(0,$I$140)</f>
        <v>559</v>
      </c>
      <c r="I142" s="7">
        <f t="shared" si="17"/>
        <v>565</v>
      </c>
      <c r="J142" s="7">
        <f>MIN($J$143,$T$1)-$F142</f>
        <v>559</v>
      </c>
      <c r="K142" s="7">
        <f t="shared" si="18"/>
        <v>565</v>
      </c>
      <c r="L142" s="7">
        <f t="shared" si="19"/>
        <v>0</v>
      </c>
      <c r="M142" s="7" t="str">
        <f t="shared" si="20"/>
        <v>SI</v>
      </c>
      <c r="N142" s="3">
        <f>'0. Parametros'!$B$3+H142</f>
        <v>46229</v>
      </c>
      <c r="O142" s="3">
        <f>'0. Parametros'!$B$3+I142-1</f>
        <v>46234</v>
      </c>
      <c r="P142" s="15">
        <f>IFERROR(VLOOKUP($A142,'1. Calculo PERT'!$A:$M,13,FALSE()),0)</f>
        <v>1</v>
      </c>
      <c r="Q142" s="16">
        <f>IFERROR(VLOOKUP($A142,'1. Calculo PERT'!$A:$P,16,FALSE()),0)</f>
        <v>38058116</v>
      </c>
    </row>
    <row r="143" spans="1:17" x14ac:dyDescent="0.25">
      <c r="A143" s="7" t="s">
        <v>752</v>
      </c>
      <c r="B143" s="7" t="s">
        <v>753</v>
      </c>
      <c r="C143" s="7" t="s">
        <v>94</v>
      </c>
      <c r="D143" s="7" t="s">
        <v>735</v>
      </c>
      <c r="E143" s="7" t="s">
        <v>14</v>
      </c>
      <c r="F143" s="14">
        <f>IFERROR(ROUND(VLOOKUP($A143,'1. Calculo PERT'!$A:$K,11,FALSE()),0),0)</f>
        <v>5</v>
      </c>
      <c r="G143" s="14" t="str">
        <f>IF(VLOOKUP($A143,'1. Calculo PERT'!$A:$N,14,FALSE())=0,"",VLOOKUP($A143,'1. Calculo PERT'!$A:$N,14,FALSE()))</f>
        <v>1.3.4.2.4FC</v>
      </c>
      <c r="H143" s="7">
        <f>MAX(0,$I$142)</f>
        <v>565</v>
      </c>
      <c r="I143" s="7">
        <f t="shared" si="17"/>
        <v>570</v>
      </c>
      <c r="J143" s="7">
        <f>MIN($J$144,$T$1)-$F143</f>
        <v>565</v>
      </c>
      <c r="K143" s="7">
        <f t="shared" si="18"/>
        <v>570</v>
      </c>
      <c r="L143" s="7">
        <f t="shared" si="19"/>
        <v>0</v>
      </c>
      <c r="M143" s="7" t="str">
        <f t="shared" si="20"/>
        <v>SI</v>
      </c>
      <c r="N143" s="3">
        <f>'0. Parametros'!$B$3+H143</f>
        <v>46235</v>
      </c>
      <c r="O143" s="3">
        <f>'0. Parametros'!$B$3+I143-1</f>
        <v>46239</v>
      </c>
      <c r="P143" s="15">
        <f>IFERROR(VLOOKUP($A143,'1. Calculo PERT'!$A:$M,13,FALSE()),0)</f>
        <v>0.69444444444444453</v>
      </c>
      <c r="Q143" s="16">
        <f>IFERROR(VLOOKUP($A143,'1. Calculo PERT'!$A:$P,16,FALSE()),0)</f>
        <v>28543587</v>
      </c>
    </row>
    <row r="144" spans="1:17" x14ac:dyDescent="0.25">
      <c r="A144" s="7" t="s">
        <v>757</v>
      </c>
      <c r="B144" s="7" t="s">
        <v>758</v>
      </c>
      <c r="C144" s="7"/>
      <c r="D144" s="7"/>
      <c r="E144" s="7" t="s">
        <v>14</v>
      </c>
      <c r="F144" s="14">
        <f>IFERROR(ROUND(VLOOKUP($A144,'1. Calculo PERT'!$A:$K,11,FALSE()),0),0)</f>
        <v>0</v>
      </c>
      <c r="G144" s="14" t="str">
        <f>IF(VLOOKUP($A144,'1. Calculo PERT'!$A:$N,14,FALSE())=0,"",VLOOKUP($A144,'1. Calculo PERT'!$A:$N,14,FALSE()))</f>
        <v>1.3.4.2.3FC, 1.3.4.2.5FC, 1.3.2.3.4FC, 1.3.3.3.1FC, 1.3.3.3.2FC, 1.3.3.3.3FC, 1.1.2.3.3FC, 1.3.4.1.3FC, 1.1.2.3.4FC, 1.3.1.1.15FC, 1.3.1.1.16FC, 1.3.1.1.17FC, 1.3.1.1.18FC, 1.3.1.1.19FC, 1.3.1.2.6FC, 1.3.1.2.7FC, 1.3.1.2.8FC, 1.3.2.1.9FC, 1.3.2.1.10FC, 1.3.2.2.5FC, 1.3.2.2.6FC, 1.3.2.3.5FC, 1.3.2.3.6FC, 1.3.2.3.7FC, 1.3.3.1.7FC, 1.3.3.1.8FC, 1.3.3.2.5FC, 1.3.3.3.4FC, 1.3.3.3.5FC, 1.3.3.3.6FC, 1.3.4.1.4FC, 1.3.4.1.5FC</v>
      </c>
      <c r="H144" s="7">
        <f>MAX(0,$I$141,$I$143,$I$94,$I$121,$I$122,$I$118,$I$22,$I$136,$I$30,$I$77,$I$83,$I$92,$I$75,$I$88,$I$91,$I$90,$I$89,$I$106,$I$108,$I$128,$I$129,$I$97,$I$98,$I$85,$I$135,$I$131,$I$123,$I$126,$I$130,$I$124,$I$137,$I$139)</f>
        <v>570</v>
      </c>
      <c r="I144" s="7">
        <f t="shared" si="17"/>
        <v>570</v>
      </c>
      <c r="J144" s="7">
        <f>MIN($J$145,$J$147,$J$146,$T$1)-$F144</f>
        <v>570</v>
      </c>
      <c r="K144" s="7">
        <f t="shared" si="18"/>
        <v>570</v>
      </c>
      <c r="L144" s="7">
        <f t="shared" si="19"/>
        <v>0</v>
      </c>
      <c r="M144" s="7" t="str">
        <f t="shared" si="20"/>
        <v>SI</v>
      </c>
      <c r="N144" s="3">
        <f>'0. Parametros'!$B$3+I144-1</f>
        <v>46239</v>
      </c>
      <c r="O144" s="3">
        <f>'0. Parametros'!$B$3+I144-1</f>
        <v>46239</v>
      </c>
      <c r="P144" s="15">
        <f>IFERROR(VLOOKUP($A144,'1. Calculo PERT'!$A:$M,13,FALSE()),0)</f>
        <v>0</v>
      </c>
      <c r="Q144" s="16">
        <f>IFERROR(VLOOKUP($A144,'1. Calculo PERT'!$A:$P,16,FALSE()),0)</f>
        <v>0</v>
      </c>
    </row>
    <row r="145" spans="1:17" x14ac:dyDescent="0.25">
      <c r="A145" s="7" t="s">
        <v>768</v>
      </c>
      <c r="B145" s="7" t="s">
        <v>769</v>
      </c>
      <c r="C145" s="7" t="s">
        <v>90</v>
      </c>
      <c r="D145" s="7" t="s">
        <v>767</v>
      </c>
      <c r="E145" s="7" t="s">
        <v>15</v>
      </c>
      <c r="F145" s="14">
        <f>IFERROR(ROUND(VLOOKUP($A145,'1. Calculo PERT'!$A:$K,11,FALSE()),0),0)</f>
        <v>10</v>
      </c>
      <c r="G145" s="14" t="str">
        <f>IF(VLOOKUP($A145,'1. Calculo PERT'!$A:$N,14,FALSE())=0,"",VLOOKUP($A145,'1. Calculo PERT'!$A:$N,14,FALSE()))</f>
        <v>1.3.5FC</v>
      </c>
      <c r="H145" s="7">
        <f>MAX(0,$I$144)</f>
        <v>570</v>
      </c>
      <c r="I145" s="7">
        <f t="shared" si="17"/>
        <v>580</v>
      </c>
      <c r="J145" s="7">
        <f>MIN($J$148,$T$1)-$F145</f>
        <v>570</v>
      </c>
      <c r="K145" s="7">
        <f t="shared" si="18"/>
        <v>580</v>
      </c>
      <c r="L145" s="7">
        <f t="shared" si="19"/>
        <v>0</v>
      </c>
      <c r="M145" s="7" t="str">
        <f t="shared" si="20"/>
        <v>SI</v>
      </c>
      <c r="N145" s="3">
        <f>'0. Parametros'!$B$3+H145</f>
        <v>46240</v>
      </c>
      <c r="O145" s="3">
        <f>'0. Parametros'!$B$3+I145-1</f>
        <v>46249</v>
      </c>
      <c r="P145" s="15">
        <f>IFERROR(VLOOKUP($A145,'1. Calculo PERT'!$A:$M,13,FALSE()),0)</f>
        <v>2.7777777777777781</v>
      </c>
      <c r="Q145" s="16">
        <f>IFERROR(VLOOKUP($A145,'1. Calculo PERT'!$A:$P,16,FALSE()),0)</f>
        <v>26344787</v>
      </c>
    </row>
    <row r="146" spans="1:17" x14ac:dyDescent="0.25">
      <c r="A146" s="7" t="s">
        <v>798</v>
      </c>
      <c r="B146" s="7" t="s">
        <v>799</v>
      </c>
      <c r="C146" s="7" t="s">
        <v>94</v>
      </c>
      <c r="D146" s="7" t="s">
        <v>767</v>
      </c>
      <c r="E146" s="7" t="s">
        <v>15</v>
      </c>
      <c r="F146" s="14">
        <f>IFERROR(ROUND(VLOOKUP($A146,'1. Calculo PERT'!$A:$K,11,FALSE()),0),0)</f>
        <v>10</v>
      </c>
      <c r="G146" s="14" t="str">
        <f>IF(VLOOKUP($A146,'1. Calculo PERT'!$A:$N,14,FALSE())=0,"",VLOOKUP($A146,'1. Calculo PERT'!$A:$N,14,FALSE()))</f>
        <v>1.3.5FC</v>
      </c>
      <c r="H146" s="7">
        <f>MAX(0,$I$144)</f>
        <v>570</v>
      </c>
      <c r="I146" s="7">
        <f t="shared" si="17"/>
        <v>580</v>
      </c>
      <c r="J146" s="7">
        <f>MIN($J$149,$T$1)-$F146</f>
        <v>576</v>
      </c>
      <c r="K146" s="7">
        <f t="shared" si="18"/>
        <v>586</v>
      </c>
      <c r="L146" s="7">
        <f t="shared" si="19"/>
        <v>6</v>
      </c>
      <c r="M146" s="7" t="str">
        <f t="shared" si="20"/>
        <v>no</v>
      </c>
      <c r="N146" s="3">
        <f>'0. Parametros'!$B$3+H146</f>
        <v>46240</v>
      </c>
      <c r="O146" s="3">
        <f>'0. Parametros'!$B$3+I146-1</f>
        <v>46249</v>
      </c>
      <c r="P146" s="15">
        <f>IFERROR(VLOOKUP($A146,'1. Calculo PERT'!$A:$M,13,FALSE()),0)</f>
        <v>2.7777777777777781</v>
      </c>
      <c r="Q146" s="16">
        <f>IFERROR(VLOOKUP($A146,'1. Calculo PERT'!$A:$P,16,FALSE()),0)</f>
        <v>30735585</v>
      </c>
    </row>
    <row r="147" spans="1:17" x14ac:dyDescent="0.25">
      <c r="A147" s="7" t="s">
        <v>791</v>
      </c>
      <c r="B147" s="7" t="s">
        <v>792</v>
      </c>
      <c r="C147" s="7" t="s">
        <v>55</v>
      </c>
      <c r="D147" s="7" t="s">
        <v>767</v>
      </c>
      <c r="E147" s="7" t="s">
        <v>15</v>
      </c>
      <c r="F147" s="14">
        <f>IFERROR(ROUND(VLOOKUP($A147,'1. Calculo PERT'!$A:$K,11,FALSE()),0),0)</f>
        <v>14</v>
      </c>
      <c r="G147" s="14" t="str">
        <f>IF(VLOOKUP($A147,'1. Calculo PERT'!$A:$N,14,FALSE())=0,"",VLOOKUP($A147,'1. Calculo PERT'!$A:$N,14,FALSE()))</f>
        <v>1.3.5FC</v>
      </c>
      <c r="H147" s="7">
        <f>MAX(0,$I$144)</f>
        <v>570</v>
      </c>
      <c r="I147" s="7">
        <f t="shared" si="17"/>
        <v>584</v>
      </c>
      <c r="J147" s="7">
        <f>MIN($J$150,$J$156,$T$1)-$F147</f>
        <v>584</v>
      </c>
      <c r="K147" s="7">
        <f t="shared" si="18"/>
        <v>598</v>
      </c>
      <c r="L147" s="7">
        <f t="shared" si="19"/>
        <v>14</v>
      </c>
      <c r="M147" s="7" t="str">
        <f t="shared" si="20"/>
        <v>no</v>
      </c>
      <c r="N147" s="3">
        <f>'0. Parametros'!$B$3+H147</f>
        <v>46240</v>
      </c>
      <c r="O147" s="3">
        <f>'0. Parametros'!$B$3+I147-1</f>
        <v>46253</v>
      </c>
      <c r="P147" s="15">
        <f>IFERROR(VLOOKUP($A147,'1. Calculo PERT'!$A:$M,13,FALSE()),0)</f>
        <v>6.25</v>
      </c>
      <c r="Q147" s="16">
        <f>IFERROR(VLOOKUP($A147,'1. Calculo PERT'!$A:$P,16,FALSE()),0)</f>
        <v>39517180</v>
      </c>
    </row>
    <row r="148" spans="1:17" x14ac:dyDescent="0.25">
      <c r="A148" s="7" t="s">
        <v>773</v>
      </c>
      <c r="B148" s="7" t="s">
        <v>774</v>
      </c>
      <c r="C148" s="7" t="s">
        <v>90</v>
      </c>
      <c r="D148" s="7" t="s">
        <v>767</v>
      </c>
      <c r="E148" s="7" t="s">
        <v>15</v>
      </c>
      <c r="F148" s="14">
        <f>IFERROR(ROUND(VLOOKUP($A148,'1. Calculo PERT'!$A:$K,11,FALSE()),0),0)</f>
        <v>10</v>
      </c>
      <c r="G148" s="14" t="str">
        <f>IF(VLOOKUP($A148,'1. Calculo PERT'!$A:$N,14,FALSE())=0,"",VLOOKUP($A148,'1. Calculo PERT'!$A:$N,14,FALSE()))</f>
        <v>1.4.1.1.1FC</v>
      </c>
      <c r="H148" s="7">
        <f>MAX(0,$I$145)</f>
        <v>580</v>
      </c>
      <c r="I148" s="7">
        <f t="shared" si="17"/>
        <v>590</v>
      </c>
      <c r="J148" s="7">
        <f>MIN($J$152,$J$151,$J$153,$J$154,$T$1)-$F148</f>
        <v>580</v>
      </c>
      <c r="K148" s="7">
        <f t="shared" si="18"/>
        <v>590</v>
      </c>
      <c r="L148" s="7">
        <f t="shared" si="19"/>
        <v>0</v>
      </c>
      <c r="M148" s="7" t="str">
        <f t="shared" si="20"/>
        <v>SI</v>
      </c>
      <c r="N148" s="3">
        <f>'0. Parametros'!$B$3+H148</f>
        <v>46250</v>
      </c>
      <c r="O148" s="3">
        <f>'0. Parametros'!$B$3+I148-1</f>
        <v>46259</v>
      </c>
      <c r="P148" s="15">
        <f>IFERROR(VLOOKUP($A148,'1. Calculo PERT'!$A:$M,13,FALSE()),0)</f>
        <v>2.25</v>
      </c>
      <c r="Q148" s="16">
        <f>IFERROR(VLOOKUP($A148,'1. Calculo PERT'!$A:$P,16,FALSE()),0)</f>
        <v>21953989</v>
      </c>
    </row>
    <row r="149" spans="1:17" x14ac:dyDescent="0.25">
      <c r="A149" s="7" t="s">
        <v>801</v>
      </c>
      <c r="B149" s="7" t="s">
        <v>802</v>
      </c>
      <c r="C149" s="7" t="s">
        <v>90</v>
      </c>
      <c r="D149" s="7" t="s">
        <v>767</v>
      </c>
      <c r="E149" s="7" t="s">
        <v>15</v>
      </c>
      <c r="F149" s="14">
        <f>IFERROR(ROUND(VLOOKUP($A149,'1. Calculo PERT'!$A:$K,11,FALSE()),0),0)</f>
        <v>12</v>
      </c>
      <c r="G149" s="14" t="str">
        <f>IF(VLOOKUP($A149,'1. Calculo PERT'!$A:$N,14,FALSE())=0,"",VLOOKUP($A149,'1. Calculo PERT'!$A:$N,14,FALSE()))</f>
        <v>1.4.1.2.3FC</v>
      </c>
      <c r="H149" s="7">
        <f>MAX(0,$I$146)</f>
        <v>580</v>
      </c>
      <c r="I149" s="7">
        <f t="shared" si="17"/>
        <v>592</v>
      </c>
      <c r="J149" s="7">
        <f>MIN($J$156,$J$155,$T$1)-$F149</f>
        <v>586</v>
      </c>
      <c r="K149" s="7">
        <f t="shared" si="18"/>
        <v>598</v>
      </c>
      <c r="L149" s="7">
        <f t="shared" si="19"/>
        <v>6</v>
      </c>
      <c r="M149" s="7" t="str">
        <f t="shared" si="20"/>
        <v>no</v>
      </c>
      <c r="N149" s="3">
        <f>'0. Parametros'!$B$3+H149</f>
        <v>46250</v>
      </c>
      <c r="O149" s="3">
        <f>'0. Parametros'!$B$3+I149-1</f>
        <v>46261</v>
      </c>
      <c r="P149" s="15">
        <f>IFERROR(VLOOKUP($A149,'1. Calculo PERT'!$A:$M,13,FALSE()),0)</f>
        <v>4</v>
      </c>
      <c r="Q149" s="16">
        <f>IFERROR(VLOOKUP($A149,'1. Calculo PERT'!$A:$P,16,FALSE()),0)</f>
        <v>35126382</v>
      </c>
    </row>
    <row r="150" spans="1:17" x14ac:dyDescent="0.25">
      <c r="A150" s="7" t="s">
        <v>794</v>
      </c>
      <c r="B150" s="7" t="s">
        <v>795</v>
      </c>
      <c r="C150" s="7"/>
      <c r="D150" s="7" t="s">
        <v>767</v>
      </c>
      <c r="E150" s="7" t="s">
        <v>15</v>
      </c>
      <c r="F150" s="14">
        <f>IFERROR(ROUND(VLOOKUP($A150,'1. Calculo PERT'!$A:$K,11,FALSE()),0),0)</f>
        <v>0</v>
      </c>
      <c r="G150" s="14" t="str">
        <f>IF(VLOOKUP($A150,'1. Calculo PERT'!$A:$N,14,FALSE())=0,"",VLOOKUP($A150,'1. Calculo PERT'!$A:$N,14,FALSE()))</f>
        <v>1.4.1.2.1FC</v>
      </c>
      <c r="H150" s="7">
        <f>MAX(0,$I$147)</f>
        <v>584</v>
      </c>
      <c r="I150" s="7">
        <f t="shared" si="17"/>
        <v>584</v>
      </c>
      <c r="J150" s="7">
        <f>MIN($T$1)-$F150</f>
        <v>630</v>
      </c>
      <c r="K150" s="7">
        <f t="shared" si="18"/>
        <v>630</v>
      </c>
      <c r="L150" s="7">
        <f t="shared" si="19"/>
        <v>46</v>
      </c>
      <c r="M150" s="7" t="str">
        <f t="shared" si="20"/>
        <v>no</v>
      </c>
      <c r="N150" s="3">
        <f>'0. Parametros'!$B$3+I150-1</f>
        <v>46253</v>
      </c>
      <c r="O150" s="3">
        <f>'0. Parametros'!$B$3+I150-1</f>
        <v>46253</v>
      </c>
      <c r="P150" s="15">
        <f>IFERROR(VLOOKUP($A150,'1. Calculo PERT'!$A:$M,13,FALSE()),0)</f>
        <v>0</v>
      </c>
      <c r="Q150" s="16">
        <f>IFERROR(VLOOKUP($A150,'1. Calculo PERT'!$A:$P,16,FALSE()),0)</f>
        <v>0</v>
      </c>
    </row>
    <row r="151" spans="1:17" x14ac:dyDescent="0.25">
      <c r="A151" s="7" t="s">
        <v>783</v>
      </c>
      <c r="B151" s="7" t="s">
        <v>784</v>
      </c>
      <c r="C151" s="7" t="s">
        <v>90</v>
      </c>
      <c r="D151" s="7" t="s">
        <v>767</v>
      </c>
      <c r="E151" s="7" t="s">
        <v>15</v>
      </c>
      <c r="F151" s="14">
        <f>IFERROR(ROUND(VLOOKUP($A151,'1. Calculo PERT'!$A:$K,11,FALSE()),0),0)</f>
        <v>6</v>
      </c>
      <c r="G151" s="14" t="str">
        <f>IF(VLOOKUP($A151,'1. Calculo PERT'!$A:$N,14,FALSE())=0,"",VLOOKUP($A151,'1. Calculo PERT'!$A:$N,14,FALSE()))</f>
        <v>1.4.1.1.2FC</v>
      </c>
      <c r="H151" s="7">
        <f>MAX(0,$I$148)</f>
        <v>590</v>
      </c>
      <c r="I151" s="7">
        <f t="shared" si="17"/>
        <v>596</v>
      </c>
      <c r="J151" s="7">
        <f>MIN($J$167,$T$1)-$F151</f>
        <v>624</v>
      </c>
      <c r="K151" s="7">
        <f t="shared" si="18"/>
        <v>630</v>
      </c>
      <c r="L151" s="7">
        <f t="shared" si="19"/>
        <v>34</v>
      </c>
      <c r="M151" s="7" t="str">
        <f t="shared" si="20"/>
        <v>no</v>
      </c>
      <c r="N151" s="3">
        <f>'0. Parametros'!$B$3+H151</f>
        <v>46260</v>
      </c>
      <c r="O151" s="3">
        <f>'0. Parametros'!$B$3+I151-1</f>
        <v>46265</v>
      </c>
      <c r="P151" s="15">
        <f>IFERROR(VLOOKUP($A151,'1. Calculo PERT'!$A:$M,13,FALSE()),0)</f>
        <v>1</v>
      </c>
      <c r="Q151" s="16">
        <f>IFERROR(VLOOKUP($A151,'1. Calculo PERT'!$A:$P,16,FALSE()),0)</f>
        <v>17563191</v>
      </c>
    </row>
    <row r="152" spans="1:17" x14ac:dyDescent="0.25">
      <c r="A152" s="7" t="s">
        <v>778</v>
      </c>
      <c r="B152" s="7" t="s">
        <v>779</v>
      </c>
      <c r="C152" s="7" t="s">
        <v>94</v>
      </c>
      <c r="D152" s="7" t="s">
        <v>767</v>
      </c>
      <c r="E152" s="7" t="s">
        <v>15</v>
      </c>
      <c r="F152" s="14">
        <f>IFERROR(ROUND(VLOOKUP($A152,'1. Calculo PERT'!$A:$K,11,FALSE()),0),0)</f>
        <v>8</v>
      </c>
      <c r="G152" s="14" t="str">
        <f>IF(VLOOKUP($A152,'1. Calculo PERT'!$A:$N,14,FALSE())=0,"",VLOOKUP($A152,'1. Calculo PERT'!$A:$N,14,FALSE()))</f>
        <v>1.4.1.1.2FC</v>
      </c>
      <c r="H152" s="7">
        <f>MAX(0,$I$148)</f>
        <v>590</v>
      </c>
      <c r="I152" s="7">
        <f t="shared" si="17"/>
        <v>598</v>
      </c>
      <c r="J152" s="7">
        <f>MIN($J$156,$T$1)-$F152</f>
        <v>590</v>
      </c>
      <c r="K152" s="7">
        <f t="shared" si="18"/>
        <v>598</v>
      </c>
      <c r="L152" s="7">
        <f t="shared" si="19"/>
        <v>0</v>
      </c>
      <c r="M152" s="7" t="str">
        <f t="shared" si="20"/>
        <v>SI</v>
      </c>
      <c r="N152" s="3">
        <f>'0. Parametros'!$B$3+H152</f>
        <v>46260</v>
      </c>
      <c r="O152" s="3">
        <f>'0. Parametros'!$B$3+I152-1</f>
        <v>46267</v>
      </c>
      <c r="P152" s="15">
        <f>IFERROR(VLOOKUP($A152,'1. Calculo PERT'!$A:$M,13,FALSE()),0)</f>
        <v>1.7777777777777777</v>
      </c>
      <c r="Q152" s="16">
        <f>IFERROR(VLOOKUP($A152,'1. Calculo PERT'!$A:$P,16,FALSE()),0)</f>
        <v>17563191</v>
      </c>
    </row>
    <row r="153" spans="1:17" x14ac:dyDescent="0.25">
      <c r="A153" s="7" t="s">
        <v>786</v>
      </c>
      <c r="B153" s="7" t="s">
        <v>787</v>
      </c>
      <c r="C153" s="7" t="s">
        <v>90</v>
      </c>
      <c r="D153" s="7" t="s">
        <v>767</v>
      </c>
      <c r="E153" s="7" t="s">
        <v>15</v>
      </c>
      <c r="F153" s="14">
        <f>IFERROR(ROUND(VLOOKUP($A153,'1. Calculo PERT'!$A:$K,11,FALSE()),0),0)</f>
        <v>8</v>
      </c>
      <c r="G153" s="14" t="str">
        <f>IF(VLOOKUP($A153,'1. Calculo PERT'!$A:$N,14,FALSE())=0,"",VLOOKUP($A153,'1. Calculo PERT'!$A:$N,14,FALSE()))</f>
        <v>1.4.1.1.2FC</v>
      </c>
      <c r="H153" s="7">
        <f>MAX(0,$I$148)</f>
        <v>590</v>
      </c>
      <c r="I153" s="7">
        <f t="shared" si="17"/>
        <v>598</v>
      </c>
      <c r="J153" s="7">
        <f>MIN($J$167,$T$1)-$F153</f>
        <v>622</v>
      </c>
      <c r="K153" s="7">
        <f t="shared" si="18"/>
        <v>630</v>
      </c>
      <c r="L153" s="7">
        <f t="shared" si="19"/>
        <v>32</v>
      </c>
      <c r="M153" s="7" t="str">
        <f t="shared" si="20"/>
        <v>no</v>
      </c>
      <c r="N153" s="3">
        <f>'0. Parametros'!$B$3+H153</f>
        <v>46260</v>
      </c>
      <c r="O153" s="3">
        <f>'0. Parametros'!$B$3+I153-1</f>
        <v>46267</v>
      </c>
      <c r="P153" s="15">
        <f>IFERROR(VLOOKUP($A153,'1. Calculo PERT'!$A:$M,13,FALSE()),0)</f>
        <v>1.7777777777777777</v>
      </c>
      <c r="Q153" s="16">
        <f>IFERROR(VLOOKUP($A153,'1. Calculo PERT'!$A:$P,16,FALSE()),0)</f>
        <v>21953989</v>
      </c>
    </row>
    <row r="154" spans="1:17" x14ac:dyDescent="0.25">
      <c r="A154" s="7" t="s">
        <v>828</v>
      </c>
      <c r="B154" s="7" t="s">
        <v>829</v>
      </c>
      <c r="C154" s="7" t="s">
        <v>90</v>
      </c>
      <c r="D154" s="7" t="s">
        <v>827</v>
      </c>
      <c r="E154" s="7" t="s">
        <v>15</v>
      </c>
      <c r="F154" s="14">
        <f>IFERROR(ROUND(VLOOKUP($A154,'1. Calculo PERT'!$A:$K,11,FALSE()),0),0)</f>
        <v>8</v>
      </c>
      <c r="G154" s="14" t="str">
        <f>IF(VLOOKUP($A154,'1. Calculo PERT'!$A:$N,14,FALSE())=0,"",VLOOKUP($A154,'1. Calculo PERT'!$A:$N,14,FALSE()))</f>
        <v>1.4.1.1.2FC</v>
      </c>
      <c r="H154" s="7">
        <f>MAX(0,$I$148)</f>
        <v>590</v>
      </c>
      <c r="I154" s="7">
        <f t="shared" si="17"/>
        <v>598</v>
      </c>
      <c r="J154" s="7">
        <f>MIN($J$157,$T$1)-$F154</f>
        <v>606</v>
      </c>
      <c r="K154" s="7">
        <f t="shared" si="18"/>
        <v>614</v>
      </c>
      <c r="L154" s="7">
        <f t="shared" si="19"/>
        <v>16</v>
      </c>
      <c r="M154" s="7" t="str">
        <f t="shared" si="20"/>
        <v>no</v>
      </c>
      <c r="N154" s="3">
        <f>'0. Parametros'!$B$3+H154</f>
        <v>46260</v>
      </c>
      <c r="O154" s="3">
        <f>'0. Parametros'!$B$3+I154-1</f>
        <v>46267</v>
      </c>
      <c r="P154" s="15">
        <f>IFERROR(VLOOKUP($A154,'1. Calculo PERT'!$A:$M,13,FALSE()),0)</f>
        <v>1.7777777777777777</v>
      </c>
      <c r="Q154" s="16">
        <f>IFERROR(VLOOKUP($A154,'1. Calculo PERT'!$A:$P,16,FALSE()),0)</f>
        <v>21953989</v>
      </c>
    </row>
    <row r="155" spans="1:17" x14ac:dyDescent="0.25">
      <c r="A155" s="7" t="s">
        <v>815</v>
      </c>
      <c r="B155" s="7" t="s">
        <v>816</v>
      </c>
      <c r="C155" s="7" t="s">
        <v>94</v>
      </c>
      <c r="D155" s="7" t="s">
        <v>767</v>
      </c>
      <c r="E155" s="7" t="s">
        <v>15</v>
      </c>
      <c r="F155" s="14">
        <f>IFERROR(ROUND(VLOOKUP($A155,'1. Calculo PERT'!$A:$K,11,FALSE()),0),0)</f>
        <v>8</v>
      </c>
      <c r="G155" s="14" t="str">
        <f>IF(VLOOKUP($A155,'1. Calculo PERT'!$A:$N,14,FALSE())=0,"",VLOOKUP($A155,'1. Calculo PERT'!$A:$N,14,FALSE()))</f>
        <v>1.4.1.2.4FC</v>
      </c>
      <c r="H155" s="7">
        <f>MAX(0,$I$149)</f>
        <v>592</v>
      </c>
      <c r="I155" s="7">
        <f t="shared" si="17"/>
        <v>600</v>
      </c>
      <c r="J155" s="7">
        <f>MIN($J$158,$T$1)-$F155</f>
        <v>614</v>
      </c>
      <c r="K155" s="7">
        <f t="shared" si="18"/>
        <v>622</v>
      </c>
      <c r="L155" s="7">
        <f t="shared" si="19"/>
        <v>22</v>
      </c>
      <c r="M155" s="7" t="str">
        <f t="shared" si="20"/>
        <v>no</v>
      </c>
      <c r="N155" s="3">
        <f>'0. Parametros'!$B$3+H155</f>
        <v>46262</v>
      </c>
      <c r="O155" s="3">
        <f>'0. Parametros'!$B$3+I155-1</f>
        <v>46269</v>
      </c>
      <c r="P155" s="15">
        <f>IFERROR(VLOOKUP($A155,'1. Calculo PERT'!$A:$M,13,FALSE()),0)</f>
        <v>1.7777777777777777</v>
      </c>
      <c r="Q155" s="16">
        <f>IFERROR(VLOOKUP($A155,'1. Calculo PERT'!$A:$P,16,FALSE()),0)</f>
        <v>21953989</v>
      </c>
    </row>
    <row r="156" spans="1:17" x14ac:dyDescent="0.25">
      <c r="A156" s="7" t="s">
        <v>806</v>
      </c>
      <c r="B156" s="7" t="s">
        <v>807</v>
      </c>
      <c r="C156" s="7" t="s">
        <v>55</v>
      </c>
      <c r="D156" s="7" t="s">
        <v>767</v>
      </c>
      <c r="E156" s="7" t="s">
        <v>15</v>
      </c>
      <c r="F156" s="14">
        <f>IFERROR(ROUND(VLOOKUP($A156,'1. Calculo PERT'!$A:$K,11,FALSE()),0),0)</f>
        <v>5</v>
      </c>
      <c r="G156" s="14" t="str">
        <f>IF(VLOOKUP($A156,'1. Calculo PERT'!$A:$N,14,FALSE())=0,"",VLOOKUP($A156,'1. Calculo PERT'!$A:$N,14,FALSE()))</f>
        <v>1.4.1.2.4FC, 1.4.1.1.3FC, 1.4.1.2.1FC</v>
      </c>
      <c r="H156" s="7">
        <f>MAX(0,$I$149,$I$152,$I$147)</f>
        <v>598</v>
      </c>
      <c r="I156" s="7">
        <f t="shared" si="17"/>
        <v>603</v>
      </c>
      <c r="J156" s="7">
        <f>MIN($J$159,$J$160,$T$1)-$F156</f>
        <v>598</v>
      </c>
      <c r="K156" s="7">
        <f t="shared" si="18"/>
        <v>603</v>
      </c>
      <c r="L156" s="7">
        <f t="shared" si="19"/>
        <v>0</v>
      </c>
      <c r="M156" s="7" t="str">
        <f t="shared" si="20"/>
        <v>SI</v>
      </c>
      <c r="N156" s="3">
        <f>'0. Parametros'!$B$3+H156</f>
        <v>46268</v>
      </c>
      <c r="O156" s="3">
        <f>'0. Parametros'!$B$3+I156-1</f>
        <v>46272</v>
      </c>
      <c r="P156" s="15">
        <f>IFERROR(VLOOKUP($A156,'1. Calculo PERT'!$A:$M,13,FALSE()),0)</f>
        <v>0.69444444444444453</v>
      </c>
      <c r="Q156" s="16">
        <f>IFERROR(VLOOKUP($A156,'1. Calculo PERT'!$A:$P,16,FALSE()),0)</f>
        <v>13172393</v>
      </c>
    </row>
    <row r="157" spans="1:17" x14ac:dyDescent="0.25">
      <c r="A157" s="7" t="s">
        <v>831</v>
      </c>
      <c r="B157" s="7" t="s">
        <v>832</v>
      </c>
      <c r="C157" s="7" t="s">
        <v>55</v>
      </c>
      <c r="D157" s="7" t="s">
        <v>827</v>
      </c>
      <c r="E157" s="7" t="s">
        <v>15</v>
      </c>
      <c r="F157" s="14">
        <f>IFERROR(ROUND(VLOOKUP($A157,'1. Calculo PERT'!$A:$K,11,FALSE()),0),0)</f>
        <v>10</v>
      </c>
      <c r="G157" s="14" t="str">
        <f>IF(VLOOKUP($A157,'1. Calculo PERT'!$A:$N,14,FALSE())=0,"",VLOOKUP($A157,'1. Calculo PERT'!$A:$N,14,FALSE()))</f>
        <v>1.4.1.3.1FC</v>
      </c>
      <c r="H157" s="7">
        <f>MAX(0,$I$154)</f>
        <v>598</v>
      </c>
      <c r="I157" s="7">
        <f t="shared" si="17"/>
        <v>608</v>
      </c>
      <c r="J157" s="7">
        <f>MIN($J$161,$J$162,$J$164,$T$1)-$F157</f>
        <v>614</v>
      </c>
      <c r="K157" s="7">
        <f t="shared" si="18"/>
        <v>624</v>
      </c>
      <c r="L157" s="7">
        <f t="shared" si="19"/>
        <v>16</v>
      </c>
      <c r="M157" s="7" t="str">
        <f t="shared" si="20"/>
        <v>no</v>
      </c>
      <c r="N157" s="3">
        <f>'0. Parametros'!$B$3+H157</f>
        <v>46268</v>
      </c>
      <c r="O157" s="3">
        <f>'0. Parametros'!$B$3+I157-1</f>
        <v>46277</v>
      </c>
      <c r="P157" s="15">
        <f>IFERROR(VLOOKUP($A157,'1. Calculo PERT'!$A:$M,13,FALSE()),0)</f>
        <v>2.7777777777777781</v>
      </c>
      <c r="Q157" s="16">
        <f>IFERROR(VLOOKUP($A157,'1. Calculo PERT'!$A:$P,16,FALSE()),0)</f>
        <v>30735585</v>
      </c>
    </row>
    <row r="158" spans="1:17" x14ac:dyDescent="0.25">
      <c r="A158" s="7" t="s">
        <v>820</v>
      </c>
      <c r="B158" s="7" t="s">
        <v>821</v>
      </c>
      <c r="C158" s="7" t="s">
        <v>94</v>
      </c>
      <c r="D158" s="7" t="s">
        <v>767</v>
      </c>
      <c r="E158" s="7" t="s">
        <v>15</v>
      </c>
      <c r="F158" s="14">
        <f>IFERROR(ROUND(VLOOKUP($A158,'1. Calculo PERT'!$A:$K,11,FALSE()),0),0)</f>
        <v>8</v>
      </c>
      <c r="G158" s="14" t="str">
        <f>IF(VLOOKUP($A158,'1. Calculo PERT'!$A:$N,14,FALSE())=0,"",VLOOKUP($A158,'1. Calculo PERT'!$A:$N,14,FALSE()))</f>
        <v>1.4.1.2.7FC</v>
      </c>
      <c r="H158" s="7">
        <f>MAX(0,$I$155)</f>
        <v>600</v>
      </c>
      <c r="I158" s="7">
        <f t="shared" si="17"/>
        <v>608</v>
      </c>
      <c r="J158" s="7">
        <f>MIN($J$167,$T$1)-$F158</f>
        <v>622</v>
      </c>
      <c r="K158" s="7">
        <f t="shared" si="18"/>
        <v>630</v>
      </c>
      <c r="L158" s="7">
        <f t="shared" si="19"/>
        <v>22</v>
      </c>
      <c r="M158" s="7" t="str">
        <f t="shared" si="20"/>
        <v>no</v>
      </c>
      <c r="N158" s="3">
        <f>'0. Parametros'!$B$3+H158</f>
        <v>46270</v>
      </c>
      <c r="O158" s="3">
        <f>'0. Parametros'!$B$3+I158-1</f>
        <v>46277</v>
      </c>
      <c r="P158" s="15">
        <f>IFERROR(VLOOKUP($A158,'1. Calculo PERT'!$A:$M,13,FALSE()),0)</f>
        <v>1.7777777777777777</v>
      </c>
      <c r="Q158" s="16">
        <f>IFERROR(VLOOKUP($A158,'1. Calculo PERT'!$A:$P,16,FALSE()),0)</f>
        <v>21953989</v>
      </c>
    </row>
    <row r="159" spans="1:17" x14ac:dyDescent="0.25">
      <c r="A159" s="7" t="s">
        <v>811</v>
      </c>
      <c r="B159" s="7" t="s">
        <v>812</v>
      </c>
      <c r="C159" s="7"/>
      <c r="D159" s="7" t="s">
        <v>767</v>
      </c>
      <c r="E159" s="7" t="s">
        <v>15</v>
      </c>
      <c r="F159" s="14">
        <f>IFERROR(ROUND(VLOOKUP($A159,'1. Calculo PERT'!$A:$K,11,FALSE()),0),0)</f>
        <v>0</v>
      </c>
      <c r="G159" s="14" t="str">
        <f>IF(VLOOKUP($A159,'1. Calculo PERT'!$A:$N,14,FALSE())=0,"",VLOOKUP($A159,'1. Calculo PERT'!$A:$N,14,FALSE()))</f>
        <v>1.4.1.2.5FC</v>
      </c>
      <c r="H159" s="7">
        <f>MAX(0,$I$156)</f>
        <v>603</v>
      </c>
      <c r="I159" s="7">
        <f t="shared" si="17"/>
        <v>603</v>
      </c>
      <c r="J159" s="7">
        <f>MIN($T$1)-$F159</f>
        <v>630</v>
      </c>
      <c r="K159" s="7">
        <f t="shared" si="18"/>
        <v>630</v>
      </c>
      <c r="L159" s="7">
        <f t="shared" si="19"/>
        <v>27</v>
      </c>
      <c r="M159" s="7" t="str">
        <f t="shared" si="20"/>
        <v>no</v>
      </c>
      <c r="N159" s="3">
        <f>'0. Parametros'!$B$3+I159-1</f>
        <v>46272</v>
      </c>
      <c r="O159" s="3">
        <f>'0. Parametros'!$B$3+I159-1</f>
        <v>46272</v>
      </c>
      <c r="P159" s="15">
        <f>IFERROR(VLOOKUP($A159,'1. Calculo PERT'!$A:$M,13,FALSE()),0)</f>
        <v>0</v>
      </c>
      <c r="Q159" s="16">
        <f>IFERROR(VLOOKUP($A159,'1. Calculo PERT'!$A:$P,16,FALSE()),0)</f>
        <v>0</v>
      </c>
    </row>
    <row r="160" spans="1:17" x14ac:dyDescent="0.25">
      <c r="A160" s="7" t="s">
        <v>846</v>
      </c>
      <c r="B160" s="7" t="s">
        <v>847</v>
      </c>
      <c r="C160" s="7" t="s">
        <v>55</v>
      </c>
      <c r="D160" s="7" t="s">
        <v>827</v>
      </c>
      <c r="E160" s="7" t="s">
        <v>15</v>
      </c>
      <c r="F160" s="14">
        <f>IFERROR(ROUND(VLOOKUP($A160,'1. Calculo PERT'!$A:$K,11,FALSE()),0),0)</f>
        <v>11</v>
      </c>
      <c r="G160" s="14" t="str">
        <f>IF(VLOOKUP($A160,'1. Calculo PERT'!$A:$N,14,FALSE())=0,"",VLOOKUP($A160,'1. Calculo PERT'!$A:$N,14,FALSE()))</f>
        <v>1.4.1.2.5FC</v>
      </c>
      <c r="H160" s="7">
        <f>MAX(0,$I$156)</f>
        <v>603</v>
      </c>
      <c r="I160" s="7">
        <f t="shared" si="17"/>
        <v>614</v>
      </c>
      <c r="J160" s="7">
        <f>MIN($J$163,$J$164,$T$1)-$F160</f>
        <v>603</v>
      </c>
      <c r="K160" s="7">
        <f t="shared" si="18"/>
        <v>614</v>
      </c>
      <c r="L160" s="7">
        <f t="shared" si="19"/>
        <v>0</v>
      </c>
      <c r="M160" s="7" t="str">
        <f t="shared" si="20"/>
        <v>SI</v>
      </c>
      <c r="N160" s="3">
        <f>'0. Parametros'!$B$3+H160</f>
        <v>46273</v>
      </c>
      <c r="O160" s="3">
        <f>'0. Parametros'!$B$3+I160-1</f>
        <v>46283</v>
      </c>
      <c r="P160" s="15">
        <f>IFERROR(VLOOKUP($A160,'1. Calculo PERT'!$A:$M,13,FALSE()),0)</f>
        <v>3.3611111111111107</v>
      </c>
      <c r="Q160" s="16">
        <f>IFERROR(VLOOKUP($A160,'1. Calculo PERT'!$A:$P,16,FALSE()),0)</f>
        <v>30735585</v>
      </c>
    </row>
    <row r="161" spans="1:17" x14ac:dyDescent="0.25">
      <c r="A161" s="7" t="s">
        <v>836</v>
      </c>
      <c r="B161" s="7" t="s">
        <v>837</v>
      </c>
      <c r="C161" s="7" t="s">
        <v>55</v>
      </c>
      <c r="D161" s="7" t="s">
        <v>827</v>
      </c>
      <c r="E161" s="7" t="s">
        <v>15</v>
      </c>
      <c r="F161" s="14">
        <f>IFERROR(ROUND(VLOOKUP($A161,'1. Calculo PERT'!$A:$K,11,FALSE()),0),0)</f>
        <v>5</v>
      </c>
      <c r="G161" s="14" t="str">
        <f>IF(VLOOKUP($A161,'1. Calculo PERT'!$A:$N,14,FALSE())=0,"",VLOOKUP($A161,'1. Calculo PERT'!$A:$N,14,FALSE()))</f>
        <v>1.4.1.3.2FC</v>
      </c>
      <c r="H161" s="7">
        <f>MAX(0,$I$157)</f>
        <v>608</v>
      </c>
      <c r="I161" s="7">
        <f t="shared" si="17"/>
        <v>613</v>
      </c>
      <c r="J161" s="7">
        <f>MIN($J$167,$T$1)-$F161</f>
        <v>625</v>
      </c>
      <c r="K161" s="7">
        <f t="shared" si="18"/>
        <v>630</v>
      </c>
      <c r="L161" s="7">
        <f t="shared" si="19"/>
        <v>17</v>
      </c>
      <c r="M161" s="7" t="str">
        <f t="shared" si="20"/>
        <v>no</v>
      </c>
      <c r="N161" s="3">
        <f>'0. Parametros'!$B$3+H161</f>
        <v>46278</v>
      </c>
      <c r="O161" s="3">
        <f>'0. Parametros'!$B$3+I161-1</f>
        <v>46282</v>
      </c>
      <c r="P161" s="15">
        <f>IFERROR(VLOOKUP($A161,'1. Calculo PERT'!$A:$M,13,FALSE()),0)</f>
        <v>0.69444444444444453</v>
      </c>
      <c r="Q161" s="16">
        <f>IFERROR(VLOOKUP($A161,'1. Calculo PERT'!$A:$P,16,FALSE()),0)</f>
        <v>13172393</v>
      </c>
    </row>
    <row r="162" spans="1:17" x14ac:dyDescent="0.25">
      <c r="A162" s="7" t="s">
        <v>841</v>
      </c>
      <c r="B162" s="7" t="s">
        <v>842</v>
      </c>
      <c r="C162" s="7" t="s">
        <v>90</v>
      </c>
      <c r="D162" s="7" t="s">
        <v>827</v>
      </c>
      <c r="E162" s="7" t="s">
        <v>15</v>
      </c>
      <c r="F162" s="14">
        <f>IFERROR(ROUND(VLOOKUP($A162,'1. Calculo PERT'!$A:$K,11,FALSE()),0),0)</f>
        <v>5</v>
      </c>
      <c r="G162" s="14" t="str">
        <f>IF(VLOOKUP($A162,'1. Calculo PERT'!$A:$N,14,FALSE())=0,"",VLOOKUP($A162,'1. Calculo PERT'!$A:$N,14,FALSE()))</f>
        <v>1.4.1.3.2FC</v>
      </c>
      <c r="H162" s="7">
        <f>MAX(0,$I$157)</f>
        <v>608</v>
      </c>
      <c r="I162" s="7">
        <f t="shared" si="17"/>
        <v>613</v>
      </c>
      <c r="J162" s="7">
        <f>MIN($J$167,$T$1)-$F162</f>
        <v>625</v>
      </c>
      <c r="K162" s="7">
        <f t="shared" si="18"/>
        <v>630</v>
      </c>
      <c r="L162" s="7">
        <f t="shared" si="19"/>
        <v>17</v>
      </c>
      <c r="M162" s="7" t="str">
        <f t="shared" si="20"/>
        <v>no</v>
      </c>
      <c r="N162" s="3">
        <f>'0. Parametros'!$B$3+H162</f>
        <v>46278</v>
      </c>
      <c r="O162" s="3">
        <f>'0. Parametros'!$B$3+I162-1</f>
        <v>46282</v>
      </c>
      <c r="P162" s="15">
        <f>IFERROR(VLOOKUP($A162,'1. Calculo PERT'!$A:$M,13,FALSE()),0)</f>
        <v>0.69444444444444453</v>
      </c>
      <c r="Q162" s="16">
        <f>IFERROR(VLOOKUP($A162,'1. Calculo PERT'!$A:$P,16,FALSE()),0)</f>
        <v>13172393</v>
      </c>
    </row>
    <row r="163" spans="1:17" x14ac:dyDescent="0.25">
      <c r="A163" s="7" t="s">
        <v>849</v>
      </c>
      <c r="B163" s="7" t="s">
        <v>850</v>
      </c>
      <c r="C163" s="7" t="s">
        <v>90</v>
      </c>
      <c r="D163" s="7" t="s">
        <v>827</v>
      </c>
      <c r="E163" s="7" t="s">
        <v>15</v>
      </c>
      <c r="F163" s="14">
        <f>IFERROR(ROUND(VLOOKUP($A163,'1. Calculo PERT'!$A:$K,11,FALSE()),0),0)</f>
        <v>8</v>
      </c>
      <c r="G163" s="14" t="str">
        <f>IF(VLOOKUP($A163,'1. Calculo PERT'!$A:$N,14,FALSE())=0,"",VLOOKUP($A163,'1. Calculo PERT'!$A:$N,14,FALSE()))</f>
        <v>1.4.1.4.1FC</v>
      </c>
      <c r="H163" s="7">
        <f>MAX(0,$I$160)</f>
        <v>614</v>
      </c>
      <c r="I163" s="7">
        <f t="shared" si="17"/>
        <v>622</v>
      </c>
      <c r="J163" s="7">
        <f>MIN($J$164,$J$165,$J$166,$T$1)-$F163</f>
        <v>614</v>
      </c>
      <c r="K163" s="7">
        <f t="shared" si="18"/>
        <v>622</v>
      </c>
      <c r="L163" s="7">
        <f t="shared" si="19"/>
        <v>0</v>
      </c>
      <c r="M163" s="7" t="str">
        <f t="shared" si="20"/>
        <v>SI</v>
      </c>
      <c r="N163" s="3">
        <f>'0. Parametros'!$B$3+H163</f>
        <v>46284</v>
      </c>
      <c r="O163" s="3">
        <f>'0. Parametros'!$B$3+I163-1</f>
        <v>46291</v>
      </c>
      <c r="P163" s="15">
        <f>IFERROR(VLOOKUP($A163,'1. Calculo PERT'!$A:$M,13,FALSE()),0)</f>
        <v>1.7777777777777777</v>
      </c>
      <c r="Q163" s="16">
        <f>IFERROR(VLOOKUP($A163,'1. Calculo PERT'!$A:$P,16,FALSE()),0)</f>
        <v>21953989</v>
      </c>
    </row>
    <row r="164" spans="1:17" x14ac:dyDescent="0.25">
      <c r="A164" s="7" t="s">
        <v>854</v>
      </c>
      <c r="B164" s="7" t="s">
        <v>855</v>
      </c>
      <c r="C164" s="7" t="s">
        <v>55</v>
      </c>
      <c r="D164" s="7" t="s">
        <v>827</v>
      </c>
      <c r="E164" s="7" t="s">
        <v>15</v>
      </c>
      <c r="F164" s="14">
        <f>IFERROR(ROUND(VLOOKUP($A164,'1. Calculo PERT'!$A:$K,11,FALSE()),0),0)</f>
        <v>6</v>
      </c>
      <c r="G164" s="14" t="str">
        <f>IF(VLOOKUP($A164,'1. Calculo PERT'!$A:$N,14,FALSE())=0,"",VLOOKUP($A164,'1. Calculo PERT'!$A:$N,14,FALSE()))</f>
        <v>1.4.1.4.1FC, 1.4.1.4.2FC, 1.4.1.3.2FC</v>
      </c>
      <c r="H164" s="7">
        <f>MAX(0,$I$160,$I$163,$I$157)</f>
        <v>622</v>
      </c>
      <c r="I164" s="7">
        <f t="shared" si="17"/>
        <v>628</v>
      </c>
      <c r="J164" s="7">
        <f>MIN($J$167,$T$1)-$F164</f>
        <v>624</v>
      </c>
      <c r="K164" s="7">
        <f t="shared" si="18"/>
        <v>630</v>
      </c>
      <c r="L164" s="7">
        <f t="shared" si="19"/>
        <v>2</v>
      </c>
      <c r="M164" s="7" t="str">
        <f t="shared" si="20"/>
        <v>no</v>
      </c>
      <c r="N164" s="3">
        <f>'0. Parametros'!$B$3+H164</f>
        <v>46292</v>
      </c>
      <c r="O164" s="3">
        <f>'0. Parametros'!$B$3+I164-1</f>
        <v>46297</v>
      </c>
      <c r="P164" s="15">
        <f>IFERROR(VLOOKUP($A164,'1. Calculo PERT'!$A:$M,13,FALSE()),0)</f>
        <v>1</v>
      </c>
      <c r="Q164" s="16">
        <f>IFERROR(VLOOKUP($A164,'1. Calculo PERT'!$A:$P,16,FALSE()),0)</f>
        <v>17563191</v>
      </c>
    </row>
    <row r="165" spans="1:17" x14ac:dyDescent="0.25">
      <c r="A165" s="7" t="s">
        <v>859</v>
      </c>
      <c r="B165" s="7" t="s">
        <v>860</v>
      </c>
      <c r="C165" s="7" t="s">
        <v>90</v>
      </c>
      <c r="D165" s="7" t="s">
        <v>827</v>
      </c>
      <c r="E165" s="7" t="s">
        <v>15</v>
      </c>
      <c r="F165" s="14">
        <f>IFERROR(ROUND(VLOOKUP($A165,'1. Calculo PERT'!$A:$K,11,FALSE()),0),0)</f>
        <v>6</v>
      </c>
      <c r="G165" s="14" t="str">
        <f>IF(VLOOKUP($A165,'1. Calculo PERT'!$A:$N,14,FALSE())=0,"",VLOOKUP($A165,'1. Calculo PERT'!$A:$N,14,FALSE()))</f>
        <v>1.4.1.4.2FC</v>
      </c>
      <c r="H165" s="7">
        <f>MAX(0,$I$163)</f>
        <v>622</v>
      </c>
      <c r="I165" s="7">
        <f t="shared" ref="I165:I167" si="21">H165+F165</f>
        <v>628</v>
      </c>
      <c r="J165" s="7">
        <f>MIN($J$167,$T$1)-$F165</f>
        <v>624</v>
      </c>
      <c r="K165" s="7">
        <f t="shared" ref="K165:K167" si="22">J165+F165</f>
        <v>630</v>
      </c>
      <c r="L165" s="7">
        <f t="shared" si="19"/>
        <v>2</v>
      </c>
      <c r="M165" s="7" t="str">
        <f t="shared" ref="M165:M167" si="23">IF(L165=0,"SI","no")</f>
        <v>no</v>
      </c>
      <c r="N165" s="3">
        <f>'0. Parametros'!$B$3+H165</f>
        <v>46292</v>
      </c>
      <c r="O165" s="3">
        <f>'0. Parametros'!$B$3+I165-1</f>
        <v>46297</v>
      </c>
      <c r="P165" s="15">
        <f>IFERROR(VLOOKUP($A165,'1. Calculo PERT'!$A:$M,13,FALSE()),0)</f>
        <v>1</v>
      </c>
      <c r="Q165" s="16">
        <f>IFERROR(VLOOKUP($A165,'1. Calculo PERT'!$A:$P,16,FALSE()),0)</f>
        <v>17563191</v>
      </c>
    </row>
    <row r="166" spans="1:17" x14ac:dyDescent="0.25">
      <c r="A166" s="7" t="s">
        <v>864</v>
      </c>
      <c r="B166" s="7" t="s">
        <v>865</v>
      </c>
      <c r="C166" s="7" t="s">
        <v>55</v>
      </c>
      <c r="D166" s="7" t="s">
        <v>827</v>
      </c>
      <c r="E166" s="7" t="s">
        <v>15</v>
      </c>
      <c r="F166" s="14">
        <f>IFERROR(ROUND(VLOOKUP($A166,'1. Calculo PERT'!$A:$K,11,FALSE()),0),0)</f>
        <v>8</v>
      </c>
      <c r="G166" s="14" t="str">
        <f>IF(VLOOKUP($A166,'1. Calculo PERT'!$A:$N,14,FALSE())=0,"",VLOOKUP($A166,'1. Calculo PERT'!$A:$N,14,FALSE()))</f>
        <v>1.4.1.4.2FC</v>
      </c>
      <c r="H166" s="7">
        <f>MAX(0,$I$163)</f>
        <v>622</v>
      </c>
      <c r="I166" s="7">
        <f t="shared" si="21"/>
        <v>630</v>
      </c>
      <c r="J166" s="7">
        <f>MIN($J$167,$T$1)-$F166</f>
        <v>622</v>
      </c>
      <c r="K166" s="7">
        <f t="shared" si="22"/>
        <v>630</v>
      </c>
      <c r="L166" s="7">
        <f t="shared" si="19"/>
        <v>0</v>
      </c>
      <c r="M166" s="7" t="str">
        <f t="shared" si="23"/>
        <v>SI</v>
      </c>
      <c r="N166" s="3">
        <f>'0. Parametros'!$B$3+H166</f>
        <v>46292</v>
      </c>
      <c r="O166" s="3">
        <f>'0. Parametros'!$B$3+I166-1</f>
        <v>46299</v>
      </c>
      <c r="P166" s="15">
        <f>IFERROR(VLOOKUP($A166,'1. Calculo PERT'!$A:$M,13,FALSE()),0)</f>
        <v>1.7777777777777777</v>
      </c>
      <c r="Q166" s="16">
        <f>IFERROR(VLOOKUP($A166,'1. Calculo PERT'!$A:$P,16,FALSE()),0)</f>
        <v>21953989</v>
      </c>
    </row>
    <row r="167" spans="1:17" x14ac:dyDescent="0.25">
      <c r="A167" s="7" t="s">
        <v>867</v>
      </c>
      <c r="B167" s="7" t="s">
        <v>868</v>
      </c>
      <c r="C167" s="7"/>
      <c r="D167" s="7"/>
      <c r="E167" s="7" t="s">
        <v>15</v>
      </c>
      <c r="F167" s="14">
        <f>IFERROR(ROUND(VLOOKUP($A167,'1. Calculo PERT'!$A:$K,11,FALSE()),0),0)</f>
        <v>0</v>
      </c>
      <c r="G167" s="14" t="str">
        <f>IF(VLOOKUP($A167,'1. Calculo PERT'!$A:$N,14,FALSE())=0,"",VLOOKUP($A167,'1. Calculo PERT'!$A:$N,14,FALSE()))</f>
        <v>1.4.1.4.3FC, 1.4.1.4.4FC, 1.4.1.4.5FC, 1.4.1.3.3FC, 1.4.1.3.4FC, 1.4.1.2.8FC, 1.4.1.1.4FC, 1.4.1.1.5FC</v>
      </c>
      <c r="H167" s="7">
        <f>MAX(0,$I$164,$I$165,$I$166,$I$161,$I$162,$I$158,$I$151,$I$153)</f>
        <v>630</v>
      </c>
      <c r="I167" s="7">
        <f t="shared" si="21"/>
        <v>630</v>
      </c>
      <c r="J167" s="7">
        <f>MIN($T$1)-$F167</f>
        <v>630</v>
      </c>
      <c r="K167" s="7">
        <f t="shared" si="22"/>
        <v>630</v>
      </c>
      <c r="L167" s="7">
        <f t="shared" si="19"/>
        <v>0</v>
      </c>
      <c r="M167" s="7" t="str">
        <f t="shared" si="23"/>
        <v>SI</v>
      </c>
      <c r="N167" s="3">
        <f>'0. Parametros'!$B$3+I167-1</f>
        <v>46299</v>
      </c>
      <c r="O167" s="3">
        <f>'0. Parametros'!$B$3+I167-1</f>
        <v>46299</v>
      </c>
      <c r="P167" s="15">
        <f>IFERROR(VLOOKUP($A167,'1. Calculo PERT'!$A:$M,13,FALSE()),0)</f>
        <v>0</v>
      </c>
      <c r="Q167" s="16">
        <f>IFERROR(VLOOKUP($A167,'1. Calculo PERT'!$A:$P,16,FALSE()),0)</f>
        <v>0</v>
      </c>
    </row>
  </sheetData>
  <conditionalFormatting sqref="A5:Q167">
    <cfRule type="expression" dxfId="5" priority="2">
      <formula>$M5="SI"</formula>
    </cfRule>
  </conditionalFormatting>
  <pageMargins left="0.75" right="0.75" top="1" bottom="1" header="0.511811023622047" footer="0.511811023622047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250"/>
  <sheetViews>
    <sheetView zoomScaleNormal="100" workbookViewId="0">
      <pane ySplit="4" topLeftCell="A5" activePane="bottomLeft" state="frozen"/>
      <selection pane="bottomLeft"/>
    </sheetView>
  </sheetViews>
  <sheetFormatPr baseColWidth="10" defaultColWidth="8.7109375" defaultRowHeight="15" x14ac:dyDescent="0.25"/>
  <cols>
    <col min="1" max="1" width="11" customWidth="1"/>
    <col min="2" max="2" width="48" customWidth="1"/>
    <col min="3" max="3" width="11" customWidth="1"/>
    <col min="4" max="4" width="48" customWidth="1"/>
    <col min="5" max="5" width="6" customWidth="1"/>
    <col min="6" max="6" width="7" customWidth="1"/>
    <col min="7" max="7" width="64" customWidth="1"/>
  </cols>
  <sheetData>
    <row r="1" spans="1:7" ht="16.5" x14ac:dyDescent="0.25">
      <c r="A1" s="1" t="s">
        <v>886</v>
      </c>
    </row>
    <row r="2" spans="1:7" x14ac:dyDescent="0.25">
      <c r="A2" s="2" t="s">
        <v>887</v>
      </c>
    </row>
    <row r="4" spans="1:7" ht="25.5" x14ac:dyDescent="0.25">
      <c r="A4" s="6" t="s">
        <v>888</v>
      </c>
      <c r="B4" s="6" t="s">
        <v>889</v>
      </c>
      <c r="C4" s="6" t="s">
        <v>890</v>
      </c>
      <c r="D4" s="6" t="s">
        <v>891</v>
      </c>
      <c r="E4" s="6" t="s">
        <v>892</v>
      </c>
      <c r="F4" s="6" t="s">
        <v>893</v>
      </c>
      <c r="G4" s="6" t="s">
        <v>894</v>
      </c>
    </row>
    <row r="5" spans="1:7" x14ac:dyDescent="0.25">
      <c r="A5" s="7" t="s">
        <v>214</v>
      </c>
      <c r="B5" s="14" t="str">
        <f>TRIM(VLOOKUP($A5,'1. Calculo PERT'!$A:$C,3,FALSE()))</f>
        <v>Hito: Acta de inicio firmada</v>
      </c>
      <c r="C5" s="7" t="s">
        <v>52</v>
      </c>
      <c r="D5" s="14" t="str">
        <f>TRIM(VLOOKUP($C5,'1. Calculo PERT'!$A:$C,3,FALSE()))</f>
        <v>Suscribir el acta de inicio del contrato</v>
      </c>
      <c r="E5" s="5" t="s">
        <v>895</v>
      </c>
      <c r="F5" s="5">
        <v>0</v>
      </c>
      <c r="G5" s="7" t="s">
        <v>896</v>
      </c>
    </row>
    <row r="6" spans="1:7" x14ac:dyDescent="0.25">
      <c r="A6" s="7" t="s">
        <v>110</v>
      </c>
      <c r="B6" s="14" t="str">
        <f>TRIM(VLOOKUP($A6,'1. Calculo PERT'!$A:$C,3,FALSE()))</f>
        <v>Elaborar minutas y estudios previos</v>
      </c>
      <c r="C6" s="7" t="s">
        <v>52</v>
      </c>
      <c r="D6" s="14" t="str">
        <f>TRIM(VLOOKUP($C6,'1. Calculo PERT'!$A:$C,3,FALSE()))</f>
        <v>Suscribir el acta de inicio del contrato</v>
      </c>
      <c r="E6" s="5" t="s">
        <v>895</v>
      </c>
      <c r="F6" s="5">
        <v>0</v>
      </c>
      <c r="G6" s="7" t="s">
        <v>896</v>
      </c>
    </row>
    <row r="7" spans="1:7" x14ac:dyDescent="0.25">
      <c r="A7" s="7" t="s">
        <v>196</v>
      </c>
      <c r="B7" s="14" t="str">
        <f>TRIM(VLOOKUP($A7,'1. Calculo PERT'!$A:$C,3,FALSE()))</f>
        <v>Solicitar, cotizar y constituir las polizas</v>
      </c>
      <c r="C7" s="7" t="s">
        <v>52</v>
      </c>
      <c r="D7" s="14" t="str">
        <f>TRIM(VLOOKUP($C7,'1. Calculo PERT'!$A:$C,3,FALSE()))</f>
        <v>Suscribir el acta de inicio del contrato</v>
      </c>
      <c r="E7" s="5" t="s">
        <v>895</v>
      </c>
      <c r="F7" s="5">
        <v>0</v>
      </c>
      <c r="G7" s="7" t="s">
        <v>896</v>
      </c>
    </row>
    <row r="8" spans="1:7" x14ac:dyDescent="0.25">
      <c r="A8" s="7" t="s">
        <v>175</v>
      </c>
      <c r="B8" s="14" t="str">
        <f>TRIM(VLOOKUP($A8,'1. Calculo PERT'!$A:$C,3,FALSE()))</f>
        <v>Formular el Plan de Manejo Arqueologico ante el ICANH</v>
      </c>
      <c r="C8" s="7" t="s">
        <v>52</v>
      </c>
      <c r="D8" s="14" t="str">
        <f>TRIM(VLOOKUP($C8,'1. Calculo PERT'!$A:$C,3,FALSE()))</f>
        <v>Suscribir el acta de inicio del contrato</v>
      </c>
      <c r="E8" s="5" t="s">
        <v>895</v>
      </c>
      <c r="F8" s="5">
        <v>0</v>
      </c>
      <c r="G8" s="7" t="s">
        <v>896</v>
      </c>
    </row>
    <row r="9" spans="1:7" x14ac:dyDescent="0.25">
      <c r="A9" s="7" t="s">
        <v>135</v>
      </c>
      <c r="B9" s="14" t="str">
        <f>TRIM(VLOOKUP($A9,'1. Calculo PERT'!$A:$C,3,FALSE()))</f>
        <v>Radicar solicitudes de licencias (SDA / Curaduria)</v>
      </c>
      <c r="C9" s="7" t="s">
        <v>52</v>
      </c>
      <c r="D9" s="14" t="str">
        <f>TRIM(VLOOKUP($C9,'1. Calculo PERT'!$A:$C,3,FALSE()))</f>
        <v>Suscribir el acta de inicio del contrato</v>
      </c>
      <c r="E9" s="5" t="s">
        <v>895</v>
      </c>
      <c r="F9" s="5">
        <v>0</v>
      </c>
      <c r="G9" s="7" t="s">
        <v>896</v>
      </c>
    </row>
    <row r="10" spans="1:7" x14ac:dyDescent="0.25">
      <c r="A10" s="7" t="s">
        <v>63</v>
      </c>
      <c r="B10" s="14" t="str">
        <f>TRIM(VLOOKUP($A10,'1. Calculo PERT'!$A:$C,3,FALSE()))</f>
        <v>Identificar predios, elaborar ficha predial y avaluo comercial</v>
      </c>
      <c r="C10" s="7" t="s">
        <v>52</v>
      </c>
      <c r="D10" s="14" t="str">
        <f>TRIM(VLOOKUP($C10,'1. Calculo PERT'!$A:$C,3,FALSE()))</f>
        <v>Suscribir el acta de inicio del contrato</v>
      </c>
      <c r="E10" s="5" t="s">
        <v>895</v>
      </c>
      <c r="F10" s="5">
        <v>0</v>
      </c>
      <c r="G10" s="7" t="s">
        <v>896</v>
      </c>
    </row>
    <row r="11" spans="1:7" x14ac:dyDescent="0.25">
      <c r="A11" s="7" t="s">
        <v>154</v>
      </c>
      <c r="B11" s="14" t="str">
        <f>TRIM(VLOOKUP($A11,'1. Calculo PERT'!$A:$C,3,FALSE()))</f>
        <v>Elaborar el Plan de Manejo de Trafico (desvios y senalizacion)</v>
      </c>
      <c r="C11" s="7" t="s">
        <v>52</v>
      </c>
      <c r="D11" s="14" t="str">
        <f>TRIM(VLOOKUP($C11,'1. Calculo PERT'!$A:$C,3,FALSE()))</f>
        <v>Suscribir el acta de inicio del contrato</v>
      </c>
      <c r="E11" s="5" t="s">
        <v>895</v>
      </c>
      <c r="F11" s="5">
        <v>0</v>
      </c>
      <c r="G11" s="7" t="s">
        <v>896</v>
      </c>
    </row>
    <row r="12" spans="1:7" x14ac:dyDescent="0.25">
      <c r="A12" s="7" t="s">
        <v>199</v>
      </c>
      <c r="B12" s="14" t="str">
        <f>TRIM(VLOOKUP($A12,'1. Calculo PERT'!$A:$C,3,FALSE()))</f>
        <v>Aprobar las polizas por interventoria</v>
      </c>
      <c r="C12" s="7" t="s">
        <v>196</v>
      </c>
      <c r="D12" s="14" t="str">
        <f>TRIM(VLOOKUP($C12,'1. Calculo PERT'!$A:$C,3,FALSE()))</f>
        <v>Solicitar, cotizar y constituir las polizas</v>
      </c>
      <c r="E12" s="5" t="s">
        <v>895</v>
      </c>
      <c r="F12" s="5">
        <v>0</v>
      </c>
      <c r="G12" s="7" t="s">
        <v>896</v>
      </c>
    </row>
    <row r="13" spans="1:7" x14ac:dyDescent="0.25">
      <c r="A13" s="7" t="s">
        <v>113</v>
      </c>
      <c r="B13" s="14" t="str">
        <f>TRIM(VLOOKUP($A13,'1. Calculo PERT'!$A:$C,3,FALSE()))</f>
        <v>Revisar juridicamente y aprobar los contratos</v>
      </c>
      <c r="C13" s="7" t="s">
        <v>110</v>
      </c>
      <c r="D13" s="14" t="str">
        <f>TRIM(VLOOKUP($C13,'1. Calculo PERT'!$A:$C,3,FALSE()))</f>
        <v>Elaborar minutas y estudios previos</v>
      </c>
      <c r="E13" s="5" t="s">
        <v>895</v>
      </c>
      <c r="F13" s="5">
        <v>0</v>
      </c>
      <c r="G13" s="7" t="s">
        <v>896</v>
      </c>
    </row>
    <row r="14" spans="1:7" x14ac:dyDescent="0.25">
      <c r="A14" s="7" t="s">
        <v>179</v>
      </c>
      <c r="B14" s="14" t="str">
        <f>TRIM(VLOOKUP($A14,'1. Calculo PERT'!$A:$C,3,FALSE()))</f>
        <v>Aprobar el plan ante el ICANH</v>
      </c>
      <c r="C14" s="7" t="s">
        <v>175</v>
      </c>
      <c r="D14" s="14" t="str">
        <f>TRIM(VLOOKUP($C14,'1. Calculo PERT'!$A:$C,3,FALSE()))</f>
        <v>Formular el Plan de Manejo Arqueologico ante el ICANH</v>
      </c>
      <c r="E14" s="5" t="s">
        <v>895</v>
      </c>
      <c r="F14" s="5">
        <v>0</v>
      </c>
      <c r="G14" s="7" t="s">
        <v>896</v>
      </c>
    </row>
    <row r="15" spans="1:7" x14ac:dyDescent="0.25">
      <c r="A15" s="7" t="s">
        <v>204</v>
      </c>
      <c r="B15" s="14" t="str">
        <f>TRIM(VLOOKUP($A15,'1. Calculo PERT'!$A:$C,3,FALSE()))</f>
        <v>Verificar vigencias y endosos de polizas</v>
      </c>
      <c r="C15" s="7" t="s">
        <v>199</v>
      </c>
      <c r="D15" s="14" t="str">
        <f>TRIM(VLOOKUP($C15,'1. Calculo PERT'!$A:$C,3,FALSE()))</f>
        <v>Aprobar las polizas por interventoria</v>
      </c>
      <c r="E15" s="5" t="s">
        <v>895</v>
      </c>
      <c r="F15" s="5">
        <v>0</v>
      </c>
      <c r="G15" s="7" t="s">
        <v>896</v>
      </c>
    </row>
    <row r="16" spans="1:7" x14ac:dyDescent="0.25">
      <c r="A16" s="7" t="s">
        <v>138</v>
      </c>
      <c r="B16" s="14" t="str">
        <f>TRIM(VLOOKUP($A16,'1. Calculo PERT'!$A:$C,3,FALSE()))</f>
        <v>Subsanar requerimientos de la autoridad</v>
      </c>
      <c r="C16" s="7" t="s">
        <v>135</v>
      </c>
      <c r="D16" s="14" t="str">
        <f>TRIM(VLOOKUP($C16,'1. Calculo PERT'!$A:$C,3,FALSE()))</f>
        <v>Radicar solicitudes de licencias (SDA / Curaduria)</v>
      </c>
      <c r="E16" s="5" t="s">
        <v>895</v>
      </c>
      <c r="F16" s="5">
        <v>0</v>
      </c>
      <c r="G16" s="7" t="s">
        <v>896</v>
      </c>
    </row>
    <row r="17" spans="1:7" x14ac:dyDescent="0.25">
      <c r="A17" s="7" t="s">
        <v>209</v>
      </c>
      <c r="B17" s="14" t="str">
        <f>TRIM(VLOOKUP($A17,'1. Calculo PERT'!$A:$C,3,FALSE()))</f>
        <v>Endosar las polizas a favor del IDU</v>
      </c>
      <c r="C17" s="7" t="s">
        <v>204</v>
      </c>
      <c r="D17" s="14" t="str">
        <f>TRIM(VLOOKUP($C17,'1. Calculo PERT'!$A:$C,3,FALSE()))</f>
        <v>Verificar vigencias y endosos de polizas</v>
      </c>
      <c r="E17" s="5" t="s">
        <v>895</v>
      </c>
      <c r="F17" s="5">
        <v>0</v>
      </c>
      <c r="G17" s="7" t="s">
        <v>896</v>
      </c>
    </row>
    <row r="18" spans="1:7" x14ac:dyDescent="0.25">
      <c r="A18" s="7" t="s">
        <v>88</v>
      </c>
      <c r="B18" s="14" t="str">
        <f>TRIM(VLOOKUP($A18,'1. Calculo PERT'!$A:$C,3,FALSE()))</f>
        <v>Convocar y levantar registro tecnico-fotografico de colindantes</v>
      </c>
      <c r="C18" s="7" t="s">
        <v>63</v>
      </c>
      <c r="D18" s="14" t="str">
        <f>TRIM(VLOOKUP($C18,'1. Calculo PERT'!$A:$C,3,FALSE()))</f>
        <v>Identificar predios, elaborar ficha predial y avaluo comercial</v>
      </c>
      <c r="E18" s="5" t="s">
        <v>895</v>
      </c>
      <c r="F18" s="5">
        <v>0</v>
      </c>
      <c r="G18" s="7" t="s">
        <v>896</v>
      </c>
    </row>
    <row r="19" spans="1:7" x14ac:dyDescent="0.25">
      <c r="A19" s="7" t="s">
        <v>68</v>
      </c>
      <c r="B19" s="14" t="str">
        <f>TRIM(VLOOKUP($A19,'1. Calculo PERT'!$A:$C,3,FALSE()))</f>
        <v>Negociar y suscribir promesas de compraventa</v>
      </c>
      <c r="C19" s="7" t="s">
        <v>63</v>
      </c>
      <c r="D19" s="14" t="str">
        <f>TRIM(VLOOKUP($C19,'1. Calculo PERT'!$A:$C,3,FALSE()))</f>
        <v>Identificar predios, elaborar ficha predial y avaluo comercial</v>
      </c>
      <c r="E19" s="5" t="s">
        <v>895</v>
      </c>
      <c r="F19" s="5">
        <v>0</v>
      </c>
      <c r="G19" s="7" t="s">
        <v>896</v>
      </c>
    </row>
    <row r="20" spans="1:7" x14ac:dyDescent="0.25">
      <c r="A20" s="7" t="s">
        <v>118</v>
      </c>
      <c r="B20" s="14" t="str">
        <f>TRIM(VLOOKUP($A20,'1. Calculo PERT'!$A:$C,3,FALSE()))</f>
        <v>Firmar y legalizar contratos y acuerdos con ESP</v>
      </c>
      <c r="C20" s="7" t="s">
        <v>113</v>
      </c>
      <c r="D20" s="14" t="str">
        <f>TRIM(VLOOKUP($C20,'1. Calculo PERT'!$A:$C,3,FALSE()))</f>
        <v>Revisar juridicamente y aprobar los contratos</v>
      </c>
      <c r="E20" s="5" t="s">
        <v>895</v>
      </c>
      <c r="F20" s="5">
        <v>0</v>
      </c>
      <c r="G20" s="7" t="s">
        <v>896</v>
      </c>
    </row>
    <row r="21" spans="1:7" x14ac:dyDescent="0.25">
      <c r="A21" s="7" t="s">
        <v>184</v>
      </c>
      <c r="B21" s="14" t="str">
        <f>TRIM(VLOOKUP($A21,'1. Calculo PERT'!$A:$C,3,FALSE()))</f>
        <v>Monitorear arqueologicamente durante las excavaciones</v>
      </c>
      <c r="C21" s="7" t="s">
        <v>179</v>
      </c>
      <c r="D21" s="14" t="str">
        <f>TRIM(VLOOKUP($C21,'1. Calculo PERT'!$A:$C,3,FALSE()))</f>
        <v>Aprobar el plan ante el ICANH</v>
      </c>
      <c r="E21" s="5" t="s">
        <v>895</v>
      </c>
      <c r="F21" s="5">
        <v>0</v>
      </c>
      <c r="G21" s="7" t="s">
        <v>896</v>
      </c>
    </row>
    <row r="22" spans="1:7" x14ac:dyDescent="0.25">
      <c r="A22" s="7" t="s">
        <v>157</v>
      </c>
      <c r="B22" s="14" t="str">
        <f>TRIM(VLOOKUP($A22,'1. Calculo PERT'!$A:$C,3,FALSE()))</f>
        <v>Radicar y ajustar el PMT ante la SDM</v>
      </c>
      <c r="C22" s="7" t="s">
        <v>154</v>
      </c>
      <c r="D22" s="14" t="str">
        <f>TRIM(VLOOKUP($C22,'1. Calculo PERT'!$A:$C,3,FALSE()))</f>
        <v>Elaborar el Plan de Manejo de Trafico (desvios y senalizacion)</v>
      </c>
      <c r="E22" s="5" t="s">
        <v>895</v>
      </c>
      <c r="F22" s="5">
        <v>0</v>
      </c>
      <c r="G22" s="7" t="s">
        <v>896</v>
      </c>
    </row>
    <row r="23" spans="1:7" x14ac:dyDescent="0.25">
      <c r="A23" s="7" t="s">
        <v>123</v>
      </c>
      <c r="B23" s="14" t="str">
        <f>TRIM(VLOOKUP($A23,'1. Calculo PERT'!$A:$C,3,FALSE()))</f>
        <v>Designar supervisores e interventoria</v>
      </c>
      <c r="C23" s="7" t="s">
        <v>118</v>
      </c>
      <c r="D23" s="14" t="str">
        <f>TRIM(VLOOKUP($C23,'1. Calculo PERT'!$A:$C,3,FALSE()))</f>
        <v>Firmar y legalizar contratos y acuerdos con ESP</v>
      </c>
      <c r="E23" s="5" t="s">
        <v>895</v>
      </c>
      <c r="F23" s="5">
        <v>0</v>
      </c>
      <c r="G23" s="7" t="s">
        <v>896</v>
      </c>
    </row>
    <row r="24" spans="1:7" x14ac:dyDescent="0.25">
      <c r="A24" s="7" t="s">
        <v>128</v>
      </c>
      <c r="B24" s="14" t="str">
        <f>TRIM(VLOOKUP($A24,'1. Calculo PERT'!$A:$C,3,FALSE()))</f>
        <v>Legalizar subcontratos criticos (asfalto y concreto)</v>
      </c>
      <c r="C24" s="7" t="s">
        <v>118</v>
      </c>
      <c r="D24" s="14" t="str">
        <f>TRIM(VLOOKUP($C24,'1. Calculo PERT'!$A:$C,3,FALSE()))</f>
        <v>Firmar y legalizar contratos y acuerdos con ESP</v>
      </c>
      <c r="E24" s="5" t="s">
        <v>895</v>
      </c>
      <c r="F24" s="5">
        <v>0</v>
      </c>
      <c r="G24" s="7" t="s">
        <v>896</v>
      </c>
    </row>
    <row r="25" spans="1:7" x14ac:dyDescent="0.25">
      <c r="A25" s="7" t="s">
        <v>92</v>
      </c>
      <c r="B25" s="14" t="str">
        <f>TRIM(VLOOKUP($A25,'1. Calculo PERT'!$A:$C,3,FALSE()))</f>
        <v>Suscribir y protocolizar las actas de vecindad</v>
      </c>
      <c r="C25" s="7" t="s">
        <v>88</v>
      </c>
      <c r="D25" s="14" t="str">
        <f>TRIM(VLOOKUP($C25,'1. Calculo PERT'!$A:$C,3,FALSE()))</f>
        <v>Convocar y levantar registro tecnico-fotografico de colindantes</v>
      </c>
      <c r="E25" s="5" t="s">
        <v>895</v>
      </c>
      <c r="F25" s="5">
        <v>0</v>
      </c>
      <c r="G25" s="7" t="s">
        <v>896</v>
      </c>
    </row>
    <row r="26" spans="1:7" x14ac:dyDescent="0.25">
      <c r="A26" s="7" t="s">
        <v>103</v>
      </c>
      <c r="B26" s="14" t="str">
        <f>TRIM(VLOOKUP($A26,'1. Calculo PERT'!$A:$C,3,FALSE()))</f>
        <v>Atender reclamaciones por afectaciones a vecinos</v>
      </c>
      <c r="C26" s="7" t="s">
        <v>92</v>
      </c>
      <c r="D26" s="14" t="str">
        <f>TRIM(VLOOKUP($C26,'1. Calculo PERT'!$A:$C,3,FALSE()))</f>
        <v>Suscribir y protocolizar las actas de vecindad</v>
      </c>
      <c r="E26" s="5" t="s">
        <v>897</v>
      </c>
      <c r="F26" s="5">
        <v>2</v>
      </c>
      <c r="G26" s="7" t="s">
        <v>898</v>
      </c>
    </row>
    <row r="27" spans="1:7" x14ac:dyDescent="0.25">
      <c r="A27" s="7" t="s">
        <v>143</v>
      </c>
      <c r="B27" s="14" t="str">
        <f>TRIM(VLOOKUP($A27,'1. Calculo PERT'!$A:$C,3,FALSE()))</f>
        <v>Expedir y verificar la vigencia de las licencias</v>
      </c>
      <c r="C27" s="7" t="s">
        <v>138</v>
      </c>
      <c r="D27" s="14" t="str">
        <f>TRIM(VLOOKUP($C27,'1. Calculo PERT'!$A:$C,3,FALSE()))</f>
        <v>Subsanar requerimientos de la autoridad</v>
      </c>
      <c r="E27" s="5" t="s">
        <v>895</v>
      </c>
      <c r="F27" s="5">
        <v>0</v>
      </c>
      <c r="G27" s="7" t="s">
        <v>896</v>
      </c>
    </row>
    <row r="28" spans="1:7" x14ac:dyDescent="0.25">
      <c r="A28" s="7" t="s">
        <v>148</v>
      </c>
      <c r="B28" s="14" t="str">
        <f>TRIM(VLOOKUP($A28,'1. Calculo PERT'!$A:$C,3,FALSE()))</f>
        <v>Tramitar permiso de ocupacion de cauce y aprovechamiento forestal</v>
      </c>
      <c r="C28" s="7" t="s">
        <v>138</v>
      </c>
      <c r="D28" s="14" t="str">
        <f>TRIM(VLOOKUP($C28,'1. Calculo PERT'!$A:$C,3,FALSE()))</f>
        <v>Subsanar requerimientos de la autoridad</v>
      </c>
      <c r="E28" s="5" t="s">
        <v>895</v>
      </c>
      <c r="F28" s="5">
        <v>0</v>
      </c>
      <c r="G28" s="7" t="s">
        <v>896</v>
      </c>
    </row>
    <row r="29" spans="1:7" x14ac:dyDescent="0.25">
      <c r="A29" s="7" t="s">
        <v>189</v>
      </c>
      <c r="B29" s="14" t="str">
        <f>TRIM(VLOOKUP($A29,'1. Calculo PERT'!$A:$C,3,FALSE()))</f>
        <v>Elaborar informe final de monitoreo y entregar al ICANH</v>
      </c>
      <c r="C29" s="7" t="s">
        <v>184</v>
      </c>
      <c r="D29" s="14" t="str">
        <f>TRIM(VLOOKUP($C29,'1. Calculo PERT'!$A:$C,3,FALSE()))</f>
        <v>Monitorear arqueologicamente durante las excavaciones</v>
      </c>
      <c r="E29" s="5" t="s">
        <v>895</v>
      </c>
      <c r="F29" s="5">
        <v>0</v>
      </c>
      <c r="G29" s="7" t="s">
        <v>896</v>
      </c>
    </row>
    <row r="30" spans="1:7" x14ac:dyDescent="0.25">
      <c r="A30" s="7" t="s">
        <v>98</v>
      </c>
      <c r="B30" s="14" t="str">
        <f>TRIM(VLOOKUP($A30,'1. Calculo PERT'!$A:$C,3,FALSE()))</f>
        <v>Archivar soportes y registro fotografico</v>
      </c>
      <c r="C30" s="7" t="s">
        <v>92</v>
      </c>
      <c r="D30" s="14" t="str">
        <f>TRIM(VLOOKUP($C30,'1. Calculo PERT'!$A:$C,3,FALSE()))</f>
        <v>Suscribir y protocolizar las actas de vecindad</v>
      </c>
      <c r="E30" s="5" t="s">
        <v>895</v>
      </c>
      <c r="F30" s="5">
        <v>0</v>
      </c>
      <c r="G30" s="7" t="s">
        <v>896</v>
      </c>
    </row>
    <row r="31" spans="1:7" x14ac:dyDescent="0.25">
      <c r="A31" s="7" t="s">
        <v>78</v>
      </c>
      <c r="B31" s="14" t="str">
        <f>TRIM(VLOOKUP($A31,'1. Calculo PERT'!$A:$C,3,FALSE()))</f>
        <v>Gestionar servidumbres y reubicaciones</v>
      </c>
      <c r="C31" s="7" t="s">
        <v>68</v>
      </c>
      <c r="D31" s="14" t="str">
        <f>TRIM(VLOOKUP($C31,'1. Calculo PERT'!$A:$C,3,FALSE()))</f>
        <v>Negociar y suscribir promesas de compraventa</v>
      </c>
      <c r="E31" s="5" t="s">
        <v>895</v>
      </c>
      <c r="F31" s="5">
        <v>0</v>
      </c>
      <c r="G31" s="7" t="s">
        <v>896</v>
      </c>
    </row>
    <row r="32" spans="1:7" x14ac:dyDescent="0.25">
      <c r="A32" s="7" t="s">
        <v>73</v>
      </c>
      <c r="B32" s="14" t="str">
        <f>TRIM(VLOOKUP($A32,'1. Calculo PERT'!$A:$C,3,FALSE()))</f>
        <v>Escriturar y registrar los titulos de propiedad</v>
      </c>
      <c r="C32" s="7" t="s">
        <v>68</v>
      </c>
      <c r="D32" s="14" t="str">
        <f>TRIM(VLOOKUP($C32,'1. Calculo PERT'!$A:$C,3,FALSE()))</f>
        <v>Negociar y suscribir promesas de compraventa</v>
      </c>
      <c r="E32" s="5" t="s">
        <v>895</v>
      </c>
      <c r="F32" s="5">
        <v>0</v>
      </c>
      <c r="G32" s="7" t="s">
        <v>896</v>
      </c>
    </row>
    <row r="33" spans="1:7" x14ac:dyDescent="0.25">
      <c r="A33" s="7" t="s">
        <v>162</v>
      </c>
      <c r="B33" s="14" t="str">
        <f>TRIM(VLOOKUP($A33,'1. Calculo PERT'!$A:$C,3,FALSE()))</f>
        <v>Aprobar e implementar el PMT en sitio</v>
      </c>
      <c r="C33" s="7" t="s">
        <v>157</v>
      </c>
      <c r="D33" s="14" t="str">
        <f>TRIM(VLOOKUP($C33,'1. Calculo PERT'!$A:$C,3,FALSE()))</f>
        <v>Radicar y ajustar el PMT ante la SDM</v>
      </c>
      <c r="E33" s="5" t="s">
        <v>895</v>
      </c>
      <c r="F33" s="5">
        <v>0</v>
      </c>
      <c r="G33" s="7" t="s">
        <v>896</v>
      </c>
    </row>
    <row r="34" spans="1:7" x14ac:dyDescent="0.25">
      <c r="A34" s="7" t="s">
        <v>167</v>
      </c>
      <c r="B34" s="14" t="str">
        <f>TRIM(VLOOKUP($A34,'1. Calculo PERT'!$A:$C,3,FALSE()))</f>
        <v>Comunicar desvios y plan de cierres a la comunidad</v>
      </c>
      <c r="C34" s="7" t="s">
        <v>162</v>
      </c>
      <c r="D34" s="14" t="str">
        <f>TRIM(VLOOKUP($C34,'1. Calculo PERT'!$A:$C,3,FALSE()))</f>
        <v>Aprobar e implementar el PMT en sitio</v>
      </c>
      <c r="E34" s="5" t="s">
        <v>897</v>
      </c>
      <c r="F34" s="5">
        <v>2</v>
      </c>
      <c r="G34" s="7" t="s">
        <v>899</v>
      </c>
    </row>
    <row r="35" spans="1:7" x14ac:dyDescent="0.25">
      <c r="A35" s="7" t="s">
        <v>81</v>
      </c>
      <c r="B35" s="14" t="str">
        <f>TRIM(VLOOKUP($A35,'1. Calculo PERT'!$A:$C,3,FALSE()))</f>
        <v>Suscribir acta de disponibilidad y entrega de predios</v>
      </c>
      <c r="C35" s="7" t="s">
        <v>78</v>
      </c>
      <c r="D35" s="14" t="str">
        <f>TRIM(VLOOKUP($C35,'1. Calculo PERT'!$A:$C,3,FALSE()))</f>
        <v>Gestionar servidumbres y reubicaciones</v>
      </c>
      <c r="E35" s="5" t="s">
        <v>895</v>
      </c>
      <c r="F35" s="5">
        <v>0</v>
      </c>
      <c r="G35" s="7" t="s">
        <v>896</v>
      </c>
    </row>
    <row r="36" spans="1:7" x14ac:dyDescent="0.25">
      <c r="A36" s="7" t="s">
        <v>81</v>
      </c>
      <c r="B36" s="14" t="str">
        <f>TRIM(VLOOKUP($A36,'1. Calculo PERT'!$A:$C,3,FALSE()))</f>
        <v>Suscribir acta de disponibilidad y entrega de predios</v>
      </c>
      <c r="C36" s="7" t="s">
        <v>73</v>
      </c>
      <c r="D36" s="14" t="str">
        <f>TRIM(VLOOKUP($C36,'1. Calculo PERT'!$A:$C,3,FALSE()))</f>
        <v>Escriturar y registrar los titulos de propiedad</v>
      </c>
      <c r="E36" s="5" t="s">
        <v>895</v>
      </c>
      <c r="F36" s="5">
        <v>0</v>
      </c>
      <c r="G36" s="7" t="s">
        <v>896</v>
      </c>
    </row>
    <row r="37" spans="1:7" x14ac:dyDescent="0.25">
      <c r="A37" s="7" t="s">
        <v>224</v>
      </c>
      <c r="B37" s="14" t="str">
        <f>TRIM(VLOOKUP($A37,'1. Calculo PERT'!$A:$C,3,FALSE()))</f>
        <v>Realizar comision topografica y levantamiento de detalle</v>
      </c>
      <c r="C37" s="7" t="s">
        <v>209</v>
      </c>
      <c r="D37" s="14" t="str">
        <f>TRIM(VLOOKUP($C37,'1. Calculo PERT'!$A:$C,3,FALSE()))</f>
        <v>Endosar las polizas a favor del IDU</v>
      </c>
      <c r="E37" s="5" t="s">
        <v>895</v>
      </c>
      <c r="F37" s="5">
        <v>0</v>
      </c>
      <c r="G37" s="7" t="s">
        <v>896</v>
      </c>
    </row>
    <row r="38" spans="1:7" x14ac:dyDescent="0.25">
      <c r="A38" s="7" t="s">
        <v>224</v>
      </c>
      <c r="B38" s="14" t="str">
        <f>TRIM(VLOOKUP($A38,'1. Calculo PERT'!$A:$C,3,FALSE()))</f>
        <v>Realizar comision topografica y levantamiento de detalle</v>
      </c>
      <c r="C38" s="7" t="s">
        <v>143</v>
      </c>
      <c r="D38" s="14" t="str">
        <f>TRIM(VLOOKUP($C38,'1. Calculo PERT'!$A:$C,3,FALSE()))</f>
        <v>Expedir y verificar la vigencia de las licencias</v>
      </c>
      <c r="E38" s="5" t="s">
        <v>895</v>
      </c>
      <c r="F38" s="5">
        <v>0</v>
      </c>
      <c r="G38" s="7" t="s">
        <v>896</v>
      </c>
    </row>
    <row r="39" spans="1:7" x14ac:dyDescent="0.25">
      <c r="A39" s="7" t="s">
        <v>224</v>
      </c>
      <c r="B39" s="14" t="str">
        <f>TRIM(VLOOKUP($A39,'1. Calculo PERT'!$A:$C,3,FALSE()))</f>
        <v>Realizar comision topografica y levantamiento de detalle</v>
      </c>
      <c r="C39" s="7" t="s">
        <v>162</v>
      </c>
      <c r="D39" s="14" t="str">
        <f>TRIM(VLOOKUP($C39,'1. Calculo PERT'!$A:$C,3,FALSE()))</f>
        <v>Aprobar e implementar el PMT en sitio</v>
      </c>
      <c r="E39" s="5" t="s">
        <v>895</v>
      </c>
      <c r="F39" s="5">
        <v>0</v>
      </c>
      <c r="G39" s="7" t="s">
        <v>896</v>
      </c>
    </row>
    <row r="40" spans="1:7" x14ac:dyDescent="0.25">
      <c r="A40" s="7" t="s">
        <v>224</v>
      </c>
      <c r="B40" s="14" t="str">
        <f>TRIM(VLOOKUP($A40,'1. Calculo PERT'!$A:$C,3,FALSE()))</f>
        <v>Realizar comision topografica y levantamiento de detalle</v>
      </c>
      <c r="C40" s="7" t="s">
        <v>81</v>
      </c>
      <c r="D40" s="14" t="str">
        <f>TRIM(VLOOKUP($C40,'1. Calculo PERT'!$A:$C,3,FALSE()))</f>
        <v>Suscribir acta de disponibilidad y entrega de predios</v>
      </c>
      <c r="E40" s="5" t="s">
        <v>895</v>
      </c>
      <c r="F40" s="5">
        <v>0</v>
      </c>
      <c r="G40" s="7" t="s">
        <v>896</v>
      </c>
    </row>
    <row r="41" spans="1:7" x14ac:dyDescent="0.25">
      <c r="A41" s="7" t="s">
        <v>242</v>
      </c>
      <c r="B41" s="14" t="str">
        <f>TRIM(VLOOKUP($A41,'1. Calculo PERT'!$A:$C,3,FALSE()))</f>
        <v>Elaborar estudio de transito y capacidad de la interseccion</v>
      </c>
      <c r="C41" s="7" t="s">
        <v>224</v>
      </c>
      <c r="D41" s="14" t="str">
        <f>TRIM(VLOOKUP($C41,'1. Calculo PERT'!$A:$C,3,FALSE()))</f>
        <v>Realizar comision topografica y levantamiento de detalle</v>
      </c>
      <c r="E41" s="5" t="s">
        <v>895</v>
      </c>
      <c r="F41" s="5">
        <v>0</v>
      </c>
      <c r="G41" s="7" t="s">
        <v>896</v>
      </c>
    </row>
    <row r="42" spans="1:7" x14ac:dyDescent="0.25">
      <c r="A42" s="7" t="s">
        <v>229</v>
      </c>
      <c r="B42" s="14" t="str">
        <f>TRIM(VLOOKUP($A42,'1. Calculo PERT'!$A:$C,3,FALSE()))</f>
        <v>Explorar el subsuelo (sondeos y apiques)</v>
      </c>
      <c r="C42" s="7" t="s">
        <v>224</v>
      </c>
      <c r="D42" s="14" t="str">
        <f>TRIM(VLOOKUP($C42,'1. Calculo PERT'!$A:$C,3,FALSE()))</f>
        <v>Realizar comision topografica y levantamiento de detalle</v>
      </c>
      <c r="E42" s="5" t="s">
        <v>895</v>
      </c>
      <c r="F42" s="5">
        <v>0</v>
      </c>
      <c r="G42" s="7" t="s">
        <v>896</v>
      </c>
    </row>
    <row r="43" spans="1:7" x14ac:dyDescent="0.25">
      <c r="A43" s="7" t="s">
        <v>239</v>
      </c>
      <c r="B43" s="14" t="str">
        <f>TRIM(VLOOKUP($A43,'1. Calculo PERT'!$A:$C,3,FALSE()))</f>
        <v>Elaborar estudio hidrologico e hidraulico del corredor</v>
      </c>
      <c r="C43" s="7" t="s">
        <v>229</v>
      </c>
      <c r="D43" s="14" t="str">
        <f>TRIM(VLOOKUP($C43,'1. Calculo PERT'!$A:$C,3,FALSE()))</f>
        <v>Explorar el subsuelo (sondeos y apiques)</v>
      </c>
      <c r="E43" s="5" t="s">
        <v>895</v>
      </c>
      <c r="F43" s="5">
        <v>0</v>
      </c>
      <c r="G43" s="7" t="s">
        <v>896</v>
      </c>
    </row>
    <row r="44" spans="1:7" x14ac:dyDescent="0.25">
      <c r="A44" s="7" t="s">
        <v>234</v>
      </c>
      <c r="B44" s="14" t="str">
        <f>TRIM(VLOOKUP($A44,'1. Calculo PERT'!$A:$C,3,FALSE()))</f>
        <v>Ejecutar ensayos de laboratorio y elaborar informe geotecnico</v>
      </c>
      <c r="C44" s="7" t="s">
        <v>229</v>
      </c>
      <c r="D44" s="14" t="str">
        <f>TRIM(VLOOKUP($C44,'1. Calculo PERT'!$A:$C,3,FALSE()))</f>
        <v>Explorar el subsuelo (sondeos y apiques)</v>
      </c>
      <c r="E44" s="5" t="s">
        <v>895</v>
      </c>
      <c r="F44" s="5">
        <v>0</v>
      </c>
      <c r="G44" s="7" t="s">
        <v>896</v>
      </c>
    </row>
    <row r="45" spans="1:7" x14ac:dyDescent="0.25">
      <c r="A45" s="7" t="s">
        <v>247</v>
      </c>
      <c r="B45" s="14" t="str">
        <f>TRIM(VLOOKUP($A45,'1. Calculo PERT'!$A:$C,3,FALSE()))</f>
        <v>Consolidar la informacion tecnica y de costos</v>
      </c>
      <c r="C45" s="7" t="s">
        <v>234</v>
      </c>
      <c r="D45" s="14" t="str">
        <f>TRIM(VLOOKUP($C45,'1. Calculo PERT'!$A:$C,3,FALSE()))</f>
        <v>Ejecutar ensayos de laboratorio y elaborar informe geotecnico</v>
      </c>
      <c r="E45" s="5" t="s">
        <v>895</v>
      </c>
      <c r="F45" s="5">
        <v>0</v>
      </c>
      <c r="G45" s="7" t="s">
        <v>896</v>
      </c>
    </row>
    <row r="46" spans="1:7" x14ac:dyDescent="0.25">
      <c r="A46" s="7" t="s">
        <v>274</v>
      </c>
      <c r="B46" s="14" t="str">
        <f>TRIM(VLOOKUP($A46,'1. Calculo PERT'!$A:$C,3,FALSE()))</f>
        <v>Disenar la estructura del pavimento</v>
      </c>
      <c r="C46" s="7" t="s">
        <v>234</v>
      </c>
      <c r="D46" s="14" t="str">
        <f>TRIM(VLOOKUP($C46,'1. Calculo PERT'!$A:$C,3,FALSE()))</f>
        <v>Ejecutar ensayos de laboratorio y elaborar informe geotecnico</v>
      </c>
      <c r="E46" s="5" t="s">
        <v>895</v>
      </c>
      <c r="F46" s="5">
        <v>0</v>
      </c>
      <c r="G46" s="7" t="s">
        <v>896</v>
      </c>
    </row>
    <row r="47" spans="1:7" x14ac:dyDescent="0.25">
      <c r="A47" s="7" t="s">
        <v>252</v>
      </c>
      <c r="B47" s="14" t="str">
        <f>TRIM(VLOOKUP($A47,'1. Calculo PERT'!$A:$C,3,FALSE()))</f>
        <v>Elaborar el informe de maduracion (GU-FP-04)</v>
      </c>
      <c r="C47" s="7" t="s">
        <v>247</v>
      </c>
      <c r="D47" s="14" t="str">
        <f>TRIM(VLOOKUP($C47,'1. Calculo PERT'!$A:$C,3,FALSE()))</f>
        <v>Consolidar la informacion tecnica y de costos</v>
      </c>
      <c r="E47" s="5" t="s">
        <v>895</v>
      </c>
      <c r="F47" s="5">
        <v>0</v>
      </c>
      <c r="G47" s="7" t="s">
        <v>896</v>
      </c>
    </row>
    <row r="48" spans="1:7" x14ac:dyDescent="0.25">
      <c r="A48" s="7" t="s">
        <v>277</v>
      </c>
      <c r="B48" s="14" t="str">
        <f>TRIM(VLOOKUP($A48,'1. Calculo PERT'!$A:$C,3,FALSE()))</f>
        <v>Disenar las mezclas y la formula de trabajo (MDC-25/MDC-19 GCR)</v>
      </c>
      <c r="C48" s="7" t="s">
        <v>274</v>
      </c>
      <c r="D48" s="14" t="str">
        <f>TRIM(VLOOKUP($C48,'1. Calculo PERT'!$A:$C,3,FALSE()))</f>
        <v>Disenar la estructura del pavimento</v>
      </c>
      <c r="E48" s="5" t="s">
        <v>895</v>
      </c>
      <c r="F48" s="5">
        <v>0</v>
      </c>
      <c r="G48" s="7" t="s">
        <v>896</v>
      </c>
    </row>
    <row r="49" spans="1:7" x14ac:dyDescent="0.25">
      <c r="A49" s="7" t="s">
        <v>262</v>
      </c>
      <c r="B49" s="14" t="str">
        <f>TRIM(VLOOKUP($A49,'1. Calculo PERT'!$A:$C,3,FALSE()))</f>
        <v>Actualizar el presupuesto y los APU</v>
      </c>
      <c r="C49" s="7" t="s">
        <v>252</v>
      </c>
      <c r="D49" s="14" t="str">
        <f>TRIM(VLOOKUP($C49,'1. Calculo PERT'!$A:$C,3,FALSE()))</f>
        <v>Elaborar el informe de maduracion (GU-FP-04)</v>
      </c>
      <c r="E49" s="5" t="s">
        <v>895</v>
      </c>
      <c r="F49" s="5">
        <v>0</v>
      </c>
      <c r="G49" s="7" t="s">
        <v>896</v>
      </c>
    </row>
    <row r="50" spans="1:7" x14ac:dyDescent="0.25">
      <c r="A50" s="7" t="s">
        <v>257</v>
      </c>
      <c r="B50" s="14" t="str">
        <f>TRIM(VLOOKUP($A50,'1. Calculo PERT'!$A:$C,3,FALSE()))</f>
        <v>Revisar y avalar la maduracion por el IDU</v>
      </c>
      <c r="C50" s="7" t="s">
        <v>252</v>
      </c>
      <c r="D50" s="14" t="str">
        <f>TRIM(VLOOKUP($C50,'1. Calculo PERT'!$A:$C,3,FALSE()))</f>
        <v>Elaborar el informe de maduracion (GU-FP-04)</v>
      </c>
      <c r="E50" s="5" t="s">
        <v>895</v>
      </c>
      <c r="F50" s="5">
        <v>0</v>
      </c>
      <c r="G50" s="7" t="s">
        <v>896</v>
      </c>
    </row>
    <row r="51" spans="1:7" x14ac:dyDescent="0.25">
      <c r="A51" s="7" t="s">
        <v>282</v>
      </c>
      <c r="B51" s="14" t="str">
        <f>TRIM(VLOOKUP($A51,'1. Calculo PERT'!$A:$C,3,FALSE()))</f>
        <v>Aprobar los disenos de pavimento por interventoria</v>
      </c>
      <c r="C51" s="7" t="s">
        <v>277</v>
      </c>
      <c r="D51" s="14" t="str">
        <f>TRIM(VLOOKUP($C51,'1. Calculo PERT'!$A:$C,3,FALSE()))</f>
        <v>Disenar las mezclas y la formula de trabajo (MDC-25/MDC-19 GCR)</v>
      </c>
      <c r="E51" s="5" t="s">
        <v>895</v>
      </c>
      <c r="F51" s="5">
        <v>0</v>
      </c>
      <c r="G51" s="7" t="s">
        <v>896</v>
      </c>
    </row>
    <row r="52" spans="1:7" x14ac:dyDescent="0.25">
      <c r="A52" s="7" t="s">
        <v>287</v>
      </c>
      <c r="B52" s="14" t="str">
        <f>TRIM(VLOOKUP($A52,'1. Calculo PERT'!$A:$C,3,FALSE()))</f>
        <v>Disenar la senalizacion y los dispositivos de trafico</v>
      </c>
      <c r="C52" s="7" t="s">
        <v>277</v>
      </c>
      <c r="D52" s="14" t="str">
        <f>TRIM(VLOOKUP($C52,'1. Calculo PERT'!$A:$C,3,FALSE()))</f>
        <v>Disenar las mezclas y la formula de trabajo (MDC-25/MDC-19 GCR)</v>
      </c>
      <c r="E52" s="5" t="s">
        <v>895</v>
      </c>
      <c r="F52" s="5">
        <v>0</v>
      </c>
      <c r="G52" s="7" t="s">
        <v>896</v>
      </c>
    </row>
    <row r="53" spans="1:7" x14ac:dyDescent="0.25">
      <c r="A53" s="7" t="s">
        <v>290</v>
      </c>
      <c r="B53" s="14" t="str">
        <f>TRIM(VLOOKUP($A53,'1. Calculo PERT'!$A:$C,3,FALSE()))</f>
        <v>Aprobar el diseno de pavimento final por el IDU</v>
      </c>
      <c r="C53" s="7" t="s">
        <v>282</v>
      </c>
      <c r="D53" s="14" t="str">
        <f>TRIM(VLOOKUP($C53,'1. Calculo PERT'!$A:$C,3,FALSE()))</f>
        <v>Aprobar los disenos de pavimento por interventoria</v>
      </c>
      <c r="E53" s="5" t="s">
        <v>895</v>
      </c>
      <c r="F53" s="5">
        <v>0</v>
      </c>
      <c r="G53" s="7" t="s">
        <v>896</v>
      </c>
    </row>
    <row r="54" spans="1:7" x14ac:dyDescent="0.25">
      <c r="A54" s="7" t="s">
        <v>320</v>
      </c>
      <c r="B54" s="14" t="str">
        <f>TRIM(VLOOKUP($A54,'1. Calculo PERT'!$A:$C,3,FALSE()))</f>
        <v>Desarrollar los modelos BIM por disciplina</v>
      </c>
      <c r="C54" s="7" t="s">
        <v>282</v>
      </c>
      <c r="D54" s="14" t="str">
        <f>TRIM(VLOOKUP($C54,'1. Calculo PERT'!$A:$C,3,FALSE()))</f>
        <v>Aprobar los disenos de pavimento por interventoria</v>
      </c>
      <c r="E54" s="5" t="s">
        <v>895</v>
      </c>
      <c r="F54" s="5">
        <v>0</v>
      </c>
      <c r="G54" s="7" t="s">
        <v>896</v>
      </c>
    </row>
    <row r="55" spans="1:7" x14ac:dyDescent="0.25">
      <c r="A55" s="7" t="s">
        <v>265</v>
      </c>
      <c r="B55" s="14" t="str">
        <f>TRIM(VLOOKUP($A55,'1. Calculo PERT'!$A:$C,3,FALSE()))</f>
        <v>Gestionar vistos buenos y concertacion interinstitucional</v>
      </c>
      <c r="C55" s="7" t="s">
        <v>257</v>
      </c>
      <c r="D55" s="14" t="str">
        <f>TRIM(VLOOKUP($C55,'1. Calculo PERT'!$A:$C,3,FALSE()))</f>
        <v>Revisar y avalar la maduracion por el IDU</v>
      </c>
      <c r="E55" s="5" t="s">
        <v>895</v>
      </c>
      <c r="F55" s="5">
        <v>0</v>
      </c>
      <c r="G55" s="7" t="s">
        <v>896</v>
      </c>
    </row>
    <row r="56" spans="1:7" x14ac:dyDescent="0.25">
      <c r="A56" s="7" t="s">
        <v>297</v>
      </c>
      <c r="B56" s="14" t="str">
        <f>TRIM(VLOOKUP($A56,'1. Calculo PERT'!$A:$C,3,FALSE()))</f>
        <v>Ajustar los disenos de redes humedas con la EAAB</v>
      </c>
      <c r="C56" s="7" t="s">
        <v>257</v>
      </c>
      <c r="D56" s="14" t="str">
        <f>TRIM(VLOOKUP($C56,'1. Calculo PERT'!$A:$C,3,FALSE()))</f>
        <v>Revisar y avalar la maduracion por el IDU</v>
      </c>
      <c r="E56" s="5" t="s">
        <v>895</v>
      </c>
      <c r="F56" s="5">
        <v>0</v>
      </c>
      <c r="G56" s="7" t="s">
        <v>896</v>
      </c>
    </row>
    <row r="57" spans="1:7" x14ac:dyDescent="0.25">
      <c r="A57" s="7" t="s">
        <v>300</v>
      </c>
      <c r="B57" s="14" t="str">
        <f>TRIM(VLOOKUP($A57,'1. Calculo PERT'!$A:$C,3,FALSE()))</f>
        <v>Ajustar los disenos de redes secas (energia y telecom)</v>
      </c>
      <c r="C57" s="7" t="s">
        <v>257</v>
      </c>
      <c r="D57" s="14" t="str">
        <f>TRIM(VLOOKUP($C57,'1. Calculo PERT'!$A:$C,3,FALSE()))</f>
        <v>Revisar y avalar la maduracion por el IDU</v>
      </c>
      <c r="E57" s="5" t="s">
        <v>895</v>
      </c>
      <c r="F57" s="5">
        <v>0</v>
      </c>
      <c r="G57" s="7" t="s">
        <v>896</v>
      </c>
    </row>
    <row r="58" spans="1:7" x14ac:dyDescent="0.25">
      <c r="A58" s="7" t="s">
        <v>323</v>
      </c>
      <c r="B58" s="14" t="str">
        <f>TRIM(VLOOKUP($A58,'1. Calculo PERT'!$A:$C,3,FALSE()))</f>
        <v>Coordinar y detectar interferencias</v>
      </c>
      <c r="C58" s="7" t="s">
        <v>320</v>
      </c>
      <c r="D58" s="14" t="str">
        <f>TRIM(VLOOKUP($C58,'1. Calculo PERT'!$A:$C,3,FALSE()))</f>
        <v>Desarrollar los modelos BIM por disciplina</v>
      </c>
      <c r="E58" s="5" t="s">
        <v>895</v>
      </c>
      <c r="F58" s="5">
        <v>0</v>
      </c>
      <c r="G58" s="7" t="s">
        <v>896</v>
      </c>
    </row>
    <row r="59" spans="1:7" x14ac:dyDescent="0.25">
      <c r="A59" s="7" t="s">
        <v>303</v>
      </c>
      <c r="B59" s="14" t="str">
        <f>TRIM(VLOOKUP($A59,'1. Calculo PERT'!$A:$C,3,FALSE()))</f>
        <v>Tramitar la no-objecion de las ESP</v>
      </c>
      <c r="C59" s="7" t="s">
        <v>297</v>
      </c>
      <c r="D59" s="14" t="str">
        <f>TRIM(VLOOKUP($C59,'1. Calculo PERT'!$A:$C,3,FALSE()))</f>
        <v>Ajustar los disenos de redes humedas con la EAAB</v>
      </c>
      <c r="E59" s="5" t="s">
        <v>895</v>
      </c>
      <c r="F59" s="5">
        <v>0</v>
      </c>
      <c r="G59" s="7" t="s">
        <v>896</v>
      </c>
    </row>
    <row r="60" spans="1:7" x14ac:dyDescent="0.25">
      <c r="A60" s="7" t="s">
        <v>303</v>
      </c>
      <c r="B60" s="14" t="str">
        <f>TRIM(VLOOKUP($A60,'1. Calculo PERT'!$A:$C,3,FALSE()))</f>
        <v>Tramitar la no-objecion de las ESP</v>
      </c>
      <c r="C60" s="7" t="s">
        <v>300</v>
      </c>
      <c r="D60" s="14" t="str">
        <f>TRIM(VLOOKUP($C60,'1. Calculo PERT'!$A:$C,3,FALSE()))</f>
        <v>Ajustar los disenos de redes secas (energia y telecom)</v>
      </c>
      <c r="E60" s="5" t="s">
        <v>895</v>
      </c>
      <c r="F60" s="5">
        <v>0</v>
      </c>
      <c r="G60" s="7" t="s">
        <v>896</v>
      </c>
    </row>
    <row r="61" spans="1:7" x14ac:dyDescent="0.25">
      <c r="A61" s="7" t="s">
        <v>328</v>
      </c>
      <c r="B61" s="14" t="str">
        <f>TRIM(VLOOKUP($A61,'1. Calculo PERT'!$A:$C,3,FALSE()))</f>
        <v>Entregar el modelo federado y la documentacion</v>
      </c>
      <c r="C61" s="7" t="s">
        <v>323</v>
      </c>
      <c r="D61" s="14" t="str">
        <f>TRIM(VLOOKUP($C61,'1. Calculo PERT'!$A:$C,3,FALSE()))</f>
        <v>Coordinar y detectar interferencias</v>
      </c>
      <c r="E61" s="5" t="s">
        <v>895</v>
      </c>
      <c r="F61" s="5">
        <v>0</v>
      </c>
      <c r="G61" s="7" t="s">
        <v>896</v>
      </c>
    </row>
    <row r="62" spans="1:7" x14ac:dyDescent="0.25">
      <c r="A62" s="7" t="s">
        <v>333</v>
      </c>
      <c r="B62" s="14" t="str">
        <f>TRIM(VLOOKUP($A62,'1. Calculo PERT'!$A:$C,3,FALSE()))</f>
        <v>Cuantificar las cantidades desde el modelo BIM</v>
      </c>
      <c r="C62" s="7" t="s">
        <v>328</v>
      </c>
      <c r="D62" s="14" t="str">
        <f>TRIM(VLOOKUP($C62,'1. Calculo PERT'!$A:$C,3,FALSE()))</f>
        <v>Entregar el modelo federado y la documentacion</v>
      </c>
      <c r="E62" s="5" t="s">
        <v>895</v>
      </c>
      <c r="F62" s="5">
        <v>0</v>
      </c>
      <c r="G62" s="7" t="s">
        <v>896</v>
      </c>
    </row>
    <row r="63" spans="1:7" x14ac:dyDescent="0.25">
      <c r="A63" s="7" t="s">
        <v>308</v>
      </c>
      <c r="B63" s="14" t="str">
        <f>TRIM(VLOOKUP($A63,'1. Calculo PERT'!$A:$C,3,FALSE()))</f>
        <v>Compatibilizar con las redes existentes (EAAB/Enel/Vanti)</v>
      </c>
      <c r="C63" s="7" t="s">
        <v>303</v>
      </c>
      <c r="D63" s="14" t="str">
        <f>TRIM(VLOOKUP($C63,'1. Calculo PERT'!$A:$C,3,FALSE()))</f>
        <v>Tramitar la no-objecion de las ESP</v>
      </c>
      <c r="E63" s="5" t="s">
        <v>895</v>
      </c>
      <c r="F63" s="5">
        <v>0</v>
      </c>
      <c r="G63" s="7" t="s">
        <v>896</v>
      </c>
    </row>
    <row r="64" spans="1:7" x14ac:dyDescent="0.25">
      <c r="A64" s="7" t="s">
        <v>338</v>
      </c>
      <c r="B64" s="14" t="str">
        <f>TRIM(VLOOKUP($A64,'1. Calculo PERT'!$A:$C,3,FALSE()))</f>
        <v>Vincular el modelo BIM al cronograma (4D)</v>
      </c>
      <c r="C64" s="7" t="s">
        <v>333</v>
      </c>
      <c r="D64" s="14" t="str">
        <f>TRIM(VLOOKUP($C64,'1. Calculo PERT'!$A:$C,3,FALSE()))</f>
        <v>Cuantificar las cantidades desde el modelo BIM</v>
      </c>
      <c r="E64" s="5" t="s">
        <v>895</v>
      </c>
      <c r="F64" s="5">
        <v>0</v>
      </c>
      <c r="G64" s="7" t="s">
        <v>896</v>
      </c>
    </row>
    <row r="65" spans="1:7" x14ac:dyDescent="0.25">
      <c r="A65" s="7" t="s">
        <v>313</v>
      </c>
      <c r="B65" s="14" t="str">
        <f>TRIM(VLOOKUP($A65,'1. Calculo PERT'!$A:$C,3,FALSE()))</f>
        <v>Elaborar planos de detalle y especificaciones de redes</v>
      </c>
      <c r="C65" s="7" t="s">
        <v>308</v>
      </c>
      <c r="D65" s="14" t="str">
        <f>TRIM(VLOOKUP($C65,'1. Calculo PERT'!$A:$C,3,FALSE()))</f>
        <v>Compatibilizar con las redes existentes (EAAB/Enel/Vanti)</v>
      </c>
      <c r="E65" s="5" t="s">
        <v>895</v>
      </c>
      <c r="F65" s="5">
        <v>0</v>
      </c>
      <c r="G65" s="7" t="s">
        <v>896</v>
      </c>
    </row>
    <row r="66" spans="1:7" x14ac:dyDescent="0.25">
      <c r="A66" s="7" t="s">
        <v>349</v>
      </c>
      <c r="B66" s="14" t="str">
        <f>TRIM(VLOOKUP($A66,'1. Calculo PERT'!$A:$C,3,FALSE()))</f>
        <v>Hito: Aprobacion de estudios y disenos por las ESP de Bogota (EAAB, Enel-Codensa, Vanti)</v>
      </c>
      <c r="C66" s="7" t="s">
        <v>303</v>
      </c>
      <c r="D66" s="14" t="str">
        <f>TRIM(VLOOKUP($C66,'1. Calculo PERT'!$A:$C,3,FALSE()))</f>
        <v>Tramitar la no-objecion de las ESP</v>
      </c>
      <c r="E66" s="5" t="s">
        <v>895</v>
      </c>
      <c r="F66" s="5">
        <v>0</v>
      </c>
      <c r="G66" s="7" t="s">
        <v>896</v>
      </c>
    </row>
    <row r="67" spans="1:7" x14ac:dyDescent="0.25">
      <c r="A67" s="7" t="s">
        <v>349</v>
      </c>
      <c r="B67" s="14" t="str">
        <f>TRIM(VLOOKUP($A67,'1. Calculo PERT'!$A:$C,3,FALSE()))</f>
        <v>Hito: Aprobacion de estudios y disenos por las ESP de Bogota (EAAB, Enel-Codensa, Vanti)</v>
      </c>
      <c r="C67" s="7" t="s">
        <v>308</v>
      </c>
      <c r="D67" s="14" t="str">
        <f>TRIM(VLOOKUP($C67,'1. Calculo PERT'!$A:$C,3,FALSE()))</f>
        <v>Compatibilizar con las redes existentes (EAAB/Enel/Vanti)</v>
      </c>
      <c r="E67" s="5" t="s">
        <v>895</v>
      </c>
      <c r="F67" s="5">
        <v>0</v>
      </c>
      <c r="G67" s="7" t="s">
        <v>896</v>
      </c>
    </row>
    <row r="68" spans="1:7" x14ac:dyDescent="0.25">
      <c r="A68" s="7" t="s">
        <v>349</v>
      </c>
      <c r="B68" s="14" t="str">
        <f>TRIM(VLOOKUP($A68,'1. Calculo PERT'!$A:$C,3,FALSE()))</f>
        <v>Hito: Aprobacion de estudios y disenos por las ESP de Bogota (EAAB, Enel-Codensa, Vanti)</v>
      </c>
      <c r="C68" s="7" t="s">
        <v>313</v>
      </c>
      <c r="D68" s="14" t="str">
        <f>TRIM(VLOOKUP($C68,'1. Calculo PERT'!$A:$C,3,FALSE()))</f>
        <v>Elaborar planos de detalle y especificaciones de redes</v>
      </c>
      <c r="E68" s="5" t="s">
        <v>895</v>
      </c>
      <c r="F68" s="5">
        <v>0</v>
      </c>
      <c r="G68" s="7" t="s">
        <v>896</v>
      </c>
    </row>
    <row r="69" spans="1:7" x14ac:dyDescent="0.25">
      <c r="A69" s="7" t="s">
        <v>343</v>
      </c>
      <c r="B69" s="14" t="str">
        <f>TRIM(VLOOKUP($A69,'1. Calculo PERT'!$A:$C,3,FALSE()))</f>
        <v>Suscribir el acta de cambio de fase (Estudios -&gt; Construccion)</v>
      </c>
      <c r="C69" s="7" t="s">
        <v>209</v>
      </c>
      <c r="D69" s="14" t="str">
        <f>TRIM(VLOOKUP($C69,'1. Calculo PERT'!$A:$C,3,FALSE()))</f>
        <v>Endosar las polizas a favor del IDU</v>
      </c>
      <c r="E69" s="5" t="s">
        <v>895</v>
      </c>
      <c r="F69" s="5">
        <v>0</v>
      </c>
      <c r="G69" s="7" t="s">
        <v>896</v>
      </c>
    </row>
    <row r="70" spans="1:7" x14ac:dyDescent="0.25">
      <c r="A70" s="7" t="s">
        <v>343</v>
      </c>
      <c r="B70" s="14" t="str">
        <f>TRIM(VLOOKUP($A70,'1. Calculo PERT'!$A:$C,3,FALSE()))</f>
        <v>Suscribir el acta de cambio de fase (Estudios -&gt; Construccion)</v>
      </c>
      <c r="C70" s="7" t="s">
        <v>123</v>
      </c>
      <c r="D70" s="14" t="str">
        <f>TRIM(VLOOKUP($C70,'1. Calculo PERT'!$A:$C,3,FALSE()))</f>
        <v>Designar supervisores e interventoria</v>
      </c>
      <c r="E70" s="5" t="s">
        <v>895</v>
      </c>
      <c r="F70" s="5">
        <v>0</v>
      </c>
      <c r="G70" s="7" t="s">
        <v>896</v>
      </c>
    </row>
    <row r="71" spans="1:7" x14ac:dyDescent="0.25">
      <c r="A71" s="7" t="s">
        <v>343</v>
      </c>
      <c r="B71" s="14" t="str">
        <f>TRIM(VLOOKUP($A71,'1. Calculo PERT'!$A:$C,3,FALSE()))</f>
        <v>Suscribir el acta de cambio de fase (Estudios -&gt; Construccion)</v>
      </c>
      <c r="C71" s="7" t="s">
        <v>128</v>
      </c>
      <c r="D71" s="14" t="str">
        <f>TRIM(VLOOKUP($C71,'1. Calculo PERT'!$A:$C,3,FALSE()))</f>
        <v>Legalizar subcontratos criticos (asfalto y concreto)</v>
      </c>
      <c r="E71" s="5" t="s">
        <v>895</v>
      </c>
      <c r="F71" s="5">
        <v>0</v>
      </c>
      <c r="G71" s="7" t="s">
        <v>896</v>
      </c>
    </row>
    <row r="72" spans="1:7" x14ac:dyDescent="0.25">
      <c r="A72" s="7" t="s">
        <v>343</v>
      </c>
      <c r="B72" s="14" t="str">
        <f>TRIM(VLOOKUP($A72,'1. Calculo PERT'!$A:$C,3,FALSE()))</f>
        <v>Suscribir el acta de cambio de fase (Estudios -&gt; Construccion)</v>
      </c>
      <c r="C72" s="7" t="s">
        <v>103</v>
      </c>
      <c r="D72" s="14" t="str">
        <f>TRIM(VLOOKUP($C72,'1. Calculo PERT'!$A:$C,3,FALSE()))</f>
        <v>Atender reclamaciones por afectaciones a vecinos</v>
      </c>
      <c r="E72" s="5" t="s">
        <v>895</v>
      </c>
      <c r="F72" s="5">
        <v>0</v>
      </c>
      <c r="G72" s="7" t="s">
        <v>896</v>
      </c>
    </row>
    <row r="73" spans="1:7" x14ac:dyDescent="0.25">
      <c r="A73" s="7" t="s">
        <v>343</v>
      </c>
      <c r="B73" s="14" t="str">
        <f>TRIM(VLOOKUP($A73,'1. Calculo PERT'!$A:$C,3,FALSE()))</f>
        <v>Suscribir el acta de cambio de fase (Estudios -&gt; Construccion)</v>
      </c>
      <c r="C73" s="7" t="s">
        <v>143</v>
      </c>
      <c r="D73" s="14" t="str">
        <f>TRIM(VLOOKUP($C73,'1. Calculo PERT'!$A:$C,3,FALSE()))</f>
        <v>Expedir y verificar la vigencia de las licencias</v>
      </c>
      <c r="E73" s="5" t="s">
        <v>895</v>
      </c>
      <c r="F73" s="5">
        <v>0</v>
      </c>
      <c r="G73" s="7" t="s">
        <v>896</v>
      </c>
    </row>
    <row r="74" spans="1:7" x14ac:dyDescent="0.25">
      <c r="A74" s="7" t="s">
        <v>343</v>
      </c>
      <c r="B74" s="14" t="str">
        <f>TRIM(VLOOKUP($A74,'1. Calculo PERT'!$A:$C,3,FALSE()))</f>
        <v>Suscribir el acta de cambio de fase (Estudios -&gt; Construccion)</v>
      </c>
      <c r="C74" s="7" t="s">
        <v>148</v>
      </c>
      <c r="D74" s="14" t="str">
        <f>TRIM(VLOOKUP($C74,'1. Calculo PERT'!$A:$C,3,FALSE()))</f>
        <v>Tramitar permiso de ocupacion de cauce y aprovechamiento forestal</v>
      </c>
      <c r="E74" s="5" t="s">
        <v>895</v>
      </c>
      <c r="F74" s="5">
        <v>0</v>
      </c>
      <c r="G74" s="7" t="s">
        <v>896</v>
      </c>
    </row>
    <row r="75" spans="1:7" x14ac:dyDescent="0.25">
      <c r="A75" s="7" t="s">
        <v>343</v>
      </c>
      <c r="B75" s="14" t="str">
        <f>TRIM(VLOOKUP($A75,'1. Calculo PERT'!$A:$C,3,FALSE()))</f>
        <v>Suscribir el acta de cambio de fase (Estudios -&gt; Construccion)</v>
      </c>
      <c r="C75" s="7" t="s">
        <v>98</v>
      </c>
      <c r="D75" s="14" t="str">
        <f>TRIM(VLOOKUP($C75,'1. Calculo PERT'!$A:$C,3,FALSE()))</f>
        <v>Archivar soportes y registro fotografico</v>
      </c>
      <c r="E75" s="5" t="s">
        <v>895</v>
      </c>
      <c r="F75" s="5">
        <v>0</v>
      </c>
      <c r="G75" s="7" t="s">
        <v>896</v>
      </c>
    </row>
    <row r="76" spans="1:7" x14ac:dyDescent="0.25">
      <c r="A76" s="7" t="s">
        <v>343</v>
      </c>
      <c r="B76" s="14" t="str">
        <f>TRIM(VLOOKUP($A76,'1. Calculo PERT'!$A:$C,3,FALSE()))</f>
        <v>Suscribir el acta de cambio de fase (Estudios -&gt; Construccion)</v>
      </c>
      <c r="C76" s="7" t="s">
        <v>162</v>
      </c>
      <c r="D76" s="14" t="str">
        <f>TRIM(VLOOKUP($C76,'1. Calculo PERT'!$A:$C,3,FALSE()))</f>
        <v>Aprobar e implementar el PMT en sitio</v>
      </c>
      <c r="E76" s="5" t="s">
        <v>895</v>
      </c>
      <c r="F76" s="5">
        <v>0</v>
      </c>
      <c r="G76" s="7" t="s">
        <v>896</v>
      </c>
    </row>
    <row r="77" spans="1:7" x14ac:dyDescent="0.25">
      <c r="A77" s="7" t="s">
        <v>343</v>
      </c>
      <c r="B77" s="14" t="str">
        <f>TRIM(VLOOKUP($A77,'1. Calculo PERT'!$A:$C,3,FALSE()))</f>
        <v>Suscribir el acta de cambio de fase (Estudios -&gt; Construccion)</v>
      </c>
      <c r="C77" s="7" t="s">
        <v>167</v>
      </c>
      <c r="D77" s="14" t="str">
        <f>TRIM(VLOOKUP($C77,'1. Calculo PERT'!$A:$C,3,FALSE()))</f>
        <v>Comunicar desvios y plan de cierres a la comunidad</v>
      </c>
      <c r="E77" s="5" t="s">
        <v>895</v>
      </c>
      <c r="F77" s="5">
        <v>0</v>
      </c>
      <c r="G77" s="7" t="s">
        <v>896</v>
      </c>
    </row>
    <row r="78" spans="1:7" x14ac:dyDescent="0.25">
      <c r="A78" s="7" t="s">
        <v>343</v>
      </c>
      <c r="B78" s="14" t="str">
        <f>TRIM(VLOOKUP($A78,'1. Calculo PERT'!$A:$C,3,FALSE()))</f>
        <v>Suscribir el acta de cambio de fase (Estudios -&gt; Construccion)</v>
      </c>
      <c r="C78" s="7" t="s">
        <v>81</v>
      </c>
      <c r="D78" s="14" t="str">
        <f>TRIM(VLOOKUP($C78,'1. Calculo PERT'!$A:$C,3,FALSE()))</f>
        <v>Suscribir acta de disponibilidad y entrega de predios</v>
      </c>
      <c r="E78" s="5" t="s">
        <v>895</v>
      </c>
      <c r="F78" s="5">
        <v>0</v>
      </c>
      <c r="G78" s="7" t="s">
        <v>896</v>
      </c>
    </row>
    <row r="79" spans="1:7" x14ac:dyDescent="0.25">
      <c r="A79" s="7" t="s">
        <v>343</v>
      </c>
      <c r="B79" s="14" t="str">
        <f>TRIM(VLOOKUP($A79,'1. Calculo PERT'!$A:$C,3,FALSE()))</f>
        <v>Suscribir el acta de cambio de fase (Estudios -&gt; Construccion)</v>
      </c>
      <c r="C79" s="7" t="s">
        <v>242</v>
      </c>
      <c r="D79" s="14" t="str">
        <f>TRIM(VLOOKUP($C79,'1. Calculo PERT'!$A:$C,3,FALSE()))</f>
        <v>Elaborar estudio de transito y capacidad de la interseccion</v>
      </c>
      <c r="E79" s="5" t="s">
        <v>895</v>
      </c>
      <c r="F79" s="5">
        <v>0</v>
      </c>
      <c r="G79" s="7" t="s">
        <v>896</v>
      </c>
    </row>
    <row r="80" spans="1:7" x14ac:dyDescent="0.25">
      <c r="A80" s="7" t="s">
        <v>343</v>
      </c>
      <c r="B80" s="14" t="str">
        <f>TRIM(VLOOKUP($A80,'1. Calculo PERT'!$A:$C,3,FALSE()))</f>
        <v>Suscribir el acta de cambio de fase (Estudios -&gt; Construccion)</v>
      </c>
      <c r="C80" s="7" t="s">
        <v>239</v>
      </c>
      <c r="D80" s="14" t="str">
        <f>TRIM(VLOOKUP($C80,'1. Calculo PERT'!$A:$C,3,FALSE()))</f>
        <v>Elaborar estudio hidrologico e hidraulico del corredor</v>
      </c>
      <c r="E80" s="5" t="s">
        <v>895</v>
      </c>
      <c r="F80" s="5">
        <v>0</v>
      </c>
      <c r="G80" s="7" t="s">
        <v>896</v>
      </c>
    </row>
    <row r="81" spans="1:7" x14ac:dyDescent="0.25">
      <c r="A81" s="7" t="s">
        <v>343</v>
      </c>
      <c r="B81" s="14" t="str">
        <f>TRIM(VLOOKUP($A81,'1. Calculo PERT'!$A:$C,3,FALSE()))</f>
        <v>Suscribir el acta de cambio de fase (Estudios -&gt; Construccion)</v>
      </c>
      <c r="C81" s="7" t="s">
        <v>262</v>
      </c>
      <c r="D81" s="14" t="str">
        <f>TRIM(VLOOKUP($C81,'1. Calculo PERT'!$A:$C,3,FALSE()))</f>
        <v>Actualizar el presupuesto y los APU</v>
      </c>
      <c r="E81" s="5" t="s">
        <v>895</v>
      </c>
      <c r="F81" s="5">
        <v>0</v>
      </c>
      <c r="G81" s="7" t="s">
        <v>896</v>
      </c>
    </row>
    <row r="82" spans="1:7" x14ac:dyDescent="0.25">
      <c r="A82" s="7" t="s">
        <v>343</v>
      </c>
      <c r="B82" s="14" t="str">
        <f>TRIM(VLOOKUP($A82,'1. Calculo PERT'!$A:$C,3,FALSE()))</f>
        <v>Suscribir el acta de cambio de fase (Estudios -&gt; Construccion)</v>
      </c>
      <c r="C82" s="7" t="s">
        <v>282</v>
      </c>
      <c r="D82" s="14" t="str">
        <f>TRIM(VLOOKUP($C82,'1. Calculo PERT'!$A:$C,3,FALSE()))</f>
        <v>Aprobar los disenos de pavimento por interventoria</v>
      </c>
      <c r="E82" s="5" t="s">
        <v>895</v>
      </c>
      <c r="F82" s="5">
        <v>0</v>
      </c>
      <c r="G82" s="7" t="s">
        <v>896</v>
      </c>
    </row>
    <row r="83" spans="1:7" x14ac:dyDescent="0.25">
      <c r="A83" s="7" t="s">
        <v>343</v>
      </c>
      <c r="B83" s="14" t="str">
        <f>TRIM(VLOOKUP($A83,'1. Calculo PERT'!$A:$C,3,FALSE()))</f>
        <v>Suscribir el acta de cambio de fase (Estudios -&gt; Construccion)</v>
      </c>
      <c r="C83" s="7" t="s">
        <v>287</v>
      </c>
      <c r="D83" s="14" t="str">
        <f>TRIM(VLOOKUP($C83,'1. Calculo PERT'!$A:$C,3,FALSE()))</f>
        <v>Disenar la senalizacion y los dispositivos de trafico</v>
      </c>
      <c r="E83" s="5" t="s">
        <v>895</v>
      </c>
      <c r="F83" s="5">
        <v>0</v>
      </c>
      <c r="G83" s="7" t="s">
        <v>896</v>
      </c>
    </row>
    <row r="84" spans="1:7" x14ac:dyDescent="0.25">
      <c r="A84" s="7" t="s">
        <v>343</v>
      </c>
      <c r="B84" s="14" t="str">
        <f>TRIM(VLOOKUP($A84,'1. Calculo PERT'!$A:$C,3,FALSE()))</f>
        <v>Suscribir el acta de cambio de fase (Estudios -&gt; Construccion)</v>
      </c>
      <c r="C84" s="7" t="s">
        <v>290</v>
      </c>
      <c r="D84" s="14" t="str">
        <f>TRIM(VLOOKUP($C84,'1. Calculo PERT'!$A:$C,3,FALSE()))</f>
        <v>Aprobar el diseno de pavimento final por el IDU</v>
      </c>
      <c r="E84" s="5" t="s">
        <v>895</v>
      </c>
      <c r="F84" s="5">
        <v>0</v>
      </c>
      <c r="G84" s="7" t="s">
        <v>896</v>
      </c>
    </row>
    <row r="85" spans="1:7" x14ac:dyDescent="0.25">
      <c r="A85" s="7" t="s">
        <v>343</v>
      </c>
      <c r="B85" s="14" t="str">
        <f>TRIM(VLOOKUP($A85,'1. Calculo PERT'!$A:$C,3,FALSE()))</f>
        <v>Suscribir el acta de cambio de fase (Estudios -&gt; Construccion)</v>
      </c>
      <c r="C85" s="7" t="s">
        <v>265</v>
      </c>
      <c r="D85" s="14" t="str">
        <f>TRIM(VLOOKUP($C85,'1. Calculo PERT'!$A:$C,3,FALSE()))</f>
        <v>Gestionar vistos buenos y concertacion interinstitucional</v>
      </c>
      <c r="E85" s="5" t="s">
        <v>895</v>
      </c>
      <c r="F85" s="5">
        <v>0</v>
      </c>
      <c r="G85" s="7" t="s">
        <v>896</v>
      </c>
    </row>
    <row r="86" spans="1:7" x14ac:dyDescent="0.25">
      <c r="A86" s="7" t="s">
        <v>343</v>
      </c>
      <c r="B86" s="14" t="str">
        <f>TRIM(VLOOKUP($A86,'1. Calculo PERT'!$A:$C,3,FALSE()))</f>
        <v>Suscribir el acta de cambio de fase (Estudios -&gt; Construccion)</v>
      </c>
      <c r="C86" s="7" t="s">
        <v>303</v>
      </c>
      <c r="D86" s="14" t="str">
        <f>TRIM(VLOOKUP($C86,'1. Calculo PERT'!$A:$C,3,FALSE()))</f>
        <v>Tramitar la no-objecion de las ESP</v>
      </c>
      <c r="E86" s="5" t="s">
        <v>895</v>
      </c>
      <c r="F86" s="5">
        <v>0</v>
      </c>
      <c r="G86" s="7" t="s">
        <v>896</v>
      </c>
    </row>
    <row r="87" spans="1:7" x14ac:dyDescent="0.25">
      <c r="A87" s="7" t="s">
        <v>343</v>
      </c>
      <c r="B87" s="14" t="str">
        <f>TRIM(VLOOKUP($A87,'1. Calculo PERT'!$A:$C,3,FALSE()))</f>
        <v>Suscribir el acta de cambio de fase (Estudios -&gt; Construccion)</v>
      </c>
      <c r="C87" s="7" t="s">
        <v>328</v>
      </c>
      <c r="D87" s="14" t="str">
        <f>TRIM(VLOOKUP($C87,'1. Calculo PERT'!$A:$C,3,FALSE()))</f>
        <v>Entregar el modelo federado y la documentacion</v>
      </c>
      <c r="E87" s="5" t="s">
        <v>895</v>
      </c>
      <c r="F87" s="5">
        <v>0</v>
      </c>
      <c r="G87" s="7" t="s">
        <v>896</v>
      </c>
    </row>
    <row r="88" spans="1:7" x14ac:dyDescent="0.25">
      <c r="A88" s="7" t="s">
        <v>343</v>
      </c>
      <c r="B88" s="14" t="str">
        <f>TRIM(VLOOKUP($A88,'1. Calculo PERT'!$A:$C,3,FALSE()))</f>
        <v>Suscribir el acta de cambio de fase (Estudios -&gt; Construccion)</v>
      </c>
      <c r="C88" s="7" t="s">
        <v>338</v>
      </c>
      <c r="D88" s="14" t="str">
        <f>TRIM(VLOOKUP($C88,'1. Calculo PERT'!$A:$C,3,FALSE()))</f>
        <v>Vincular el modelo BIM al cronograma (4D)</v>
      </c>
      <c r="E88" s="5" t="s">
        <v>895</v>
      </c>
      <c r="F88" s="5">
        <v>0</v>
      </c>
      <c r="G88" s="7" t="s">
        <v>896</v>
      </c>
    </row>
    <row r="89" spans="1:7" x14ac:dyDescent="0.25">
      <c r="A89" s="7" t="s">
        <v>343</v>
      </c>
      <c r="B89" s="14" t="str">
        <f>TRIM(VLOOKUP($A89,'1. Calculo PERT'!$A:$C,3,FALSE()))</f>
        <v>Suscribir el acta de cambio de fase (Estudios -&gt; Construccion)</v>
      </c>
      <c r="C89" s="7" t="s">
        <v>349</v>
      </c>
      <c r="D89" s="14" t="str">
        <f>TRIM(VLOOKUP($C89,'1. Calculo PERT'!$A:$C,3,FALSE()))</f>
        <v>Hito: Aprobacion de estudios y disenos por las ESP de Bogota (EAAB, Enel-Codensa, Vanti)</v>
      </c>
      <c r="E89" s="5" t="s">
        <v>895</v>
      </c>
      <c r="F89" s="5">
        <v>0</v>
      </c>
      <c r="G89" s="7" t="s">
        <v>896</v>
      </c>
    </row>
    <row r="90" spans="1:7" x14ac:dyDescent="0.25">
      <c r="A90" s="7" t="s">
        <v>353</v>
      </c>
      <c r="B90" s="14" t="str">
        <f>TRIM(VLOOKUP($A90,'1. Calculo PERT'!$A:$C,3,FALSE()))</f>
        <v>Hito: Inicio de Construccion</v>
      </c>
      <c r="C90" s="7" t="s">
        <v>343</v>
      </c>
      <c r="D90" s="14" t="str">
        <f>TRIM(VLOOKUP($C90,'1. Calculo PERT'!$A:$C,3,FALSE()))</f>
        <v>Suscribir el acta de cambio de fase (Estudios -&gt; Construccion)</v>
      </c>
      <c r="E90" s="5" t="s">
        <v>895</v>
      </c>
      <c r="F90" s="5">
        <v>0</v>
      </c>
      <c r="G90" s="7" t="s">
        <v>896</v>
      </c>
    </row>
    <row r="91" spans="1:7" x14ac:dyDescent="0.25">
      <c r="A91" s="7" t="s">
        <v>364</v>
      </c>
      <c r="B91" s="14" t="str">
        <f>TRIM(VLOOKUP($A91,'1. Calculo PERT'!$A:$C,3,FALSE()))</f>
        <v>Instalar el campamento de obra (preliminares)</v>
      </c>
      <c r="C91" s="7" t="s">
        <v>343</v>
      </c>
      <c r="D91" s="14" t="str">
        <f>TRIM(VLOOKUP($C91,'1. Calculo PERT'!$A:$C,3,FALSE()))</f>
        <v>Suscribir el acta de cambio de fase (Estudios -&gt; Construccion)</v>
      </c>
      <c r="E91" s="5" t="s">
        <v>895</v>
      </c>
      <c r="F91" s="5">
        <v>0</v>
      </c>
      <c r="G91" s="7" t="s">
        <v>896</v>
      </c>
    </row>
    <row r="92" spans="1:7" x14ac:dyDescent="0.25">
      <c r="A92" s="7" t="s">
        <v>368</v>
      </c>
      <c r="B92" s="14" t="str">
        <f>TRIM(VLOOKUP($A92,'1. Calculo PERT'!$A:$C,3,FALSE()))</f>
        <v>Trasladar insumos y maquinaria a obra (preliminares)</v>
      </c>
      <c r="C92" s="7" t="s">
        <v>364</v>
      </c>
      <c r="D92" s="14" t="str">
        <f>TRIM(VLOOKUP($C92,'1. Calculo PERT'!$A:$C,3,FALSE()))</f>
        <v>Instalar el campamento de obra (preliminares)</v>
      </c>
      <c r="E92" s="5" t="s">
        <v>895</v>
      </c>
      <c r="F92" s="5">
        <v>0</v>
      </c>
      <c r="G92" s="7" t="s">
        <v>896</v>
      </c>
    </row>
    <row r="93" spans="1:7" x14ac:dyDescent="0.25">
      <c r="A93" s="7" t="s">
        <v>374</v>
      </c>
      <c r="B93" s="14" t="str">
        <f>TRIM(VLOOKUP($A93,'1. Calculo PERT'!$A:$C,3,FALSE()))</f>
        <v>Localizar y replantear topograficamente la via (preliminares)</v>
      </c>
      <c r="C93" s="7" t="s">
        <v>368</v>
      </c>
      <c r="D93" s="14" t="str">
        <f>TRIM(VLOOKUP($C93,'1. Calculo PERT'!$A:$C,3,FALSE()))</f>
        <v>Trasladar insumos y maquinaria a obra (preliminares)</v>
      </c>
      <c r="E93" s="5" t="s">
        <v>895</v>
      </c>
      <c r="F93" s="5">
        <v>0</v>
      </c>
      <c r="G93" s="7" t="s">
        <v>896</v>
      </c>
    </row>
    <row r="94" spans="1:7" x14ac:dyDescent="0.25">
      <c r="A94" s="7" t="s">
        <v>379</v>
      </c>
      <c r="B94" s="14" t="str">
        <f>TRIM(VLOOKUP($A94,'1. Calculo PERT'!$A:$C,3,FALSE()))</f>
        <v>Demoler y descapotar para redes (preliminares)</v>
      </c>
      <c r="C94" s="7" t="s">
        <v>374</v>
      </c>
      <c r="D94" s="14" t="str">
        <f>TRIM(VLOOKUP($C94,'1. Calculo PERT'!$A:$C,3,FALSE()))</f>
        <v>Localizar y replantear topograficamente la via (preliminares)</v>
      </c>
      <c r="E94" s="5" t="s">
        <v>895</v>
      </c>
      <c r="F94" s="5">
        <v>0</v>
      </c>
      <c r="G94" s="7" t="s">
        <v>896</v>
      </c>
    </row>
    <row r="95" spans="1:7" x14ac:dyDescent="0.25">
      <c r="A95" s="7" t="s">
        <v>385</v>
      </c>
      <c r="B95" s="14" t="str">
        <f>TRIM(VLOOKUP($A95,'1. Calculo PERT'!$A:$C,3,FALSE()))</f>
        <v>Excavar la zanja para redes en el Tramo 1</v>
      </c>
      <c r="C95" s="7" t="s">
        <v>379</v>
      </c>
      <c r="D95" s="14" t="str">
        <f>TRIM(VLOOKUP($C95,'1. Calculo PERT'!$A:$C,3,FALSE()))</f>
        <v>Demoler y descapotar para redes (preliminares)</v>
      </c>
      <c r="E95" s="5" t="s">
        <v>895</v>
      </c>
      <c r="F95" s="5">
        <v>0</v>
      </c>
      <c r="G95" s="7" t="s">
        <v>896</v>
      </c>
    </row>
    <row r="96" spans="1:7" x14ac:dyDescent="0.25">
      <c r="A96" s="7" t="s">
        <v>391</v>
      </c>
      <c r="B96" s="14" t="str">
        <f>TRIM(VLOOKUP($A96,'1. Calculo PERT'!$A:$C,3,FALSE()))</f>
        <v>Excavar la zanja para redes en los Tramos 2-3</v>
      </c>
      <c r="C96" s="7" t="s">
        <v>385</v>
      </c>
      <c r="D96" s="14" t="str">
        <f>TRIM(VLOOKUP($C96,'1. Calculo PERT'!$A:$C,3,FALSE()))</f>
        <v>Excavar la zanja para redes en el Tramo 1</v>
      </c>
      <c r="E96" s="5" t="s">
        <v>895</v>
      </c>
      <c r="F96" s="5">
        <v>0</v>
      </c>
      <c r="G96" s="7" t="s">
        <v>896</v>
      </c>
    </row>
    <row r="97" spans="1:7" x14ac:dyDescent="0.25">
      <c r="A97" s="7" t="s">
        <v>458</v>
      </c>
      <c r="B97" s="14" t="str">
        <f>TRIM(VLOOKUP($A97,'1. Calculo PERT'!$A:$C,3,FALSE()))</f>
        <v>Construir canalizaciones y ducteria en los Tramos 1-2</v>
      </c>
      <c r="C97" s="7" t="s">
        <v>385</v>
      </c>
      <c r="D97" s="14" t="str">
        <f>TRIM(VLOOKUP($C97,'1. Calculo PERT'!$A:$C,3,FALSE()))</f>
        <v>Excavar la zanja para redes en el Tramo 1</v>
      </c>
      <c r="E97" s="5" t="s">
        <v>895</v>
      </c>
      <c r="F97" s="5">
        <v>0</v>
      </c>
      <c r="G97" s="7" t="s">
        <v>896</v>
      </c>
    </row>
    <row r="98" spans="1:7" x14ac:dyDescent="0.25">
      <c r="A98" s="7" t="s">
        <v>396</v>
      </c>
      <c r="B98" s="14" t="str">
        <f>TRIM(VLOOKUP($A98,'1. Calculo PERT'!$A:$C,3,FALSE()))</f>
        <v>Instalar alcantarillado pluvial y sanitario en el Tramo 1</v>
      </c>
      <c r="C98" s="7" t="s">
        <v>385</v>
      </c>
      <c r="D98" s="14" t="str">
        <f>TRIM(VLOOKUP($C98,'1. Calculo PERT'!$A:$C,3,FALSE()))</f>
        <v>Excavar la zanja para redes en el Tramo 1</v>
      </c>
      <c r="E98" s="5" t="s">
        <v>895</v>
      </c>
      <c r="F98" s="5">
        <v>0</v>
      </c>
      <c r="G98" s="7" t="s">
        <v>896</v>
      </c>
    </row>
    <row r="99" spans="1:7" x14ac:dyDescent="0.25">
      <c r="A99" s="7" t="s">
        <v>409</v>
      </c>
      <c r="B99" s="14" t="str">
        <f>TRIM(VLOOKUP($A99,'1. Calculo PERT'!$A:$C,3,FALSE()))</f>
        <v>Instalar la red de acueducto en los Tramos 1-2</v>
      </c>
      <c r="C99" s="7" t="s">
        <v>385</v>
      </c>
      <c r="D99" s="14" t="str">
        <f>TRIM(VLOOKUP($C99,'1. Calculo PERT'!$A:$C,3,FALSE()))</f>
        <v>Excavar la zanja para redes en el Tramo 1</v>
      </c>
      <c r="E99" s="5" t="s">
        <v>895</v>
      </c>
      <c r="F99" s="5">
        <v>0</v>
      </c>
      <c r="G99" s="7" t="s">
        <v>896</v>
      </c>
    </row>
    <row r="100" spans="1:7" x14ac:dyDescent="0.25">
      <c r="A100" s="7" t="s">
        <v>576</v>
      </c>
      <c r="B100" s="14" t="str">
        <f>TRIM(VLOOKUP($A100,'1. Calculo PERT'!$A:$C,3,FALSE()))</f>
        <v>Excavar y cimentar las bases de los postes semaforicos</v>
      </c>
      <c r="C100" s="7" t="s">
        <v>385</v>
      </c>
      <c r="D100" s="14" t="str">
        <f>TRIM(VLOOKUP($C100,'1. Calculo PERT'!$A:$C,3,FALSE()))</f>
        <v>Excavar la zanja para redes en el Tramo 1</v>
      </c>
      <c r="E100" s="5" t="s">
        <v>895</v>
      </c>
      <c r="F100" s="5">
        <v>0</v>
      </c>
      <c r="G100" s="7" t="s">
        <v>896</v>
      </c>
    </row>
    <row r="101" spans="1:7" x14ac:dyDescent="0.25">
      <c r="A101" s="7" t="s">
        <v>445</v>
      </c>
      <c r="B101" s="14" t="str">
        <f>TRIM(VLOOKUP($A101,'1. Calculo PERT'!$A:$C,3,FALSE()))</f>
        <v>Manejar aguas y bombear durante la excavacion de redes</v>
      </c>
      <c r="C101" s="7" t="s">
        <v>391</v>
      </c>
      <c r="D101" s="14" t="str">
        <f>TRIM(VLOOKUP($C101,'1. Calculo PERT'!$A:$C,3,FALSE()))</f>
        <v>Excavar la zanja para redes en los Tramos 2-3</v>
      </c>
      <c r="E101" s="5" t="s">
        <v>897</v>
      </c>
      <c r="F101" s="5">
        <v>2</v>
      </c>
      <c r="G101" s="7" t="s">
        <v>900</v>
      </c>
    </row>
    <row r="102" spans="1:7" x14ac:dyDescent="0.25">
      <c r="A102" s="7" t="s">
        <v>462</v>
      </c>
      <c r="B102" s="14" t="str">
        <f>TRIM(VLOOKUP($A102,'1. Calculo PERT'!$A:$C,3,FALSE()))</f>
        <v>Construir canalizaciones y ducteria en el Tramo 3</v>
      </c>
      <c r="C102" s="7" t="s">
        <v>458</v>
      </c>
      <c r="D102" s="14" t="str">
        <f>TRIM(VLOOKUP($C102,'1. Calculo PERT'!$A:$C,3,FALSE()))</f>
        <v>Construir canalizaciones y ducteria en los Tramos 1-2</v>
      </c>
      <c r="E102" s="5" t="s">
        <v>895</v>
      </c>
      <c r="F102" s="5">
        <v>0</v>
      </c>
      <c r="G102" s="7" t="s">
        <v>896</v>
      </c>
    </row>
    <row r="103" spans="1:7" x14ac:dyDescent="0.25">
      <c r="A103" s="7" t="s">
        <v>432</v>
      </c>
      <c r="B103" s="14" t="str">
        <f>TRIM(VLOOKUP($A103,'1. Calculo PERT'!$A:$C,3,FALSE()))</f>
        <v>Construir pozos de inspeccion y conexiones domiciliarias del Tramo 1</v>
      </c>
      <c r="C103" s="7" t="s">
        <v>396</v>
      </c>
      <c r="D103" s="14" t="str">
        <f>TRIM(VLOOKUP($C103,'1. Calculo PERT'!$A:$C,3,FALSE()))</f>
        <v>Instalar alcantarillado pluvial y sanitario en el Tramo 1</v>
      </c>
      <c r="E103" s="5" t="s">
        <v>895</v>
      </c>
      <c r="F103" s="5">
        <v>0</v>
      </c>
      <c r="G103" s="7" t="s">
        <v>896</v>
      </c>
    </row>
    <row r="104" spans="1:7" x14ac:dyDescent="0.25">
      <c r="A104" s="7" t="s">
        <v>412</v>
      </c>
      <c r="B104" s="14" t="str">
        <f>TRIM(VLOOKUP($A104,'1. Calculo PERT'!$A:$C,3,FALSE()))</f>
        <v>Instalar la red de acueducto en el Tramo 3 y accesorios</v>
      </c>
      <c r="C104" s="7" t="s">
        <v>409</v>
      </c>
      <c r="D104" s="14" t="str">
        <f>TRIM(VLOOKUP($C104,'1. Calculo PERT'!$A:$C,3,FALSE()))</f>
        <v>Instalar la red de acueducto en los Tramos 1-2</v>
      </c>
      <c r="E104" s="5" t="s">
        <v>895</v>
      </c>
      <c r="F104" s="5">
        <v>0</v>
      </c>
      <c r="G104" s="7" t="s">
        <v>896</v>
      </c>
    </row>
    <row r="105" spans="1:7" x14ac:dyDescent="0.25">
      <c r="A105" s="7" t="s">
        <v>399</v>
      </c>
      <c r="B105" s="14" t="str">
        <f>TRIM(VLOOKUP($A105,'1. Calculo PERT'!$A:$C,3,FALSE()))</f>
        <v>Instalar alcantarillado pluvial y sanitario en el Tramo 2</v>
      </c>
      <c r="C105" s="7" t="s">
        <v>391</v>
      </c>
      <c r="D105" s="14" t="str">
        <f>TRIM(VLOOKUP($C105,'1. Calculo PERT'!$A:$C,3,FALSE()))</f>
        <v>Excavar la zanja para redes en los Tramos 2-3</v>
      </c>
      <c r="E105" s="5" t="s">
        <v>895</v>
      </c>
      <c r="F105" s="5">
        <v>0</v>
      </c>
      <c r="G105" s="7" t="s">
        <v>896</v>
      </c>
    </row>
    <row r="106" spans="1:7" x14ac:dyDescent="0.25">
      <c r="A106" s="7" t="s">
        <v>399</v>
      </c>
      <c r="B106" s="14" t="str">
        <f>TRIM(VLOOKUP($A106,'1. Calculo PERT'!$A:$C,3,FALSE()))</f>
        <v>Instalar alcantarillado pluvial y sanitario en el Tramo 2</v>
      </c>
      <c r="C106" s="7" t="s">
        <v>396</v>
      </c>
      <c r="D106" s="14" t="str">
        <f>TRIM(VLOOKUP($C106,'1. Calculo PERT'!$A:$C,3,FALSE()))</f>
        <v>Instalar alcantarillado pluvial y sanitario en el Tramo 1</v>
      </c>
      <c r="E106" s="5" t="s">
        <v>895</v>
      </c>
      <c r="F106" s="5">
        <v>0</v>
      </c>
      <c r="G106" s="7" t="s">
        <v>896</v>
      </c>
    </row>
    <row r="107" spans="1:7" x14ac:dyDescent="0.25">
      <c r="A107" s="7" t="s">
        <v>580</v>
      </c>
      <c r="B107" s="14" t="str">
        <f>TRIM(VLOOKUP($A107,'1. Calculo PERT'!$A:$C,3,FALSE()))</f>
        <v>Fundir los dados de cimentacion en concreto reforzado</v>
      </c>
      <c r="C107" s="7" t="s">
        <v>576</v>
      </c>
      <c r="D107" s="14" t="str">
        <f>TRIM(VLOOKUP($C107,'1. Calculo PERT'!$A:$C,3,FALSE()))</f>
        <v>Excavar y cimentar las bases de los postes semaforicos</v>
      </c>
      <c r="E107" s="5" t="s">
        <v>895</v>
      </c>
      <c r="F107" s="5">
        <v>0</v>
      </c>
      <c r="G107" s="7" t="s">
        <v>896</v>
      </c>
    </row>
    <row r="108" spans="1:7" x14ac:dyDescent="0.25">
      <c r="A108" s="7" t="s">
        <v>472</v>
      </c>
      <c r="B108" s="14" t="str">
        <f>TRIM(VLOOKUP($A108,'1. Calculo PERT'!$A:$C,3,FALSE()))</f>
        <v>Tender las redes de gas y telecomunicaciones</v>
      </c>
      <c r="C108" s="7" t="s">
        <v>462</v>
      </c>
      <c r="D108" s="14" t="str">
        <f>TRIM(VLOOKUP($C108,'1. Calculo PERT'!$A:$C,3,FALSE()))</f>
        <v>Construir canalizaciones y ducteria en el Tramo 3</v>
      </c>
      <c r="E108" s="5" t="s">
        <v>895</v>
      </c>
      <c r="F108" s="5">
        <v>0</v>
      </c>
      <c r="G108" s="7" t="s">
        <v>896</v>
      </c>
    </row>
    <row r="109" spans="1:7" x14ac:dyDescent="0.25">
      <c r="A109" s="7" t="s">
        <v>467</v>
      </c>
      <c r="B109" s="14" t="str">
        <f>TRIM(VLOOKUP($A109,'1. Calculo PERT'!$A:$C,3,FALSE()))</f>
        <v>Tender y trasladar las redes electricas (Enel-Codensa)</v>
      </c>
      <c r="C109" s="7" t="s">
        <v>462</v>
      </c>
      <c r="D109" s="14" t="str">
        <f>TRIM(VLOOKUP($C109,'1. Calculo PERT'!$A:$C,3,FALSE()))</f>
        <v>Construir canalizaciones y ducteria en el Tramo 3</v>
      </c>
      <c r="E109" s="5" t="s">
        <v>895</v>
      </c>
      <c r="F109" s="5">
        <v>0</v>
      </c>
      <c r="G109" s="7" t="s">
        <v>896</v>
      </c>
    </row>
    <row r="110" spans="1:7" x14ac:dyDescent="0.25">
      <c r="A110" s="7" t="s">
        <v>437</v>
      </c>
      <c r="B110" s="14" t="str">
        <f>TRIM(VLOOKUP($A110,'1. Calculo PERT'!$A:$C,3,FALSE()))</f>
        <v>Construir pozos de inspeccion y conexiones domiciliarias del Tramo 2</v>
      </c>
      <c r="C110" s="7" t="s">
        <v>399</v>
      </c>
      <c r="D110" s="14" t="str">
        <f>TRIM(VLOOKUP($C110,'1. Calculo PERT'!$A:$C,3,FALSE()))</f>
        <v>Instalar alcantarillado pluvial y sanitario en el Tramo 2</v>
      </c>
      <c r="E110" s="5" t="s">
        <v>895</v>
      </c>
      <c r="F110" s="5">
        <v>0</v>
      </c>
      <c r="G110" s="7" t="s">
        <v>896</v>
      </c>
    </row>
    <row r="111" spans="1:7" x14ac:dyDescent="0.25">
      <c r="A111" s="7" t="s">
        <v>404</v>
      </c>
      <c r="B111" s="14" t="str">
        <f>TRIM(VLOOKUP($A111,'1. Calculo PERT'!$A:$C,3,FALSE()))</f>
        <v>Instalar alcantarillado pluvial y sanitario en el Tramo 3</v>
      </c>
      <c r="C111" s="7" t="s">
        <v>399</v>
      </c>
      <c r="D111" s="14" t="str">
        <f>TRIM(VLOOKUP($C111,'1. Calculo PERT'!$A:$C,3,FALSE()))</f>
        <v>Instalar alcantarillado pluvial y sanitario en el Tramo 2</v>
      </c>
      <c r="E111" s="5" t="s">
        <v>895</v>
      </c>
      <c r="F111" s="5">
        <v>0</v>
      </c>
      <c r="G111" s="7" t="s">
        <v>896</v>
      </c>
    </row>
    <row r="112" spans="1:7" x14ac:dyDescent="0.25">
      <c r="A112" s="7" t="s">
        <v>603</v>
      </c>
      <c r="B112" s="14" t="str">
        <f>TRIM(VLOOKUP($A112,'1. Calculo PERT'!$A:$C,3,FALSE()))</f>
        <v>Construir obras de proteccion y drenaje de las cimentaciones</v>
      </c>
      <c r="C112" s="7" t="s">
        <v>580</v>
      </c>
      <c r="D112" s="14" t="str">
        <f>TRIM(VLOOKUP($C112,'1. Calculo PERT'!$A:$C,3,FALSE()))</f>
        <v>Fundir los dados de cimentacion en concreto reforzado</v>
      </c>
      <c r="E112" s="5" t="s">
        <v>895</v>
      </c>
      <c r="F112" s="5">
        <v>0</v>
      </c>
      <c r="G112" s="7" t="s">
        <v>896</v>
      </c>
    </row>
    <row r="113" spans="1:7" x14ac:dyDescent="0.25">
      <c r="A113" s="7" t="s">
        <v>585</v>
      </c>
      <c r="B113" s="14" t="str">
        <f>TRIM(VLOOKUP($A113,'1. Calculo PERT'!$A:$C,3,FALSE()))</f>
        <v>Montar postes y mensulas estructurales de semaforos</v>
      </c>
      <c r="C113" s="7" t="s">
        <v>580</v>
      </c>
      <c r="D113" s="14" t="str">
        <f>TRIM(VLOOKUP($C113,'1. Calculo PERT'!$A:$C,3,FALSE()))</f>
        <v>Fundir los dados de cimentacion en concreto reforzado</v>
      </c>
      <c r="E113" s="5" t="s">
        <v>895</v>
      </c>
      <c r="F113" s="5">
        <v>0</v>
      </c>
      <c r="G113" s="7" t="s">
        <v>896</v>
      </c>
    </row>
    <row r="114" spans="1:7" x14ac:dyDescent="0.25">
      <c r="A114" s="7" t="s">
        <v>475</v>
      </c>
      <c r="B114" s="14" t="str">
        <f>TRIM(VLOOKUP($A114,'1. Calculo PERT'!$A:$C,3,FALSE()))</f>
        <v>Construir camaras y camaretas</v>
      </c>
      <c r="C114" s="7" t="s">
        <v>472</v>
      </c>
      <c r="D114" s="14" t="str">
        <f>TRIM(VLOOKUP($C114,'1. Calculo PERT'!$A:$C,3,FALSE()))</f>
        <v>Tender las redes de gas y telecomunicaciones</v>
      </c>
      <c r="E114" s="5" t="s">
        <v>895</v>
      </c>
      <c r="F114" s="5">
        <v>0</v>
      </c>
      <c r="G114" s="7" t="s">
        <v>896</v>
      </c>
    </row>
    <row r="115" spans="1:7" x14ac:dyDescent="0.25">
      <c r="A115" s="7" t="s">
        <v>475</v>
      </c>
      <c r="B115" s="14" t="str">
        <f>TRIM(VLOOKUP($A115,'1. Calculo PERT'!$A:$C,3,FALSE()))</f>
        <v>Construir camaras y camaretas</v>
      </c>
      <c r="C115" s="7" t="s">
        <v>467</v>
      </c>
      <c r="D115" s="14" t="str">
        <f>TRIM(VLOOKUP($C115,'1. Calculo PERT'!$A:$C,3,FALSE()))</f>
        <v>Tender y trasladar las redes electricas (Enel-Codensa)</v>
      </c>
      <c r="E115" s="5" t="s">
        <v>895</v>
      </c>
      <c r="F115" s="5">
        <v>0</v>
      </c>
      <c r="G115" s="7" t="s">
        <v>896</v>
      </c>
    </row>
    <row r="116" spans="1:7" x14ac:dyDescent="0.25">
      <c r="A116" s="7" t="s">
        <v>450</v>
      </c>
      <c r="B116" s="14" t="str">
        <f>TRIM(VLOOKUP($A116,'1. Calculo PERT'!$A:$C,3,FALSE()))</f>
        <v>Construir anclajes y atraques de tuberia</v>
      </c>
      <c r="C116" s="7" t="s">
        <v>404</v>
      </c>
      <c r="D116" s="14" t="str">
        <f>TRIM(VLOOKUP($C116,'1. Calculo PERT'!$A:$C,3,FALSE()))</f>
        <v>Instalar alcantarillado pluvial y sanitario en el Tramo 3</v>
      </c>
      <c r="E116" s="5" t="s">
        <v>901</v>
      </c>
      <c r="F116" s="5">
        <v>0</v>
      </c>
      <c r="G116" s="7" t="s">
        <v>902</v>
      </c>
    </row>
    <row r="117" spans="1:7" x14ac:dyDescent="0.25">
      <c r="A117" s="7" t="s">
        <v>488</v>
      </c>
      <c r="B117" s="14" t="str">
        <f>TRIM(VLOOKUP($A117,'1. Calculo PERT'!$A:$C,3,FALSE()))</f>
        <v>Ejecutar pruebas de continuidad y aislamiento electrico</v>
      </c>
      <c r="C117" s="7" t="s">
        <v>475</v>
      </c>
      <c r="D117" s="14" t="str">
        <f>TRIM(VLOOKUP($C117,'1. Calculo PERT'!$A:$C,3,FALSE()))</f>
        <v>Construir camaras y camaretas</v>
      </c>
      <c r="E117" s="5" t="s">
        <v>895</v>
      </c>
      <c r="F117" s="5">
        <v>0</v>
      </c>
      <c r="G117" s="7" t="s">
        <v>896</v>
      </c>
    </row>
    <row r="118" spans="1:7" x14ac:dyDescent="0.25">
      <c r="A118" s="7" t="s">
        <v>485</v>
      </c>
      <c r="B118" s="14" t="str">
        <f>TRIM(VLOOKUP($A118,'1. Calculo PERT'!$A:$C,3,FALSE()))</f>
        <v>Instalar protecciones, sellos cortafuego y senalizacion de redes</v>
      </c>
      <c r="C118" s="7" t="s">
        <v>475</v>
      </c>
      <c r="D118" s="14" t="str">
        <f>TRIM(VLOOKUP($C118,'1. Calculo PERT'!$A:$C,3,FALSE()))</f>
        <v>Construir camaras y camaretas</v>
      </c>
      <c r="E118" s="5" t="s">
        <v>895</v>
      </c>
      <c r="F118" s="5">
        <v>0</v>
      </c>
      <c r="G118" s="7" t="s">
        <v>896</v>
      </c>
    </row>
    <row r="119" spans="1:7" x14ac:dyDescent="0.25">
      <c r="A119" s="7" t="s">
        <v>480</v>
      </c>
      <c r="B119" s="14" t="str">
        <f>TRIM(VLOOKUP($A119,'1. Calculo PERT'!$A:$C,3,FALSE()))</f>
        <v>Empalmar y probar las redes secas</v>
      </c>
      <c r="C119" s="7" t="s">
        <v>475</v>
      </c>
      <c r="D119" s="14" t="str">
        <f>TRIM(VLOOKUP($C119,'1. Calculo PERT'!$A:$C,3,FALSE()))</f>
        <v>Construir camaras y camaretas</v>
      </c>
      <c r="E119" s="5" t="s">
        <v>895</v>
      </c>
      <c r="F119" s="5">
        <v>0</v>
      </c>
      <c r="G119" s="7" t="s">
        <v>896</v>
      </c>
    </row>
    <row r="120" spans="1:7" x14ac:dyDescent="0.25">
      <c r="A120" s="7" t="s">
        <v>440</v>
      </c>
      <c r="B120" s="14" t="str">
        <f>TRIM(VLOOKUP($A120,'1. Calculo PERT'!$A:$C,3,FALSE()))</f>
        <v>Instalar sumideros y rejillas de drenaje pluvial</v>
      </c>
      <c r="C120" s="7" t="s">
        <v>404</v>
      </c>
      <c r="D120" s="14" t="str">
        <f>TRIM(VLOOKUP($C120,'1. Calculo PERT'!$A:$C,3,FALSE()))</f>
        <v>Instalar alcantarillado pluvial y sanitario en el Tramo 3</v>
      </c>
      <c r="E120" s="5" t="s">
        <v>895</v>
      </c>
      <c r="F120" s="5">
        <v>0</v>
      </c>
      <c r="G120" s="7" t="s">
        <v>896</v>
      </c>
    </row>
    <row r="121" spans="1:7" x14ac:dyDescent="0.25">
      <c r="A121" s="7" t="s">
        <v>417</v>
      </c>
      <c r="B121" s="14" t="str">
        <f>TRIM(VLOOKUP($A121,'1. Calculo PERT'!$A:$C,3,FALSE()))</f>
        <v>Rellenar y compactar las zanjas</v>
      </c>
      <c r="C121" s="7" t="s">
        <v>412</v>
      </c>
      <c r="D121" s="14" t="str">
        <f>TRIM(VLOOKUP($C121,'1. Calculo PERT'!$A:$C,3,FALSE()))</f>
        <v>Instalar la red de acueducto en el Tramo 3 y accesorios</v>
      </c>
      <c r="E121" s="5" t="s">
        <v>895</v>
      </c>
      <c r="F121" s="5">
        <v>0</v>
      </c>
      <c r="G121" s="7" t="s">
        <v>896</v>
      </c>
    </row>
    <row r="122" spans="1:7" x14ac:dyDescent="0.25">
      <c r="A122" s="7" t="s">
        <v>417</v>
      </c>
      <c r="B122" s="14" t="str">
        <f>TRIM(VLOOKUP($A122,'1. Calculo PERT'!$A:$C,3,FALSE()))</f>
        <v>Rellenar y compactar las zanjas</v>
      </c>
      <c r="C122" s="7" t="s">
        <v>404</v>
      </c>
      <c r="D122" s="14" t="str">
        <f>TRIM(VLOOKUP($C122,'1. Calculo PERT'!$A:$C,3,FALSE()))</f>
        <v>Instalar alcantarillado pluvial y sanitario en el Tramo 3</v>
      </c>
      <c r="E122" s="5" t="s">
        <v>895</v>
      </c>
      <c r="F122" s="5">
        <v>0</v>
      </c>
      <c r="G122" s="7" t="s">
        <v>896</v>
      </c>
    </row>
    <row r="123" spans="1:7" x14ac:dyDescent="0.25">
      <c r="A123" s="7" t="s">
        <v>590</v>
      </c>
      <c r="B123" s="14" t="str">
        <f>TRIM(VLOOKUP($A123,'1. Calculo PERT'!$A:$C,3,FALSE()))</f>
        <v>Fundir pedestales y anclajes de los equipos semaforicos</v>
      </c>
      <c r="C123" s="7" t="s">
        <v>585</v>
      </c>
      <c r="D123" s="14" t="str">
        <f>TRIM(VLOOKUP($C123,'1. Calculo PERT'!$A:$C,3,FALSE()))</f>
        <v>Montar postes y mensulas estructurales de semaforos</v>
      </c>
      <c r="E123" s="5" t="s">
        <v>895</v>
      </c>
      <c r="F123" s="5">
        <v>0</v>
      </c>
      <c r="G123" s="7" t="s">
        <v>896</v>
      </c>
    </row>
    <row r="124" spans="1:7" x14ac:dyDescent="0.25">
      <c r="A124" s="7" t="s">
        <v>422</v>
      </c>
      <c r="B124" s="14" t="str">
        <f>TRIM(VLOOKUP($A124,'1. Calculo PERT'!$A:$C,3,FALSE()))</f>
        <v>Ejecutar pruebas hidraulicas y empalmar a la red existente</v>
      </c>
      <c r="C124" s="7" t="s">
        <v>417</v>
      </c>
      <c r="D124" s="14" t="str">
        <f>TRIM(VLOOKUP($C124,'1. Calculo PERT'!$A:$C,3,FALSE()))</f>
        <v>Rellenar y compactar las zanjas</v>
      </c>
      <c r="E124" s="5" t="s">
        <v>895</v>
      </c>
      <c r="F124" s="5">
        <v>0</v>
      </c>
      <c r="G124" s="7" t="s">
        <v>896</v>
      </c>
    </row>
    <row r="125" spans="1:7" x14ac:dyDescent="0.25">
      <c r="A125" s="7" t="s">
        <v>427</v>
      </c>
      <c r="B125" s="14" t="str">
        <f>TRIM(VLOOKUP($A125,'1. Calculo PERT'!$A:$C,3,FALSE()))</f>
        <v>Completar y entregar las redes humedas para revision de la EAAB</v>
      </c>
      <c r="C125" s="7" t="s">
        <v>422</v>
      </c>
      <c r="D125" s="14" t="str">
        <f>TRIM(VLOOKUP($C125,'1. Calculo PERT'!$A:$C,3,FALSE()))</f>
        <v>Ejecutar pruebas hidraulicas y empalmar a la red existente</v>
      </c>
      <c r="E125" s="5" t="s">
        <v>895</v>
      </c>
      <c r="F125" s="5">
        <v>0</v>
      </c>
      <c r="G125" s="7" t="s">
        <v>896</v>
      </c>
    </row>
    <row r="126" spans="1:7" x14ac:dyDescent="0.25">
      <c r="A126" s="7" t="s">
        <v>595</v>
      </c>
      <c r="B126" s="14" t="str">
        <f>TRIM(VLOOKUP($A126,'1. Calculo PERT'!$A:$C,3,FALSE()))</f>
        <v>Ejecutar pruebas de carga y verticalidad de los postes</v>
      </c>
      <c r="C126" s="7" t="s">
        <v>590</v>
      </c>
      <c r="D126" s="14" t="str">
        <f>TRIM(VLOOKUP($C126,'1. Calculo PERT'!$A:$C,3,FALSE()))</f>
        <v>Fundir pedestales y anclajes de los equipos semaforicos</v>
      </c>
      <c r="E126" s="5" t="s">
        <v>895</v>
      </c>
      <c r="F126" s="5">
        <v>0</v>
      </c>
      <c r="G126" s="7" t="s">
        <v>896</v>
      </c>
    </row>
    <row r="127" spans="1:7" x14ac:dyDescent="0.25">
      <c r="A127" s="7" t="s">
        <v>600</v>
      </c>
      <c r="B127" s="14" t="str">
        <f>TRIM(VLOOKUP($A127,'1. Calculo PERT'!$A:$C,3,FALSE()))</f>
        <v>Instalar pernos de anclaje, placas base y herrajes</v>
      </c>
      <c r="C127" s="7" t="s">
        <v>590</v>
      </c>
      <c r="D127" s="14" t="str">
        <f>TRIM(VLOOKUP($C127,'1. Calculo PERT'!$A:$C,3,FALSE()))</f>
        <v>Fundir pedestales y anclajes de los equipos semaforicos</v>
      </c>
      <c r="E127" s="5" t="s">
        <v>895</v>
      </c>
      <c r="F127" s="5">
        <v>0</v>
      </c>
      <c r="G127" s="7" t="s">
        <v>896</v>
      </c>
    </row>
    <row r="128" spans="1:7" x14ac:dyDescent="0.25">
      <c r="A128" s="7" t="s">
        <v>496</v>
      </c>
      <c r="B128" s="14" t="str">
        <f>TRIM(VLOOKUP($A128,'1. Calculo PERT'!$A:$C,3,FALSE()))</f>
        <v>Descapotar y excavar la explanacion en los Tramos 1-2</v>
      </c>
      <c r="C128" s="7" t="s">
        <v>480</v>
      </c>
      <c r="D128" s="14" t="str">
        <f>TRIM(VLOOKUP($C128,'1. Calculo PERT'!$A:$C,3,FALSE()))</f>
        <v>Empalmar y probar las redes secas</v>
      </c>
      <c r="E128" s="5" t="s">
        <v>895</v>
      </c>
      <c r="F128" s="5">
        <v>0</v>
      </c>
      <c r="G128" s="7" t="s">
        <v>896</v>
      </c>
    </row>
    <row r="129" spans="1:7" x14ac:dyDescent="0.25">
      <c r="A129" s="7" t="s">
        <v>496</v>
      </c>
      <c r="B129" s="14" t="str">
        <f>TRIM(VLOOKUP($A129,'1. Calculo PERT'!$A:$C,3,FALSE()))</f>
        <v>Descapotar y excavar la explanacion en los Tramos 1-2</v>
      </c>
      <c r="C129" s="7" t="s">
        <v>427</v>
      </c>
      <c r="D129" s="14" t="str">
        <f>TRIM(VLOOKUP($C129,'1. Calculo PERT'!$A:$C,3,FALSE()))</f>
        <v>Completar y entregar las redes humedas para revision de la EAAB</v>
      </c>
      <c r="E129" s="5" t="s">
        <v>895</v>
      </c>
      <c r="F129" s="5">
        <v>0</v>
      </c>
      <c r="G129" s="7" t="s">
        <v>896</v>
      </c>
    </row>
    <row r="130" spans="1:7" x14ac:dyDescent="0.25">
      <c r="A130" s="7" t="s">
        <v>502</v>
      </c>
      <c r="B130" s="14" t="str">
        <f>TRIM(VLOOKUP($A130,'1. Calculo PERT'!$A:$C,3,FALSE()))</f>
        <v>Descapotar y excavar la explanacion en el Tramo 3</v>
      </c>
      <c r="C130" s="7" t="s">
        <v>496</v>
      </c>
      <c r="D130" s="14" t="str">
        <f>TRIM(VLOOKUP($C130,'1. Calculo PERT'!$A:$C,3,FALSE()))</f>
        <v>Descapotar y excavar la explanacion en los Tramos 1-2</v>
      </c>
      <c r="E130" s="5" t="s">
        <v>895</v>
      </c>
      <c r="F130" s="5">
        <v>0</v>
      </c>
      <c r="G130" s="7" t="s">
        <v>896</v>
      </c>
    </row>
    <row r="131" spans="1:7" x14ac:dyDescent="0.25">
      <c r="A131" s="7" t="s">
        <v>507</v>
      </c>
      <c r="B131" s="14" t="str">
        <f>TRIM(VLOOKUP($A131,'1. Calculo PERT'!$A:$C,3,FALSE()))</f>
        <v>Conformar y estabilizar la subrasante en los Tramos 1-2</v>
      </c>
      <c r="C131" s="7" t="s">
        <v>496</v>
      </c>
      <c r="D131" s="14" t="str">
        <f>TRIM(VLOOKUP($C131,'1. Calculo PERT'!$A:$C,3,FALSE()))</f>
        <v>Descapotar y excavar la explanacion en los Tramos 1-2</v>
      </c>
      <c r="E131" s="5" t="s">
        <v>895</v>
      </c>
      <c r="F131" s="5">
        <v>0</v>
      </c>
      <c r="G131" s="7" t="s">
        <v>896</v>
      </c>
    </row>
    <row r="132" spans="1:7" x14ac:dyDescent="0.25">
      <c r="A132" s="7" t="s">
        <v>510</v>
      </c>
      <c r="B132" s="14" t="str">
        <f>TRIM(VLOOKUP($A132,'1. Calculo PERT'!$A:$C,3,FALSE()))</f>
        <v>Conformar y estabilizar la subrasante en el Tramo 3</v>
      </c>
      <c r="C132" s="7" t="s">
        <v>502</v>
      </c>
      <c r="D132" s="14" t="str">
        <f>TRIM(VLOOKUP($C132,'1. Calculo PERT'!$A:$C,3,FALSE()))</f>
        <v>Descapotar y excavar la explanacion en el Tramo 3</v>
      </c>
      <c r="E132" s="5" t="s">
        <v>895</v>
      </c>
      <c r="F132" s="5">
        <v>0</v>
      </c>
      <c r="G132" s="7" t="s">
        <v>896</v>
      </c>
    </row>
    <row r="133" spans="1:7" x14ac:dyDescent="0.25">
      <c r="A133" s="7" t="s">
        <v>510</v>
      </c>
      <c r="B133" s="14" t="str">
        <f>TRIM(VLOOKUP($A133,'1. Calculo PERT'!$A:$C,3,FALSE()))</f>
        <v>Conformar y estabilizar la subrasante en el Tramo 3</v>
      </c>
      <c r="C133" s="7" t="s">
        <v>507</v>
      </c>
      <c r="D133" s="14" t="str">
        <f>TRIM(VLOOKUP($C133,'1. Calculo PERT'!$A:$C,3,FALSE()))</f>
        <v>Conformar y estabilizar la subrasante en los Tramos 1-2</v>
      </c>
      <c r="E133" s="5" t="s">
        <v>895</v>
      </c>
      <c r="F133" s="5">
        <v>0</v>
      </c>
      <c r="G133" s="7" t="s">
        <v>896</v>
      </c>
    </row>
    <row r="134" spans="1:7" x14ac:dyDescent="0.25">
      <c r="A134" s="7" t="s">
        <v>515</v>
      </c>
      <c r="B134" s="14" t="str">
        <f>TRIM(VLOOKUP($A134,'1. Calculo PERT'!$A:$C,3,FALSE()))</f>
        <v>Extender y compactar la base granular BNE-1 en los Tramos 1-2</v>
      </c>
      <c r="C134" s="7" t="s">
        <v>507</v>
      </c>
      <c r="D134" s="14" t="str">
        <f>TRIM(VLOOKUP($C134,'1. Calculo PERT'!$A:$C,3,FALSE()))</f>
        <v>Conformar y estabilizar la subrasante en los Tramos 1-2</v>
      </c>
      <c r="E134" s="5" t="s">
        <v>895</v>
      </c>
      <c r="F134" s="5">
        <v>0</v>
      </c>
      <c r="G134" s="7" t="s">
        <v>896</v>
      </c>
    </row>
    <row r="135" spans="1:7" x14ac:dyDescent="0.25">
      <c r="A135" s="7" t="s">
        <v>530</v>
      </c>
      <c r="B135" s="14" t="str">
        <f>TRIM(VLOOKUP($A135,'1. Calculo PERT'!$A:$C,3,FALSE()))</f>
        <v>Extender y compactar la subbase granular SBG en los Tramos 1-2</v>
      </c>
      <c r="C135" s="7" t="s">
        <v>510</v>
      </c>
      <c r="D135" s="14" t="str">
        <f>TRIM(VLOOKUP($C135,'1. Calculo PERT'!$A:$C,3,FALSE()))</f>
        <v>Conformar y estabilizar la subrasante en el Tramo 3</v>
      </c>
      <c r="E135" s="5" t="s">
        <v>895</v>
      </c>
      <c r="F135" s="5">
        <v>0</v>
      </c>
      <c r="G135" s="7" t="s">
        <v>896</v>
      </c>
    </row>
    <row r="136" spans="1:7" x14ac:dyDescent="0.25">
      <c r="A136" s="7" t="s">
        <v>520</v>
      </c>
      <c r="B136" s="14" t="str">
        <f>TRIM(VLOOKUP($A136,'1. Calculo PERT'!$A:$C,3,FALSE()))</f>
        <v>Extender y compactar la base granular BNE-1 en el Tramo 3</v>
      </c>
      <c r="C136" s="7" t="s">
        <v>510</v>
      </c>
      <c r="D136" s="14" t="str">
        <f>TRIM(VLOOKUP($C136,'1. Calculo PERT'!$A:$C,3,FALSE()))</f>
        <v>Conformar y estabilizar la subrasante en el Tramo 3</v>
      </c>
      <c r="E136" s="5" t="s">
        <v>895</v>
      </c>
      <c r="F136" s="5">
        <v>0</v>
      </c>
      <c r="G136" s="7" t="s">
        <v>896</v>
      </c>
    </row>
    <row r="137" spans="1:7" x14ac:dyDescent="0.25">
      <c r="A137" s="7" t="s">
        <v>520</v>
      </c>
      <c r="B137" s="14" t="str">
        <f>TRIM(VLOOKUP($A137,'1. Calculo PERT'!$A:$C,3,FALSE()))</f>
        <v>Extender y compactar la base granular BNE-1 en el Tramo 3</v>
      </c>
      <c r="C137" s="7" t="s">
        <v>515</v>
      </c>
      <c r="D137" s="14" t="str">
        <f>TRIM(VLOOKUP($C137,'1. Calculo PERT'!$A:$C,3,FALSE()))</f>
        <v>Extender y compactar la base granular BNE-1 en los Tramos 1-2</v>
      </c>
      <c r="E137" s="5" t="s">
        <v>895</v>
      </c>
      <c r="F137" s="5">
        <v>0</v>
      </c>
      <c r="G137" s="7" t="s">
        <v>896</v>
      </c>
    </row>
    <row r="138" spans="1:7" x14ac:dyDescent="0.25">
      <c r="A138" s="7" t="s">
        <v>535</v>
      </c>
      <c r="B138" s="14" t="str">
        <f>TRIM(VLOOKUP($A138,'1. Calculo PERT'!$A:$C,3,FALSE()))</f>
        <v>Extender y compactar la subbase granular SBG en el Tramo 3</v>
      </c>
      <c r="C138" s="7" t="s">
        <v>530</v>
      </c>
      <c r="D138" s="14" t="str">
        <f>TRIM(VLOOKUP($C138,'1. Calculo PERT'!$A:$C,3,FALSE()))</f>
        <v>Extender y compactar la subbase granular SBG en los Tramos 1-2</v>
      </c>
      <c r="E138" s="5" t="s">
        <v>895</v>
      </c>
      <c r="F138" s="5">
        <v>0</v>
      </c>
      <c r="G138" s="7" t="s">
        <v>896</v>
      </c>
    </row>
    <row r="139" spans="1:7" x14ac:dyDescent="0.25">
      <c r="A139" s="7" t="s">
        <v>525</v>
      </c>
      <c r="B139" s="14" t="str">
        <f>TRIM(VLOOKUP($A139,'1. Calculo PERT'!$A:$C,3,FALSE()))</f>
        <v>Ejecutar ensayos de densidad y aceptar la estructura</v>
      </c>
      <c r="C139" s="7" t="s">
        <v>520</v>
      </c>
      <c r="D139" s="14" t="str">
        <f>TRIM(VLOOKUP($C139,'1. Calculo PERT'!$A:$C,3,FALSE()))</f>
        <v>Extender y compactar la base granular BNE-1 en el Tramo 3</v>
      </c>
      <c r="E139" s="5" t="s">
        <v>895</v>
      </c>
      <c r="F139" s="5">
        <v>0</v>
      </c>
      <c r="G139" s="7" t="s">
        <v>896</v>
      </c>
    </row>
    <row r="140" spans="1:7" x14ac:dyDescent="0.25">
      <c r="A140" s="7" t="s">
        <v>540</v>
      </c>
      <c r="B140" s="14" t="str">
        <f>TRIM(VLOOKUP($A140,'1. Calculo PERT'!$A:$C,3,FALSE()))</f>
        <v>Conformar cunetas y obras de drenaje vial</v>
      </c>
      <c r="C140" s="7" t="s">
        <v>520</v>
      </c>
      <c r="D140" s="14" t="str">
        <f>TRIM(VLOOKUP($C140,'1. Calculo PERT'!$A:$C,3,FALSE()))</f>
        <v>Extender y compactar la base granular BNE-1 en el Tramo 3</v>
      </c>
      <c r="E140" s="5" t="s">
        <v>895</v>
      </c>
      <c r="F140" s="5">
        <v>0</v>
      </c>
      <c r="G140" s="7" t="s">
        <v>896</v>
      </c>
    </row>
    <row r="141" spans="1:7" x14ac:dyDescent="0.25">
      <c r="A141" s="7" t="s">
        <v>649</v>
      </c>
      <c r="B141" s="14" t="str">
        <f>TRIM(VLOOKUP($A141,'1. Calculo PERT'!$A:$C,3,FALSE()))</f>
        <v>Conformar la subbase de la ciclorruta</v>
      </c>
      <c r="C141" s="7" t="s">
        <v>520</v>
      </c>
      <c r="D141" s="14" t="str">
        <f>TRIM(VLOOKUP($C141,'1. Calculo PERT'!$A:$C,3,FALSE()))</f>
        <v>Extender y compactar la base granular BNE-1 en el Tramo 3</v>
      </c>
      <c r="E141" s="5" t="s">
        <v>895</v>
      </c>
      <c r="F141" s="5">
        <v>0</v>
      </c>
      <c r="G141" s="7" t="s">
        <v>896</v>
      </c>
    </row>
    <row r="142" spans="1:7" x14ac:dyDescent="0.25">
      <c r="A142" s="7" t="s">
        <v>611</v>
      </c>
      <c r="B142" s="14" t="str">
        <f>TRIM(VLOOKUP($A142,'1. Calculo PERT'!$A:$C,3,FALSE()))</f>
        <v>Conformar la base y solados de andenes en los Tramos 1-2</v>
      </c>
      <c r="C142" s="7" t="s">
        <v>520</v>
      </c>
      <c r="D142" s="14" t="str">
        <f>TRIM(VLOOKUP($C142,'1. Calculo PERT'!$A:$C,3,FALSE()))</f>
        <v>Extender y compactar la base granular BNE-1 en el Tramo 3</v>
      </c>
      <c r="E142" s="5" t="s">
        <v>895</v>
      </c>
      <c r="F142" s="5">
        <v>0</v>
      </c>
      <c r="G142" s="7" t="s">
        <v>896</v>
      </c>
    </row>
    <row r="143" spans="1:7" x14ac:dyDescent="0.25">
      <c r="A143" s="7" t="s">
        <v>546</v>
      </c>
      <c r="B143" s="14" t="str">
        <f>TRIM(VLOOKUP($A143,'1. Calculo PERT'!$A:$C,3,FALSE()))</f>
        <v>Imprimar y aplicar riego de liga sobre la base granular</v>
      </c>
      <c r="C143" s="7" t="s">
        <v>525</v>
      </c>
      <c r="D143" s="14" t="str">
        <f>TRIM(VLOOKUP($C143,'1. Calculo PERT'!$A:$C,3,FALSE()))</f>
        <v>Ejecutar ensayos de densidad y aceptar la estructura</v>
      </c>
      <c r="E143" s="5" t="s">
        <v>895</v>
      </c>
      <c r="F143" s="5">
        <v>0</v>
      </c>
      <c r="G143" s="7" t="s">
        <v>896</v>
      </c>
    </row>
    <row r="144" spans="1:7" x14ac:dyDescent="0.25">
      <c r="A144" s="7" t="s">
        <v>551</v>
      </c>
      <c r="B144" s="14" t="str">
        <f>TRIM(VLOOKUP($A144,'1. Calculo PERT'!$A:$C,3,FALSE()))</f>
        <v>Colocar la base asfaltica MDC-25</v>
      </c>
      <c r="C144" s="7" t="s">
        <v>546</v>
      </c>
      <c r="D144" s="14" t="str">
        <f>TRIM(VLOOKUP($C144,'1. Calculo PERT'!$A:$C,3,FALSE()))</f>
        <v>Imprimar y aplicar riego de liga sobre la base granular</v>
      </c>
      <c r="E144" s="5" t="s">
        <v>895</v>
      </c>
      <c r="F144" s="5">
        <v>0</v>
      </c>
      <c r="G144" s="7" t="s">
        <v>896</v>
      </c>
    </row>
    <row r="145" spans="1:7" x14ac:dyDescent="0.25">
      <c r="A145" s="7" t="s">
        <v>653</v>
      </c>
      <c r="B145" s="14" t="str">
        <f>TRIM(VLOOKUP($A145,'1. Calculo PERT'!$A:$C,3,FALSE()))</f>
        <v>Construir la carpeta de rodadura y demarcar la ciclorruta</v>
      </c>
      <c r="C145" s="7" t="s">
        <v>649</v>
      </c>
      <c r="D145" s="14" t="str">
        <f>TRIM(VLOOKUP($C145,'1. Calculo PERT'!$A:$C,3,FALSE()))</f>
        <v>Conformar la subbase de la ciclorruta</v>
      </c>
      <c r="E145" s="5" t="s">
        <v>895</v>
      </c>
      <c r="F145" s="5">
        <v>0</v>
      </c>
      <c r="G145" s="7" t="s">
        <v>896</v>
      </c>
    </row>
    <row r="146" spans="1:7" x14ac:dyDescent="0.25">
      <c r="A146" s="7" t="s">
        <v>615</v>
      </c>
      <c r="B146" s="14" t="str">
        <f>TRIM(VLOOKUP($A146,'1. Calculo PERT'!$A:$C,3,FALSE()))</f>
        <v>Conformar la base y solados de andenes en el Tramo 3</v>
      </c>
      <c r="C146" s="7" t="s">
        <v>611</v>
      </c>
      <c r="D146" s="14" t="str">
        <f>TRIM(VLOOKUP($C146,'1. Calculo PERT'!$A:$C,3,FALSE()))</f>
        <v>Conformar la base y solados de andenes en los Tramos 1-2</v>
      </c>
      <c r="E146" s="5" t="s">
        <v>895</v>
      </c>
      <c r="F146" s="5">
        <v>0</v>
      </c>
      <c r="G146" s="7" t="s">
        <v>896</v>
      </c>
    </row>
    <row r="147" spans="1:7" x14ac:dyDescent="0.25">
      <c r="A147" s="7" t="s">
        <v>620</v>
      </c>
      <c r="B147" s="14" t="str">
        <f>TRIM(VLOOKUP($A147,'1. Calculo PERT'!$A:$C,3,FALSE()))</f>
        <v>Instalar pisos y adoquines en los Tramos 1-2</v>
      </c>
      <c r="C147" s="7" t="s">
        <v>611</v>
      </c>
      <c r="D147" s="14" t="str">
        <f>TRIM(VLOOKUP($C147,'1. Calculo PERT'!$A:$C,3,FALSE()))</f>
        <v>Conformar la base y solados de andenes en los Tramos 1-2</v>
      </c>
      <c r="E147" s="5" t="s">
        <v>895</v>
      </c>
      <c r="F147" s="5">
        <v>0</v>
      </c>
      <c r="G147" s="7" t="s">
        <v>896</v>
      </c>
    </row>
    <row r="148" spans="1:7" x14ac:dyDescent="0.25">
      <c r="A148" s="7" t="s">
        <v>658</v>
      </c>
      <c r="B148" s="14" t="str">
        <f>TRIM(VLOOKUP($A148,'1. Calculo PERT'!$A:$C,3,FALSE()))</f>
        <v>Conectar y empalmar con la red de ciclorrutas</v>
      </c>
      <c r="C148" s="7" t="s">
        <v>653</v>
      </c>
      <c r="D148" s="14" t="str">
        <f>TRIM(VLOOKUP($C148,'1. Calculo PERT'!$A:$C,3,FALSE()))</f>
        <v>Construir la carpeta de rodadura y demarcar la ciclorruta</v>
      </c>
      <c r="E148" s="5" t="s">
        <v>895</v>
      </c>
      <c r="F148" s="5">
        <v>0</v>
      </c>
      <c r="G148" s="7" t="s">
        <v>896</v>
      </c>
    </row>
    <row r="149" spans="1:7" x14ac:dyDescent="0.25">
      <c r="A149" s="7" t="s">
        <v>556</v>
      </c>
      <c r="B149" s="14" t="str">
        <f>TRIM(VLOOKUP($A149,'1. Calculo PERT'!$A:$C,3,FALSE()))</f>
        <v>Colocar la capa de rodadura MDC-19 con GCR</v>
      </c>
      <c r="C149" s="7" t="s">
        <v>551</v>
      </c>
      <c r="D149" s="14" t="str">
        <f>TRIM(VLOOKUP($C149,'1. Calculo PERT'!$A:$C,3,FALSE()))</f>
        <v>Colocar la base asfaltica MDC-25</v>
      </c>
      <c r="E149" s="5" t="s">
        <v>895</v>
      </c>
      <c r="F149" s="5">
        <v>0</v>
      </c>
      <c r="G149" s="7" t="s">
        <v>896</v>
      </c>
    </row>
    <row r="150" spans="1:7" x14ac:dyDescent="0.25">
      <c r="A150" s="7" t="s">
        <v>685</v>
      </c>
      <c r="B150" s="14" t="str">
        <f>TRIM(VLOOKUP($A150,'1. Calculo PERT'!$A:$C,3,FALSE()))</f>
        <v>Construir y adecuar el separador central</v>
      </c>
      <c r="C150" s="7" t="s">
        <v>551</v>
      </c>
      <c r="D150" s="14" t="str">
        <f>TRIM(VLOOKUP($C150,'1. Calculo PERT'!$A:$C,3,FALSE()))</f>
        <v>Colocar la base asfaltica MDC-25</v>
      </c>
      <c r="E150" s="5" t="s">
        <v>895</v>
      </c>
      <c r="F150" s="5">
        <v>0</v>
      </c>
      <c r="G150" s="7" t="s">
        <v>896</v>
      </c>
    </row>
    <row r="151" spans="1:7" x14ac:dyDescent="0.25">
      <c r="A151" s="7" t="s">
        <v>663</v>
      </c>
      <c r="B151" s="14" t="str">
        <f>TRIM(VLOOKUP($A151,'1. Calculo PERT'!$A:$C,3,FALSE()))</f>
        <v>Instalar senalizacion y mobiliario de la ciclorruta</v>
      </c>
      <c r="C151" s="7" t="s">
        <v>658</v>
      </c>
      <c r="D151" s="14" t="str">
        <f>TRIM(VLOOKUP($C151,'1. Calculo PERT'!$A:$C,3,FALSE()))</f>
        <v>Conectar y empalmar con la red de ciclorrutas</v>
      </c>
      <c r="E151" s="5" t="s">
        <v>895</v>
      </c>
      <c r="F151" s="5">
        <v>0</v>
      </c>
      <c r="G151" s="7" t="s">
        <v>896</v>
      </c>
    </row>
    <row r="152" spans="1:7" x14ac:dyDescent="0.25">
      <c r="A152" s="7" t="s">
        <v>623</v>
      </c>
      <c r="B152" s="14" t="str">
        <f>TRIM(VLOOKUP($A152,'1. Calculo PERT'!$A:$C,3,FALSE()))</f>
        <v>Instalar pisos y adoquines en el Tramo 3</v>
      </c>
      <c r="C152" s="7" t="s">
        <v>615</v>
      </c>
      <c r="D152" s="14" t="str">
        <f>TRIM(VLOOKUP($C152,'1. Calculo PERT'!$A:$C,3,FALSE()))</f>
        <v>Conformar la base y solados de andenes en el Tramo 3</v>
      </c>
      <c r="E152" s="5" t="s">
        <v>895</v>
      </c>
      <c r="F152" s="5">
        <v>0</v>
      </c>
      <c r="G152" s="7" t="s">
        <v>896</v>
      </c>
    </row>
    <row r="153" spans="1:7" x14ac:dyDescent="0.25">
      <c r="A153" s="7" t="s">
        <v>623</v>
      </c>
      <c r="B153" s="14" t="str">
        <f>TRIM(VLOOKUP($A153,'1. Calculo PERT'!$A:$C,3,FALSE()))</f>
        <v>Instalar pisos y adoquines en el Tramo 3</v>
      </c>
      <c r="C153" s="7" t="s">
        <v>620</v>
      </c>
      <c r="D153" s="14" t="str">
        <f>TRIM(VLOOKUP($C153,'1. Calculo PERT'!$A:$C,3,FALSE()))</f>
        <v>Instalar pisos y adoquines en los Tramos 1-2</v>
      </c>
      <c r="E153" s="5" t="s">
        <v>895</v>
      </c>
      <c r="F153" s="5">
        <v>0</v>
      </c>
      <c r="G153" s="7" t="s">
        <v>896</v>
      </c>
    </row>
    <row r="154" spans="1:7" x14ac:dyDescent="0.25">
      <c r="A154" s="7" t="s">
        <v>675</v>
      </c>
      <c r="B154" s="14" t="str">
        <f>TRIM(VLOOKUP($A154,'1. Calculo PERT'!$A:$C,3,FALSE()))</f>
        <v>Instalar el mobiliario urbano</v>
      </c>
      <c r="C154" s="7" t="s">
        <v>620</v>
      </c>
      <c r="D154" s="14" t="str">
        <f>TRIM(VLOOKUP($C154,'1. Calculo PERT'!$A:$C,3,FALSE()))</f>
        <v>Instalar pisos y adoquines en los Tramos 1-2</v>
      </c>
      <c r="E154" s="5" t="s">
        <v>895</v>
      </c>
      <c r="F154" s="5">
        <v>0</v>
      </c>
      <c r="G154" s="7" t="s">
        <v>896</v>
      </c>
    </row>
    <row r="155" spans="1:7" x14ac:dyDescent="0.25">
      <c r="A155" s="7" t="s">
        <v>681</v>
      </c>
      <c r="B155" s="14" t="str">
        <f>TRIM(VLOOKUP($A155,'1. Calculo PERT'!$A:$C,3,FALSE()))</f>
        <v>Empradizar, ajardinar y arborizar</v>
      </c>
      <c r="C155" s="7" t="s">
        <v>620</v>
      </c>
      <c r="D155" s="14" t="str">
        <f>TRIM(VLOOKUP($C155,'1. Calculo PERT'!$A:$C,3,FALSE()))</f>
        <v>Instalar pisos y adoquines en los Tramos 1-2</v>
      </c>
      <c r="E155" s="5" t="s">
        <v>895</v>
      </c>
      <c r="F155" s="5">
        <v>0</v>
      </c>
      <c r="G155" s="7" t="s">
        <v>896</v>
      </c>
    </row>
    <row r="156" spans="1:7" x14ac:dyDescent="0.25">
      <c r="A156" s="7" t="s">
        <v>668</v>
      </c>
      <c r="B156" s="14" t="str">
        <f>TRIM(VLOOKUP($A156,'1. Calculo PERT'!$A:$C,3,FALSE()))</f>
        <v>Ejecutar pruebas de uso y entregar la ciclorruta</v>
      </c>
      <c r="C156" s="7" t="s">
        <v>663</v>
      </c>
      <c r="D156" s="14" t="str">
        <f>TRIM(VLOOKUP($C156,'1. Calculo PERT'!$A:$C,3,FALSE()))</f>
        <v>Instalar senalizacion y mobiliario de la ciclorruta</v>
      </c>
      <c r="E156" s="5" t="s">
        <v>895</v>
      </c>
      <c r="F156" s="5">
        <v>0</v>
      </c>
      <c r="G156" s="7" t="s">
        <v>896</v>
      </c>
    </row>
    <row r="157" spans="1:7" x14ac:dyDescent="0.25">
      <c r="A157" s="7" t="s">
        <v>699</v>
      </c>
      <c r="B157" s="14" t="str">
        <f>TRIM(VLOOKUP($A157,'1. Calculo PERT'!$A:$C,3,FALSE()))</f>
        <v>Instalar el sistema de riego de zonas verdes</v>
      </c>
      <c r="C157" s="7" t="s">
        <v>685</v>
      </c>
      <c r="D157" s="14" t="str">
        <f>TRIM(VLOOKUP($C157,'1. Calculo PERT'!$A:$C,3,FALSE()))</f>
        <v>Construir y adecuar el separador central</v>
      </c>
      <c r="E157" s="5" t="s">
        <v>895</v>
      </c>
      <c r="F157" s="5">
        <v>0</v>
      </c>
      <c r="G157" s="7" t="s">
        <v>896</v>
      </c>
    </row>
    <row r="158" spans="1:7" x14ac:dyDescent="0.25">
      <c r="A158" s="7" t="s">
        <v>561</v>
      </c>
      <c r="B158" s="14" t="str">
        <f>TRIM(VLOOKUP($A158,'1. Calculo PERT'!$A:$C,3,FALSE()))</f>
        <v>Ejecutar sello, juntas y control de calidad (Marshall)</v>
      </c>
      <c r="C158" s="7" t="s">
        <v>556</v>
      </c>
      <c r="D158" s="14" t="str">
        <f>TRIM(VLOOKUP($C158,'1. Calculo PERT'!$A:$C,3,FALSE()))</f>
        <v>Colocar la capa de rodadura MDC-19 con GCR</v>
      </c>
      <c r="E158" s="5" t="s">
        <v>895</v>
      </c>
      <c r="F158" s="5">
        <v>0</v>
      </c>
      <c r="G158" s="7" t="s">
        <v>896</v>
      </c>
    </row>
    <row r="159" spans="1:7" x14ac:dyDescent="0.25">
      <c r="A159" s="7" t="s">
        <v>689</v>
      </c>
      <c r="B159" s="14" t="str">
        <f>TRIM(VLOOKUP($A159,'1. Calculo PERT'!$A:$C,3,FALSE()))</f>
        <v>Ejecutar riego, sostenimiento y entrega de zonas verdes</v>
      </c>
      <c r="C159" s="7" t="s">
        <v>681</v>
      </c>
      <c r="D159" s="14" t="str">
        <f>TRIM(VLOOKUP($C159,'1. Calculo PERT'!$A:$C,3,FALSE()))</f>
        <v>Empradizar, ajardinar y arborizar</v>
      </c>
      <c r="E159" s="5" t="s">
        <v>897</v>
      </c>
      <c r="F159" s="5">
        <v>5</v>
      </c>
      <c r="G159" s="7" t="s">
        <v>903</v>
      </c>
    </row>
    <row r="160" spans="1:7" x14ac:dyDescent="0.25">
      <c r="A160" s="7" t="s">
        <v>628</v>
      </c>
      <c r="B160" s="14" t="str">
        <f>TRIM(VLOOKUP($A160,'1. Calculo PERT'!$A:$C,3,FALSE()))</f>
        <v>Instalar bordillos, sardineles y elementos de drenaje</v>
      </c>
      <c r="C160" s="7" t="s">
        <v>623</v>
      </c>
      <c r="D160" s="14" t="str">
        <f>TRIM(VLOOKUP($C160,'1. Calculo PERT'!$A:$C,3,FALSE()))</f>
        <v>Instalar pisos y adoquines en el Tramo 3</v>
      </c>
      <c r="E160" s="5" t="s">
        <v>895</v>
      </c>
      <c r="F160" s="5">
        <v>0</v>
      </c>
      <c r="G160" s="7" t="s">
        <v>896</v>
      </c>
    </row>
    <row r="161" spans="1:7" x14ac:dyDescent="0.25">
      <c r="A161" s="7" t="s">
        <v>566</v>
      </c>
      <c r="B161" s="14" t="str">
        <f>TRIM(VLOOKUP($A161,'1. Calculo PERT'!$A:$C,3,FALSE()))</f>
        <v>Demarcar provisionalmente y proteger la calzada</v>
      </c>
      <c r="C161" s="7" t="s">
        <v>561</v>
      </c>
      <c r="D161" s="14" t="str">
        <f>TRIM(VLOOKUP($C161,'1. Calculo PERT'!$A:$C,3,FALSE()))</f>
        <v>Ejecutar sello, juntas y control de calidad (Marshall)</v>
      </c>
      <c r="E161" s="5" t="s">
        <v>895</v>
      </c>
      <c r="F161" s="5">
        <v>0</v>
      </c>
      <c r="G161" s="7" t="s">
        <v>896</v>
      </c>
    </row>
    <row r="162" spans="1:7" x14ac:dyDescent="0.25">
      <c r="A162" s="7" t="s">
        <v>571</v>
      </c>
      <c r="B162" s="14" t="str">
        <f>TRIM(VLOOKUP($A162,'1. Calculo PERT'!$A:$C,3,FALSE()))</f>
        <v>Bachear y reparar fisuras</v>
      </c>
      <c r="C162" s="7" t="s">
        <v>561</v>
      </c>
      <c r="D162" s="14" t="str">
        <f>TRIM(VLOOKUP($C162,'1. Calculo PERT'!$A:$C,3,FALSE()))</f>
        <v>Ejecutar sello, juntas y control de calidad (Marshall)</v>
      </c>
      <c r="E162" s="5" t="s">
        <v>895</v>
      </c>
      <c r="F162" s="5">
        <v>0</v>
      </c>
      <c r="G162" s="7" t="s">
        <v>896</v>
      </c>
    </row>
    <row r="163" spans="1:7" x14ac:dyDescent="0.25">
      <c r="A163" s="7" t="s">
        <v>694</v>
      </c>
      <c r="B163" s="14" t="str">
        <f>TRIM(VLOOKUP($A163,'1. Calculo PERT'!$A:$C,3,FALSE()))</f>
        <v>Ejecutar arborizacion compensatoria y manejo silvicultural</v>
      </c>
      <c r="C163" s="7" t="s">
        <v>681</v>
      </c>
      <c r="D163" s="14" t="str">
        <f>TRIM(VLOOKUP($C163,'1. Calculo PERT'!$A:$C,3,FALSE()))</f>
        <v>Empradizar, ajardinar y arborizar</v>
      </c>
      <c r="E163" s="5" t="s">
        <v>895</v>
      </c>
      <c r="F163" s="5">
        <v>0</v>
      </c>
      <c r="G163" s="7" t="s">
        <v>896</v>
      </c>
    </row>
    <row r="164" spans="1:7" x14ac:dyDescent="0.25">
      <c r="A164" s="7" t="s">
        <v>643</v>
      </c>
      <c r="B164" s="14" t="str">
        <f>TRIM(VLOOKUP($A164,'1. Calculo PERT'!$A:$C,3,FALSE()))</f>
        <v>Instalar rejillas y registros en el anden</v>
      </c>
      <c r="C164" s="7" t="s">
        <v>628</v>
      </c>
      <c r="D164" s="14" t="str">
        <f>TRIM(VLOOKUP($C164,'1. Calculo PERT'!$A:$C,3,FALSE()))</f>
        <v>Instalar bordillos, sardineles y elementos de drenaje</v>
      </c>
      <c r="E164" s="5" t="s">
        <v>895</v>
      </c>
      <c r="F164" s="5">
        <v>0</v>
      </c>
      <c r="G164" s="7" t="s">
        <v>896</v>
      </c>
    </row>
    <row r="165" spans="1:7" x14ac:dyDescent="0.25">
      <c r="A165" s="7" t="s">
        <v>709</v>
      </c>
      <c r="B165" s="14" t="str">
        <f>TRIM(VLOOKUP($A165,'1. Calculo PERT'!$A:$C,3,FALSE()))</f>
        <v>Demarcar la senalizacion horizontal</v>
      </c>
      <c r="C165" s="7" t="s">
        <v>658</v>
      </c>
      <c r="D165" s="14" t="str">
        <f>TRIM(VLOOKUP($C165,'1. Calculo PERT'!$A:$C,3,FALSE()))</f>
        <v>Conectar y empalmar con la red de ciclorrutas</v>
      </c>
      <c r="E165" s="5" t="s">
        <v>895</v>
      </c>
      <c r="F165" s="5">
        <v>0</v>
      </c>
      <c r="G165" s="7" t="s">
        <v>896</v>
      </c>
    </row>
    <row r="166" spans="1:7" x14ac:dyDescent="0.25">
      <c r="A166" s="7" t="s">
        <v>709</v>
      </c>
      <c r="B166" s="14" t="str">
        <f>TRIM(VLOOKUP($A166,'1. Calculo PERT'!$A:$C,3,FALSE()))</f>
        <v>Demarcar la senalizacion horizontal</v>
      </c>
      <c r="C166" s="7" t="s">
        <v>561</v>
      </c>
      <c r="D166" s="14" t="str">
        <f>TRIM(VLOOKUP($C166,'1. Calculo PERT'!$A:$C,3,FALSE()))</f>
        <v>Ejecutar sello, juntas y control de calidad (Marshall)</v>
      </c>
      <c r="E166" s="5" t="s">
        <v>895</v>
      </c>
      <c r="F166" s="5">
        <v>0</v>
      </c>
      <c r="G166" s="7" t="s">
        <v>896</v>
      </c>
    </row>
    <row r="167" spans="1:7" x14ac:dyDescent="0.25">
      <c r="A167" s="7" t="s">
        <v>709</v>
      </c>
      <c r="B167" s="14" t="str">
        <f>TRIM(VLOOKUP($A167,'1. Calculo PERT'!$A:$C,3,FALSE()))</f>
        <v>Demarcar la senalizacion horizontal</v>
      </c>
      <c r="C167" s="7" t="s">
        <v>628</v>
      </c>
      <c r="D167" s="14" t="str">
        <f>TRIM(VLOOKUP($C167,'1. Calculo PERT'!$A:$C,3,FALSE()))</f>
        <v>Instalar bordillos, sardineles y elementos de drenaje</v>
      </c>
      <c r="E167" s="5" t="s">
        <v>895</v>
      </c>
      <c r="F167" s="5">
        <v>0</v>
      </c>
      <c r="G167" s="7" t="s">
        <v>896</v>
      </c>
    </row>
    <row r="168" spans="1:7" x14ac:dyDescent="0.25">
      <c r="A168" s="7" t="s">
        <v>633</v>
      </c>
      <c r="B168" s="14" t="str">
        <f>TRIM(VLOOKUP($A168,'1. Calculo PERT'!$A:$C,3,FALSE()))</f>
        <v>Construir rampas de accesibilidad y vados peatonales</v>
      </c>
      <c r="C168" s="7" t="s">
        <v>628</v>
      </c>
      <c r="D168" s="14" t="str">
        <f>TRIM(VLOOKUP($C168,'1. Calculo PERT'!$A:$C,3,FALSE()))</f>
        <v>Instalar bordillos, sardineles y elementos de drenaje</v>
      </c>
      <c r="E168" s="5" t="s">
        <v>895</v>
      </c>
      <c r="F168" s="5">
        <v>0</v>
      </c>
      <c r="G168" s="7" t="s">
        <v>896</v>
      </c>
    </row>
    <row r="169" spans="1:7" x14ac:dyDescent="0.25">
      <c r="A169" s="7" t="s">
        <v>715</v>
      </c>
      <c r="B169" s="14" t="str">
        <f>TRIM(VLOOKUP($A169,'1. Calculo PERT'!$A:$C,3,FALSE()))</f>
        <v>Instalar la senalizacion vertical</v>
      </c>
      <c r="C169" s="7" t="s">
        <v>709</v>
      </c>
      <c r="D169" s="14" t="str">
        <f>TRIM(VLOOKUP($C169,'1. Calculo PERT'!$A:$C,3,FALSE()))</f>
        <v>Demarcar la senalizacion horizontal</v>
      </c>
      <c r="E169" s="5" t="s">
        <v>895</v>
      </c>
      <c r="F169" s="5">
        <v>0</v>
      </c>
      <c r="G169" s="7" t="s">
        <v>896</v>
      </c>
    </row>
    <row r="170" spans="1:7" x14ac:dyDescent="0.25">
      <c r="A170" s="7" t="s">
        <v>638</v>
      </c>
      <c r="B170" s="14" t="str">
        <f>TRIM(VLOOKUP($A170,'1. Calculo PERT'!$A:$C,3,FALSE()))</f>
        <v>Instalar senalizacion podotactil y ejecutar acabados</v>
      </c>
      <c r="C170" s="7" t="s">
        <v>633</v>
      </c>
      <c r="D170" s="14" t="str">
        <f>TRIM(VLOOKUP($C170,'1. Calculo PERT'!$A:$C,3,FALSE()))</f>
        <v>Construir rampas de accesibilidad y vados peatonales</v>
      </c>
      <c r="E170" s="5" t="s">
        <v>895</v>
      </c>
      <c r="F170" s="5">
        <v>0</v>
      </c>
      <c r="G170" s="7" t="s">
        <v>896</v>
      </c>
    </row>
    <row r="171" spans="1:7" x14ac:dyDescent="0.25">
      <c r="A171" s="7" t="s">
        <v>720</v>
      </c>
      <c r="B171" s="14" t="str">
        <f>TRIM(VLOOKUP($A171,'1. Calculo PERT'!$A:$C,3,FALSE()))</f>
        <v>Verificar y entregar la senalizacion</v>
      </c>
      <c r="C171" s="7" t="s">
        <v>715</v>
      </c>
      <c r="D171" s="14" t="str">
        <f>TRIM(VLOOKUP($C171,'1. Calculo PERT'!$A:$C,3,FALSE()))</f>
        <v>Instalar la senalizacion vertical</v>
      </c>
      <c r="E171" s="5" t="s">
        <v>895</v>
      </c>
      <c r="F171" s="5">
        <v>0</v>
      </c>
      <c r="G171" s="7" t="s">
        <v>896</v>
      </c>
    </row>
    <row r="172" spans="1:7" x14ac:dyDescent="0.25">
      <c r="A172" s="7" t="s">
        <v>725</v>
      </c>
      <c r="B172" s="14" t="str">
        <f>TRIM(VLOOKUP($A172,'1. Calculo PERT'!$A:$C,3,FALSE()))</f>
        <v>Instalar senalizacion de obra y elementos de seguridad vial</v>
      </c>
      <c r="C172" s="7" t="s">
        <v>715</v>
      </c>
      <c r="D172" s="14" t="str">
        <f>TRIM(VLOOKUP($C172,'1. Calculo PERT'!$A:$C,3,FALSE()))</f>
        <v>Instalar la senalizacion vertical</v>
      </c>
      <c r="E172" s="5" t="s">
        <v>895</v>
      </c>
      <c r="F172" s="5">
        <v>0</v>
      </c>
      <c r="G172" s="7" t="s">
        <v>896</v>
      </c>
    </row>
    <row r="173" spans="1:7" x14ac:dyDescent="0.25">
      <c r="A173" s="7" t="s">
        <v>736</v>
      </c>
      <c r="B173" s="14" t="str">
        <f>TRIM(VLOOKUP($A173,'1. Calculo PERT'!$A:$C,3,FALSE()))</f>
        <v>Instalar postes y equipos semaforicos</v>
      </c>
      <c r="C173" s="7" t="s">
        <v>715</v>
      </c>
      <c r="D173" s="14" t="str">
        <f>TRIM(VLOOKUP($C173,'1. Calculo PERT'!$A:$C,3,FALSE()))</f>
        <v>Instalar la senalizacion vertical</v>
      </c>
      <c r="E173" s="5" t="s">
        <v>895</v>
      </c>
      <c r="F173" s="5">
        <v>0</v>
      </c>
      <c r="G173" s="7" t="s">
        <v>896</v>
      </c>
    </row>
    <row r="174" spans="1:7" x14ac:dyDescent="0.25">
      <c r="A174" s="7" t="s">
        <v>728</v>
      </c>
      <c r="B174" s="14" t="str">
        <f>TRIM(VLOOKUP($A174,'1. Calculo PERT'!$A:$C,3,FALSE()))</f>
        <v>Instalar senalizacion informativa y nomenclatura vial</v>
      </c>
      <c r="C174" s="7" t="s">
        <v>720</v>
      </c>
      <c r="D174" s="14" t="str">
        <f>TRIM(VLOOKUP($C174,'1. Calculo PERT'!$A:$C,3,FALSE()))</f>
        <v>Verificar y entregar la senalizacion</v>
      </c>
      <c r="E174" s="5" t="s">
        <v>895</v>
      </c>
      <c r="F174" s="5">
        <v>0</v>
      </c>
      <c r="G174" s="7" t="s">
        <v>896</v>
      </c>
    </row>
    <row r="175" spans="1:7" x14ac:dyDescent="0.25">
      <c r="A175" s="7" t="s">
        <v>739</v>
      </c>
      <c r="B175" s="14" t="str">
        <f>TRIM(VLOOKUP($A175,'1. Calculo PERT'!$A:$C,3,FALSE()))</f>
        <v>Cablear y conectar al sistema de control</v>
      </c>
      <c r="C175" s="7" t="s">
        <v>736</v>
      </c>
      <c r="D175" s="14" t="str">
        <f>TRIM(VLOOKUP($C175,'1. Calculo PERT'!$A:$C,3,FALSE()))</f>
        <v>Instalar postes y equipos semaforicos</v>
      </c>
      <c r="E175" s="5" t="s">
        <v>895</v>
      </c>
      <c r="F175" s="5">
        <v>0</v>
      </c>
      <c r="G175" s="7" t="s">
        <v>896</v>
      </c>
    </row>
    <row r="176" spans="1:7" x14ac:dyDescent="0.25">
      <c r="A176" s="7" t="s">
        <v>744</v>
      </c>
      <c r="B176" s="14" t="str">
        <f>TRIM(VLOOKUP($A176,'1. Calculo PERT'!$A:$C,3,FALSE()))</f>
        <v>Sincronizar, probar y poner en marcha los semaforos</v>
      </c>
      <c r="C176" s="7" t="s">
        <v>739</v>
      </c>
      <c r="D176" s="14" t="str">
        <f>TRIM(VLOOKUP($C176,'1. Calculo PERT'!$A:$C,3,FALSE()))</f>
        <v>Cablear y conectar al sistema de control</v>
      </c>
      <c r="E176" s="5" t="s">
        <v>895</v>
      </c>
      <c r="F176" s="5">
        <v>0</v>
      </c>
      <c r="G176" s="7" t="s">
        <v>896</v>
      </c>
    </row>
    <row r="177" spans="1:7" x14ac:dyDescent="0.25">
      <c r="A177" s="7" t="s">
        <v>749</v>
      </c>
      <c r="B177" s="14" t="str">
        <f>TRIM(VLOOKUP($A177,'1. Calculo PERT'!$A:$C,3,FALSE()))</f>
        <v>Instalar espiras y deteccion vehicular</v>
      </c>
      <c r="C177" s="7" t="s">
        <v>739</v>
      </c>
      <c r="D177" s="14" t="str">
        <f>TRIM(VLOOKUP($C177,'1. Calculo PERT'!$A:$C,3,FALSE()))</f>
        <v>Cablear y conectar al sistema de control</v>
      </c>
      <c r="E177" s="5" t="s">
        <v>895</v>
      </c>
      <c r="F177" s="5">
        <v>0</v>
      </c>
      <c r="G177" s="7" t="s">
        <v>896</v>
      </c>
    </row>
    <row r="178" spans="1:7" x14ac:dyDescent="0.25">
      <c r="A178" s="7" t="s">
        <v>752</v>
      </c>
      <c r="B178" s="14" t="str">
        <f>TRIM(VLOOKUP($A178,'1. Calculo PERT'!$A:$C,3,FALSE()))</f>
        <v>Ejecutar pruebas de operacion y recibir por la SDM</v>
      </c>
      <c r="C178" s="7" t="s">
        <v>749</v>
      </c>
      <c r="D178" s="14" t="str">
        <f>TRIM(VLOOKUP($C178,'1. Calculo PERT'!$A:$C,3,FALSE()))</f>
        <v>Instalar espiras y deteccion vehicular</v>
      </c>
      <c r="E178" s="5" t="s">
        <v>895</v>
      </c>
      <c r="F178" s="5">
        <v>0</v>
      </c>
      <c r="G178" s="7" t="s">
        <v>896</v>
      </c>
    </row>
    <row r="179" spans="1:7" x14ac:dyDescent="0.25">
      <c r="A179" s="7" t="s">
        <v>757</v>
      </c>
      <c r="B179" s="14" t="str">
        <f>TRIM(VLOOKUP($A179,'1. Calculo PERT'!$A:$C,3,FALSE()))</f>
        <v>Hito: Acta de terminacion de obra</v>
      </c>
      <c r="C179" s="7" t="s">
        <v>184</v>
      </c>
      <c r="D179" s="14" t="str">
        <f>TRIM(VLOOKUP($C179,'1. Calculo PERT'!$A:$C,3,FALSE()))</f>
        <v>Monitorear arqueologicamente durante las excavaciones</v>
      </c>
      <c r="E179" s="5" t="s">
        <v>895</v>
      </c>
      <c r="F179" s="5">
        <v>0</v>
      </c>
      <c r="G179" s="7" t="s">
        <v>896</v>
      </c>
    </row>
    <row r="180" spans="1:7" x14ac:dyDescent="0.25">
      <c r="A180" s="7" t="s">
        <v>757</v>
      </c>
      <c r="B180" s="14" t="str">
        <f>TRIM(VLOOKUP($A180,'1. Calculo PERT'!$A:$C,3,FALSE()))</f>
        <v>Hito: Acta de terminacion de obra</v>
      </c>
      <c r="C180" s="7" t="s">
        <v>189</v>
      </c>
      <c r="D180" s="14" t="str">
        <f>TRIM(VLOOKUP($C180,'1. Calculo PERT'!$A:$C,3,FALSE()))</f>
        <v>Elaborar informe final de monitoreo y entregar al ICANH</v>
      </c>
      <c r="E180" s="5" t="s">
        <v>895</v>
      </c>
      <c r="F180" s="5">
        <v>0</v>
      </c>
      <c r="G180" s="7" t="s">
        <v>896</v>
      </c>
    </row>
    <row r="181" spans="1:7" x14ac:dyDescent="0.25">
      <c r="A181" s="7" t="s">
        <v>757</v>
      </c>
      <c r="B181" s="14" t="str">
        <f>TRIM(VLOOKUP($A181,'1. Calculo PERT'!$A:$C,3,FALSE()))</f>
        <v>Hito: Acta de terminacion de obra</v>
      </c>
      <c r="C181" s="7" t="s">
        <v>445</v>
      </c>
      <c r="D181" s="14" t="str">
        <f>TRIM(VLOOKUP($C181,'1. Calculo PERT'!$A:$C,3,FALSE()))</f>
        <v>Manejar aguas y bombear durante la excavacion de redes</v>
      </c>
      <c r="E181" s="5" t="s">
        <v>895</v>
      </c>
      <c r="F181" s="5">
        <v>0</v>
      </c>
      <c r="G181" s="7" t="s">
        <v>896</v>
      </c>
    </row>
    <row r="182" spans="1:7" x14ac:dyDescent="0.25">
      <c r="A182" s="7" t="s">
        <v>757</v>
      </c>
      <c r="B182" s="14" t="str">
        <f>TRIM(VLOOKUP($A182,'1. Calculo PERT'!$A:$C,3,FALSE()))</f>
        <v>Hito: Acta de terminacion de obra</v>
      </c>
      <c r="C182" s="7" t="s">
        <v>432</v>
      </c>
      <c r="D182" s="14" t="str">
        <f>TRIM(VLOOKUP($C182,'1. Calculo PERT'!$A:$C,3,FALSE()))</f>
        <v>Construir pozos de inspeccion y conexiones domiciliarias del Tramo 1</v>
      </c>
      <c r="E182" s="5" t="s">
        <v>895</v>
      </c>
      <c r="F182" s="5">
        <v>0</v>
      </c>
      <c r="G182" s="7" t="s">
        <v>896</v>
      </c>
    </row>
    <row r="183" spans="1:7" x14ac:dyDescent="0.25">
      <c r="A183" s="7" t="s">
        <v>757</v>
      </c>
      <c r="B183" s="14" t="str">
        <f>TRIM(VLOOKUP($A183,'1. Calculo PERT'!$A:$C,3,FALSE()))</f>
        <v>Hito: Acta de terminacion de obra</v>
      </c>
      <c r="C183" s="7" t="s">
        <v>437</v>
      </c>
      <c r="D183" s="14" t="str">
        <f>TRIM(VLOOKUP($C183,'1. Calculo PERT'!$A:$C,3,FALSE()))</f>
        <v>Construir pozos de inspeccion y conexiones domiciliarias del Tramo 2</v>
      </c>
      <c r="E183" s="5" t="s">
        <v>895</v>
      </c>
      <c r="F183" s="5">
        <v>0</v>
      </c>
      <c r="G183" s="7" t="s">
        <v>896</v>
      </c>
    </row>
    <row r="184" spans="1:7" x14ac:dyDescent="0.25">
      <c r="A184" s="7" t="s">
        <v>757</v>
      </c>
      <c r="B184" s="14" t="str">
        <f>TRIM(VLOOKUP($A184,'1. Calculo PERT'!$A:$C,3,FALSE()))</f>
        <v>Hito: Acta de terminacion de obra</v>
      </c>
      <c r="C184" s="7" t="s">
        <v>603</v>
      </c>
      <c r="D184" s="14" t="str">
        <f>TRIM(VLOOKUP($C184,'1. Calculo PERT'!$A:$C,3,FALSE()))</f>
        <v>Construir obras de proteccion y drenaje de las cimentaciones</v>
      </c>
      <c r="E184" s="5" t="s">
        <v>895</v>
      </c>
      <c r="F184" s="5">
        <v>0</v>
      </c>
      <c r="G184" s="7" t="s">
        <v>896</v>
      </c>
    </row>
    <row r="185" spans="1:7" x14ac:dyDescent="0.25">
      <c r="A185" s="7" t="s">
        <v>757</v>
      </c>
      <c r="B185" s="14" t="str">
        <f>TRIM(VLOOKUP($A185,'1. Calculo PERT'!$A:$C,3,FALSE()))</f>
        <v>Hito: Acta de terminacion de obra</v>
      </c>
      <c r="C185" s="7" t="s">
        <v>450</v>
      </c>
      <c r="D185" s="14" t="str">
        <f>TRIM(VLOOKUP($C185,'1. Calculo PERT'!$A:$C,3,FALSE()))</f>
        <v>Construir anclajes y atraques de tuberia</v>
      </c>
      <c r="E185" s="5" t="s">
        <v>895</v>
      </c>
      <c r="F185" s="5">
        <v>0</v>
      </c>
      <c r="G185" s="7" t="s">
        <v>896</v>
      </c>
    </row>
    <row r="186" spans="1:7" x14ac:dyDescent="0.25">
      <c r="A186" s="7" t="s">
        <v>757</v>
      </c>
      <c r="B186" s="14" t="str">
        <f>TRIM(VLOOKUP($A186,'1. Calculo PERT'!$A:$C,3,FALSE()))</f>
        <v>Hito: Acta de terminacion de obra</v>
      </c>
      <c r="C186" s="7" t="s">
        <v>488</v>
      </c>
      <c r="D186" s="14" t="str">
        <f>TRIM(VLOOKUP($C186,'1. Calculo PERT'!$A:$C,3,FALSE()))</f>
        <v>Ejecutar pruebas de continuidad y aislamiento electrico</v>
      </c>
      <c r="E186" s="5" t="s">
        <v>895</v>
      </c>
      <c r="F186" s="5">
        <v>0</v>
      </c>
      <c r="G186" s="7" t="s">
        <v>896</v>
      </c>
    </row>
    <row r="187" spans="1:7" x14ac:dyDescent="0.25">
      <c r="A187" s="7" t="s">
        <v>757</v>
      </c>
      <c r="B187" s="14" t="str">
        <f>TRIM(VLOOKUP($A187,'1. Calculo PERT'!$A:$C,3,FALSE()))</f>
        <v>Hito: Acta de terminacion de obra</v>
      </c>
      <c r="C187" s="7" t="s">
        <v>485</v>
      </c>
      <c r="D187" s="14" t="str">
        <f>TRIM(VLOOKUP($C187,'1. Calculo PERT'!$A:$C,3,FALSE()))</f>
        <v>Instalar protecciones, sellos cortafuego y senalizacion de redes</v>
      </c>
      <c r="E187" s="5" t="s">
        <v>895</v>
      </c>
      <c r="F187" s="5">
        <v>0</v>
      </c>
      <c r="G187" s="7" t="s">
        <v>896</v>
      </c>
    </row>
    <row r="188" spans="1:7" x14ac:dyDescent="0.25">
      <c r="A188" s="7" t="s">
        <v>757</v>
      </c>
      <c r="B188" s="14" t="str">
        <f>TRIM(VLOOKUP($A188,'1. Calculo PERT'!$A:$C,3,FALSE()))</f>
        <v>Hito: Acta de terminacion de obra</v>
      </c>
      <c r="C188" s="7" t="s">
        <v>480</v>
      </c>
      <c r="D188" s="14" t="str">
        <f>TRIM(VLOOKUP($C188,'1. Calculo PERT'!$A:$C,3,FALSE()))</f>
        <v>Empalmar y probar las redes secas</v>
      </c>
      <c r="E188" s="5" t="s">
        <v>895</v>
      </c>
      <c r="F188" s="5">
        <v>0</v>
      </c>
      <c r="G188" s="7" t="s">
        <v>896</v>
      </c>
    </row>
    <row r="189" spans="1:7" x14ac:dyDescent="0.25">
      <c r="A189" s="7" t="s">
        <v>757</v>
      </c>
      <c r="B189" s="14" t="str">
        <f>TRIM(VLOOKUP($A189,'1. Calculo PERT'!$A:$C,3,FALSE()))</f>
        <v>Hito: Acta de terminacion de obra</v>
      </c>
      <c r="C189" s="7" t="s">
        <v>440</v>
      </c>
      <c r="D189" s="14" t="str">
        <f>TRIM(VLOOKUP($C189,'1. Calculo PERT'!$A:$C,3,FALSE()))</f>
        <v>Instalar sumideros y rejillas de drenaje pluvial</v>
      </c>
      <c r="E189" s="5" t="s">
        <v>895</v>
      </c>
      <c r="F189" s="5">
        <v>0</v>
      </c>
      <c r="G189" s="7" t="s">
        <v>896</v>
      </c>
    </row>
    <row r="190" spans="1:7" x14ac:dyDescent="0.25">
      <c r="A190" s="7" t="s">
        <v>757</v>
      </c>
      <c r="B190" s="14" t="str">
        <f>TRIM(VLOOKUP($A190,'1. Calculo PERT'!$A:$C,3,FALSE()))</f>
        <v>Hito: Acta de terminacion de obra</v>
      </c>
      <c r="C190" s="7" t="s">
        <v>590</v>
      </c>
      <c r="D190" s="14" t="str">
        <f>TRIM(VLOOKUP($C190,'1. Calculo PERT'!$A:$C,3,FALSE()))</f>
        <v>Fundir pedestales y anclajes de los equipos semaforicos</v>
      </c>
      <c r="E190" s="5" t="s">
        <v>895</v>
      </c>
      <c r="F190" s="5">
        <v>0</v>
      </c>
      <c r="G190" s="7" t="s">
        <v>896</v>
      </c>
    </row>
    <row r="191" spans="1:7" x14ac:dyDescent="0.25">
      <c r="A191" s="7" t="s">
        <v>757</v>
      </c>
      <c r="B191" s="14" t="str">
        <f>TRIM(VLOOKUP($A191,'1. Calculo PERT'!$A:$C,3,FALSE()))</f>
        <v>Hito: Acta de terminacion de obra</v>
      </c>
      <c r="C191" s="7" t="s">
        <v>595</v>
      </c>
      <c r="D191" s="14" t="str">
        <f>TRIM(VLOOKUP($C191,'1. Calculo PERT'!$A:$C,3,FALSE()))</f>
        <v>Ejecutar pruebas de carga y verticalidad de los postes</v>
      </c>
      <c r="E191" s="5" t="s">
        <v>895</v>
      </c>
      <c r="F191" s="5">
        <v>0</v>
      </c>
      <c r="G191" s="7" t="s">
        <v>896</v>
      </c>
    </row>
    <row r="192" spans="1:7" x14ac:dyDescent="0.25">
      <c r="A192" s="7" t="s">
        <v>757</v>
      </c>
      <c r="B192" s="14" t="str">
        <f>TRIM(VLOOKUP($A192,'1. Calculo PERT'!$A:$C,3,FALSE()))</f>
        <v>Hito: Acta de terminacion de obra</v>
      </c>
      <c r="C192" s="7" t="s">
        <v>600</v>
      </c>
      <c r="D192" s="14" t="str">
        <f>TRIM(VLOOKUP($C192,'1. Calculo PERT'!$A:$C,3,FALSE()))</f>
        <v>Instalar pernos de anclaje, placas base y herrajes</v>
      </c>
      <c r="E192" s="5" t="s">
        <v>895</v>
      </c>
      <c r="F192" s="5">
        <v>0</v>
      </c>
      <c r="G192" s="7" t="s">
        <v>896</v>
      </c>
    </row>
    <row r="193" spans="1:7" x14ac:dyDescent="0.25">
      <c r="A193" s="7" t="s">
        <v>757</v>
      </c>
      <c r="B193" s="14" t="str">
        <f>TRIM(VLOOKUP($A193,'1. Calculo PERT'!$A:$C,3,FALSE()))</f>
        <v>Hito: Acta de terminacion de obra</v>
      </c>
      <c r="C193" s="7" t="s">
        <v>535</v>
      </c>
      <c r="D193" s="14" t="str">
        <f>TRIM(VLOOKUP($C193,'1. Calculo PERT'!$A:$C,3,FALSE()))</f>
        <v>Extender y compactar la subbase granular SBG en el Tramo 3</v>
      </c>
      <c r="E193" s="5" t="s">
        <v>895</v>
      </c>
      <c r="F193" s="5">
        <v>0</v>
      </c>
      <c r="G193" s="7" t="s">
        <v>896</v>
      </c>
    </row>
    <row r="194" spans="1:7" x14ac:dyDescent="0.25">
      <c r="A194" s="7" t="s">
        <v>757</v>
      </c>
      <c r="B194" s="14" t="str">
        <f>TRIM(VLOOKUP($A194,'1. Calculo PERT'!$A:$C,3,FALSE()))</f>
        <v>Hito: Acta de terminacion de obra</v>
      </c>
      <c r="C194" s="7" t="s">
        <v>540</v>
      </c>
      <c r="D194" s="14" t="str">
        <f>TRIM(VLOOKUP($C194,'1. Calculo PERT'!$A:$C,3,FALSE()))</f>
        <v>Conformar cunetas y obras de drenaje vial</v>
      </c>
      <c r="E194" s="5" t="s">
        <v>895</v>
      </c>
      <c r="F194" s="5">
        <v>0</v>
      </c>
      <c r="G194" s="7" t="s">
        <v>896</v>
      </c>
    </row>
    <row r="195" spans="1:7" x14ac:dyDescent="0.25">
      <c r="A195" s="7" t="s">
        <v>757</v>
      </c>
      <c r="B195" s="14" t="str">
        <f>TRIM(VLOOKUP($A195,'1. Calculo PERT'!$A:$C,3,FALSE()))</f>
        <v>Hito: Acta de terminacion de obra</v>
      </c>
      <c r="C195" s="7" t="s">
        <v>685</v>
      </c>
      <c r="D195" s="14" t="str">
        <f>TRIM(VLOOKUP($C195,'1. Calculo PERT'!$A:$C,3,FALSE()))</f>
        <v>Construir y adecuar el separador central</v>
      </c>
      <c r="E195" s="5" t="s">
        <v>895</v>
      </c>
      <c r="F195" s="5">
        <v>0</v>
      </c>
      <c r="G195" s="7" t="s">
        <v>896</v>
      </c>
    </row>
    <row r="196" spans="1:7" x14ac:dyDescent="0.25">
      <c r="A196" s="7" t="s">
        <v>757</v>
      </c>
      <c r="B196" s="14" t="str">
        <f>TRIM(VLOOKUP($A196,'1. Calculo PERT'!$A:$C,3,FALSE()))</f>
        <v>Hito: Acta de terminacion de obra</v>
      </c>
      <c r="C196" s="7" t="s">
        <v>675</v>
      </c>
      <c r="D196" s="14" t="str">
        <f>TRIM(VLOOKUP($C196,'1. Calculo PERT'!$A:$C,3,FALSE()))</f>
        <v>Instalar el mobiliario urbano</v>
      </c>
      <c r="E196" s="5" t="s">
        <v>895</v>
      </c>
      <c r="F196" s="5">
        <v>0</v>
      </c>
      <c r="G196" s="7" t="s">
        <v>896</v>
      </c>
    </row>
    <row r="197" spans="1:7" x14ac:dyDescent="0.25">
      <c r="A197" s="7" t="s">
        <v>757</v>
      </c>
      <c r="B197" s="14" t="str">
        <f>TRIM(VLOOKUP($A197,'1. Calculo PERT'!$A:$C,3,FALSE()))</f>
        <v>Hito: Acta de terminacion de obra</v>
      </c>
      <c r="C197" s="7" t="s">
        <v>681</v>
      </c>
      <c r="D197" s="14" t="str">
        <f>TRIM(VLOOKUP($C197,'1. Calculo PERT'!$A:$C,3,FALSE()))</f>
        <v>Empradizar, ajardinar y arborizar</v>
      </c>
      <c r="E197" s="5" t="s">
        <v>895</v>
      </c>
      <c r="F197" s="5">
        <v>0</v>
      </c>
      <c r="G197" s="7" t="s">
        <v>896</v>
      </c>
    </row>
    <row r="198" spans="1:7" x14ac:dyDescent="0.25">
      <c r="A198" s="7" t="s">
        <v>757</v>
      </c>
      <c r="B198" s="14" t="str">
        <f>TRIM(VLOOKUP($A198,'1. Calculo PERT'!$A:$C,3,FALSE()))</f>
        <v>Hito: Acta de terminacion de obra</v>
      </c>
      <c r="C198" s="7" t="s">
        <v>668</v>
      </c>
      <c r="D198" s="14" t="str">
        <f>TRIM(VLOOKUP($C198,'1. Calculo PERT'!$A:$C,3,FALSE()))</f>
        <v>Ejecutar pruebas de uso y entregar la ciclorruta</v>
      </c>
      <c r="E198" s="5" t="s">
        <v>895</v>
      </c>
      <c r="F198" s="5">
        <v>0</v>
      </c>
      <c r="G198" s="7" t="s">
        <v>896</v>
      </c>
    </row>
    <row r="199" spans="1:7" x14ac:dyDescent="0.25">
      <c r="A199" s="7" t="s">
        <v>757</v>
      </c>
      <c r="B199" s="14" t="str">
        <f>TRIM(VLOOKUP($A199,'1. Calculo PERT'!$A:$C,3,FALSE()))</f>
        <v>Hito: Acta de terminacion de obra</v>
      </c>
      <c r="C199" s="7" t="s">
        <v>699</v>
      </c>
      <c r="D199" s="14" t="str">
        <f>TRIM(VLOOKUP($C199,'1. Calculo PERT'!$A:$C,3,FALSE()))</f>
        <v>Instalar el sistema de riego de zonas verdes</v>
      </c>
      <c r="E199" s="5" t="s">
        <v>895</v>
      </c>
      <c r="F199" s="5">
        <v>0</v>
      </c>
      <c r="G199" s="7" t="s">
        <v>896</v>
      </c>
    </row>
    <row r="200" spans="1:7" x14ac:dyDescent="0.25">
      <c r="A200" s="7" t="s">
        <v>757</v>
      </c>
      <c r="B200" s="14" t="str">
        <f>TRIM(VLOOKUP($A200,'1. Calculo PERT'!$A:$C,3,FALSE()))</f>
        <v>Hito: Acta de terminacion de obra</v>
      </c>
      <c r="C200" s="7" t="s">
        <v>689</v>
      </c>
      <c r="D200" s="14" t="str">
        <f>TRIM(VLOOKUP($C200,'1. Calculo PERT'!$A:$C,3,FALSE()))</f>
        <v>Ejecutar riego, sostenimiento y entrega de zonas verdes</v>
      </c>
      <c r="E200" s="5" t="s">
        <v>895</v>
      </c>
      <c r="F200" s="5">
        <v>0</v>
      </c>
      <c r="G200" s="7" t="s">
        <v>896</v>
      </c>
    </row>
    <row r="201" spans="1:7" x14ac:dyDescent="0.25">
      <c r="A201" s="7" t="s">
        <v>757</v>
      </c>
      <c r="B201" s="14" t="str">
        <f>TRIM(VLOOKUP($A201,'1. Calculo PERT'!$A:$C,3,FALSE()))</f>
        <v>Hito: Acta de terminacion de obra</v>
      </c>
      <c r="C201" s="7" t="s">
        <v>566</v>
      </c>
      <c r="D201" s="14" t="str">
        <f>TRIM(VLOOKUP($C201,'1. Calculo PERT'!$A:$C,3,FALSE()))</f>
        <v>Demarcar provisionalmente y proteger la calzada</v>
      </c>
      <c r="E201" s="5" t="s">
        <v>895</v>
      </c>
      <c r="F201" s="5">
        <v>0</v>
      </c>
      <c r="G201" s="7" t="s">
        <v>896</v>
      </c>
    </row>
    <row r="202" spans="1:7" x14ac:dyDescent="0.25">
      <c r="A202" s="7" t="s">
        <v>757</v>
      </c>
      <c r="B202" s="14" t="str">
        <f>TRIM(VLOOKUP($A202,'1. Calculo PERT'!$A:$C,3,FALSE()))</f>
        <v>Hito: Acta de terminacion de obra</v>
      </c>
      <c r="C202" s="7" t="s">
        <v>571</v>
      </c>
      <c r="D202" s="14" t="str">
        <f>TRIM(VLOOKUP($C202,'1. Calculo PERT'!$A:$C,3,FALSE()))</f>
        <v>Bachear y reparar fisuras</v>
      </c>
      <c r="E202" s="5" t="s">
        <v>895</v>
      </c>
      <c r="F202" s="5">
        <v>0</v>
      </c>
      <c r="G202" s="7" t="s">
        <v>896</v>
      </c>
    </row>
    <row r="203" spans="1:7" x14ac:dyDescent="0.25">
      <c r="A203" s="7" t="s">
        <v>757</v>
      </c>
      <c r="B203" s="14" t="str">
        <f>TRIM(VLOOKUP($A203,'1. Calculo PERT'!$A:$C,3,FALSE()))</f>
        <v>Hito: Acta de terminacion de obra</v>
      </c>
      <c r="C203" s="7" t="s">
        <v>694</v>
      </c>
      <c r="D203" s="14" t="str">
        <f>TRIM(VLOOKUP($C203,'1. Calculo PERT'!$A:$C,3,FALSE()))</f>
        <v>Ejecutar arborizacion compensatoria y manejo silvicultural</v>
      </c>
      <c r="E203" s="5" t="s">
        <v>895</v>
      </c>
      <c r="F203" s="5">
        <v>0</v>
      </c>
      <c r="G203" s="7" t="s">
        <v>896</v>
      </c>
    </row>
    <row r="204" spans="1:7" x14ac:dyDescent="0.25">
      <c r="A204" s="7" t="s">
        <v>757</v>
      </c>
      <c r="B204" s="14" t="str">
        <f>TRIM(VLOOKUP($A204,'1. Calculo PERT'!$A:$C,3,FALSE()))</f>
        <v>Hito: Acta de terminacion de obra</v>
      </c>
      <c r="C204" s="7" t="s">
        <v>643</v>
      </c>
      <c r="D204" s="14" t="str">
        <f>TRIM(VLOOKUP($C204,'1. Calculo PERT'!$A:$C,3,FALSE()))</f>
        <v>Instalar rejillas y registros en el anden</v>
      </c>
      <c r="E204" s="5" t="s">
        <v>895</v>
      </c>
      <c r="F204" s="5">
        <v>0</v>
      </c>
      <c r="G204" s="7" t="s">
        <v>896</v>
      </c>
    </row>
    <row r="205" spans="1:7" x14ac:dyDescent="0.25">
      <c r="A205" s="7" t="s">
        <v>757</v>
      </c>
      <c r="B205" s="14" t="str">
        <f>TRIM(VLOOKUP($A205,'1. Calculo PERT'!$A:$C,3,FALSE()))</f>
        <v>Hito: Acta de terminacion de obra</v>
      </c>
      <c r="C205" s="7" t="s">
        <v>638</v>
      </c>
      <c r="D205" s="14" t="str">
        <f>TRIM(VLOOKUP($C205,'1. Calculo PERT'!$A:$C,3,FALSE()))</f>
        <v>Instalar senalizacion podotactil y ejecutar acabados</v>
      </c>
      <c r="E205" s="5" t="s">
        <v>895</v>
      </c>
      <c r="F205" s="5">
        <v>0</v>
      </c>
      <c r="G205" s="7" t="s">
        <v>896</v>
      </c>
    </row>
    <row r="206" spans="1:7" x14ac:dyDescent="0.25">
      <c r="A206" s="7" t="s">
        <v>757</v>
      </c>
      <c r="B206" s="14" t="str">
        <f>TRIM(VLOOKUP($A206,'1. Calculo PERT'!$A:$C,3,FALSE()))</f>
        <v>Hito: Acta de terminacion de obra</v>
      </c>
      <c r="C206" s="7" t="s">
        <v>720</v>
      </c>
      <c r="D206" s="14" t="str">
        <f>TRIM(VLOOKUP($C206,'1. Calculo PERT'!$A:$C,3,FALSE()))</f>
        <v>Verificar y entregar la senalizacion</v>
      </c>
      <c r="E206" s="5" t="s">
        <v>895</v>
      </c>
      <c r="F206" s="5">
        <v>0</v>
      </c>
      <c r="G206" s="7" t="s">
        <v>896</v>
      </c>
    </row>
    <row r="207" spans="1:7" x14ac:dyDescent="0.25">
      <c r="A207" s="7" t="s">
        <v>757</v>
      </c>
      <c r="B207" s="14" t="str">
        <f>TRIM(VLOOKUP($A207,'1. Calculo PERT'!$A:$C,3,FALSE()))</f>
        <v>Hito: Acta de terminacion de obra</v>
      </c>
      <c r="C207" s="7" t="s">
        <v>725</v>
      </c>
      <c r="D207" s="14" t="str">
        <f>TRIM(VLOOKUP($C207,'1. Calculo PERT'!$A:$C,3,FALSE()))</f>
        <v>Instalar senalizacion de obra y elementos de seguridad vial</v>
      </c>
      <c r="E207" s="5" t="s">
        <v>895</v>
      </c>
      <c r="F207" s="5">
        <v>0</v>
      </c>
      <c r="G207" s="7" t="s">
        <v>896</v>
      </c>
    </row>
    <row r="208" spans="1:7" x14ac:dyDescent="0.25">
      <c r="A208" s="7" t="s">
        <v>757</v>
      </c>
      <c r="B208" s="14" t="str">
        <f>TRIM(VLOOKUP($A208,'1. Calculo PERT'!$A:$C,3,FALSE()))</f>
        <v>Hito: Acta de terminacion de obra</v>
      </c>
      <c r="C208" s="7" t="s">
        <v>728</v>
      </c>
      <c r="D208" s="14" t="str">
        <f>TRIM(VLOOKUP($C208,'1. Calculo PERT'!$A:$C,3,FALSE()))</f>
        <v>Instalar senalizacion informativa y nomenclatura vial</v>
      </c>
      <c r="E208" s="5" t="s">
        <v>895</v>
      </c>
      <c r="F208" s="5">
        <v>0</v>
      </c>
      <c r="G208" s="7" t="s">
        <v>896</v>
      </c>
    </row>
    <row r="209" spans="1:7" x14ac:dyDescent="0.25">
      <c r="A209" s="7" t="s">
        <v>757</v>
      </c>
      <c r="B209" s="14" t="str">
        <f>TRIM(VLOOKUP($A209,'1. Calculo PERT'!$A:$C,3,FALSE()))</f>
        <v>Hito: Acta de terminacion de obra</v>
      </c>
      <c r="C209" s="7" t="s">
        <v>744</v>
      </c>
      <c r="D209" s="14" t="str">
        <f>TRIM(VLOOKUP($C209,'1. Calculo PERT'!$A:$C,3,FALSE()))</f>
        <v>Sincronizar, probar y poner en marcha los semaforos</v>
      </c>
      <c r="E209" s="5" t="s">
        <v>895</v>
      </c>
      <c r="F209" s="5">
        <v>0</v>
      </c>
      <c r="G209" s="7" t="s">
        <v>896</v>
      </c>
    </row>
    <row r="210" spans="1:7" x14ac:dyDescent="0.25">
      <c r="A210" s="7" t="s">
        <v>757</v>
      </c>
      <c r="B210" s="14" t="str">
        <f>TRIM(VLOOKUP($A210,'1. Calculo PERT'!$A:$C,3,FALSE()))</f>
        <v>Hito: Acta de terminacion de obra</v>
      </c>
      <c r="C210" s="7" t="s">
        <v>752</v>
      </c>
      <c r="D210" s="14" t="str">
        <f>TRIM(VLOOKUP($C210,'1. Calculo PERT'!$A:$C,3,FALSE()))</f>
        <v>Ejecutar pruebas de operacion y recibir por la SDM</v>
      </c>
      <c r="E210" s="5" t="s">
        <v>895</v>
      </c>
      <c r="F210" s="5">
        <v>0</v>
      </c>
      <c r="G210" s="7" t="s">
        <v>896</v>
      </c>
    </row>
    <row r="211" spans="1:7" x14ac:dyDescent="0.25">
      <c r="A211" s="7" t="s">
        <v>768</v>
      </c>
      <c r="B211" s="14" t="str">
        <f>TRIM(VLOOKUP($A211,'1. Calculo PERT'!$A:$C,3,FALSE()))</f>
        <v>Levantar la obra construida</v>
      </c>
      <c r="C211" s="7" t="s">
        <v>757</v>
      </c>
      <c r="D211" s="14" t="str">
        <f>TRIM(VLOOKUP($C211,'1. Calculo PERT'!$A:$C,3,FALSE()))</f>
        <v>Hito: Acta de terminacion de obra</v>
      </c>
      <c r="E211" s="5" t="s">
        <v>895</v>
      </c>
      <c r="F211" s="5">
        <v>0</v>
      </c>
      <c r="G211" s="7" t="s">
        <v>896</v>
      </c>
    </row>
    <row r="212" spans="1:7" x14ac:dyDescent="0.25">
      <c r="A212" s="7" t="s">
        <v>798</v>
      </c>
      <c r="B212" s="14" t="str">
        <f>TRIM(VLOOKUP($A212,'1. Calculo PERT'!$A:$C,3,FALSE()))</f>
        <v>Inspeccionar la obra y elaborar lista de pendientes</v>
      </c>
      <c r="C212" s="7" t="s">
        <v>757</v>
      </c>
      <c r="D212" s="14" t="str">
        <f>TRIM(VLOOKUP($C212,'1. Calculo PERT'!$A:$C,3,FALSE()))</f>
        <v>Hito: Acta de terminacion de obra</v>
      </c>
      <c r="E212" s="5" t="s">
        <v>895</v>
      </c>
      <c r="F212" s="5">
        <v>0</v>
      </c>
      <c r="G212" s="7" t="s">
        <v>896</v>
      </c>
    </row>
    <row r="213" spans="1:7" x14ac:dyDescent="0.25">
      <c r="A213" s="7" t="s">
        <v>791</v>
      </c>
      <c r="B213" s="14" t="str">
        <f>TRIM(VLOOKUP($A213,'1. Calculo PERT'!$A:$C,3,FALSE()))</f>
        <v>Gestionar y obtener el recibo de redes por las Empresas de Servicios Publicos (EAAB, Enel-Codensa, Vanti)</v>
      </c>
      <c r="C213" s="7" t="s">
        <v>757</v>
      </c>
      <c r="D213" s="14" t="str">
        <f>TRIM(VLOOKUP($C213,'1. Calculo PERT'!$A:$C,3,FALSE()))</f>
        <v>Hito: Acta de terminacion de obra</v>
      </c>
      <c r="E213" s="5" t="s">
        <v>895</v>
      </c>
      <c r="F213" s="5">
        <v>0</v>
      </c>
      <c r="G213" s="7" t="s">
        <v>896</v>
      </c>
    </row>
    <row r="214" spans="1:7" x14ac:dyDescent="0.25">
      <c r="A214" s="7" t="s">
        <v>773</v>
      </c>
      <c r="B214" s="14" t="str">
        <f>TRIM(VLOOKUP($A214,'1. Calculo PERT'!$A:$C,3,FALSE()))</f>
        <v>Elaborar los planos record</v>
      </c>
      <c r="C214" s="7" t="s">
        <v>768</v>
      </c>
      <c r="D214" s="14" t="str">
        <f>TRIM(VLOOKUP($C214,'1. Calculo PERT'!$A:$C,3,FALSE()))</f>
        <v>Levantar la obra construida</v>
      </c>
      <c r="E214" s="5" t="s">
        <v>895</v>
      </c>
      <c r="F214" s="5">
        <v>0</v>
      </c>
      <c r="G214" s="7" t="s">
        <v>896</v>
      </c>
    </row>
    <row r="215" spans="1:7" x14ac:dyDescent="0.25">
      <c r="A215" s="7" t="s">
        <v>801</v>
      </c>
      <c r="B215" s="14" t="str">
        <f>TRIM(VLOOKUP($A215,'1. Calculo PERT'!$A:$C,3,FALSE()))</f>
        <v>Subsanar las observaciones (punch list)</v>
      </c>
      <c r="C215" s="7" t="s">
        <v>798</v>
      </c>
      <c r="D215" s="14" t="str">
        <f>TRIM(VLOOKUP($C215,'1. Calculo PERT'!$A:$C,3,FALSE()))</f>
        <v>Inspeccionar la obra y elaborar lista de pendientes</v>
      </c>
      <c r="E215" s="5" t="s">
        <v>895</v>
      </c>
      <c r="F215" s="5">
        <v>0</v>
      </c>
      <c r="G215" s="7" t="s">
        <v>896</v>
      </c>
    </row>
    <row r="216" spans="1:7" x14ac:dyDescent="0.25">
      <c r="A216" s="7" t="s">
        <v>794</v>
      </c>
      <c r="B216" s="14" t="str">
        <f>TRIM(VLOOKUP($A216,'1. Calculo PERT'!$A:$C,3,FALSE()))</f>
        <v>Hito: Recibo de redes por las Empresas de Servicios Publicos</v>
      </c>
      <c r="C216" s="7" t="s">
        <v>791</v>
      </c>
      <c r="D216" s="14" t="str">
        <f>TRIM(VLOOKUP($C216,'1. Calculo PERT'!$A:$C,3,FALSE()))</f>
        <v>Gestionar y obtener el recibo de redes por las Empresas de Servicios Publicos (EAAB, Enel-Codensa, Vanti)</v>
      </c>
      <c r="E216" s="5" t="s">
        <v>895</v>
      </c>
      <c r="F216" s="5">
        <v>0</v>
      </c>
      <c r="G216" s="7" t="s">
        <v>896</v>
      </c>
    </row>
    <row r="217" spans="1:7" x14ac:dyDescent="0.25">
      <c r="A217" s="7" t="s">
        <v>783</v>
      </c>
      <c r="B217" s="14" t="str">
        <f>TRIM(VLOOKUP($A217,'1. Calculo PERT'!$A:$C,3,FALSE()))</f>
        <v>Georreferenciar las redes y activos construidos</v>
      </c>
      <c r="C217" s="7" t="s">
        <v>773</v>
      </c>
      <c r="D217" s="14" t="str">
        <f>TRIM(VLOOKUP($C217,'1. Calculo PERT'!$A:$C,3,FALSE()))</f>
        <v>Elaborar los planos record</v>
      </c>
      <c r="E217" s="5" t="s">
        <v>895</v>
      </c>
      <c r="F217" s="5">
        <v>0</v>
      </c>
      <c r="G217" s="7" t="s">
        <v>896</v>
      </c>
    </row>
    <row r="218" spans="1:7" x14ac:dyDescent="0.25">
      <c r="A218" s="7" t="s">
        <v>778</v>
      </c>
      <c r="B218" s="14" t="str">
        <f>TRIM(VLOOKUP($A218,'1. Calculo PERT'!$A:$C,3,FALSE()))</f>
        <v>Aprobar los planos record por interventoria</v>
      </c>
      <c r="C218" s="7" t="s">
        <v>773</v>
      </c>
      <c r="D218" s="14" t="str">
        <f>TRIM(VLOOKUP($C218,'1. Calculo PERT'!$A:$C,3,FALSE()))</f>
        <v>Elaborar los planos record</v>
      </c>
      <c r="E218" s="5" t="s">
        <v>895</v>
      </c>
      <c r="F218" s="5">
        <v>0</v>
      </c>
      <c r="G218" s="7" t="s">
        <v>896</v>
      </c>
    </row>
    <row r="219" spans="1:7" x14ac:dyDescent="0.25">
      <c r="A219" s="7" t="s">
        <v>786</v>
      </c>
      <c r="B219" s="14" t="str">
        <f>TRIM(VLOOKUP($A219,'1. Calculo PERT'!$A:$C,3,FALSE()))</f>
        <v>Consolidar memorias de calculo y ensayos</v>
      </c>
      <c r="C219" s="7" t="s">
        <v>773</v>
      </c>
      <c r="D219" s="14" t="str">
        <f>TRIM(VLOOKUP($C219,'1. Calculo PERT'!$A:$C,3,FALSE()))</f>
        <v>Elaborar los planos record</v>
      </c>
      <c r="E219" s="5" t="s">
        <v>895</v>
      </c>
      <c r="F219" s="5">
        <v>0</v>
      </c>
      <c r="G219" s="7" t="s">
        <v>896</v>
      </c>
    </row>
    <row r="220" spans="1:7" x14ac:dyDescent="0.25">
      <c r="A220" s="7" t="s">
        <v>828</v>
      </c>
      <c r="B220" s="14" t="str">
        <f>TRIM(VLOOKUP($A220,'1. Calculo PERT'!$A:$C,3,FALSE()))</f>
        <v>Recopilar fichas tecnicas y garantias</v>
      </c>
      <c r="C220" s="7" t="s">
        <v>773</v>
      </c>
      <c r="D220" s="14" t="str">
        <f>TRIM(VLOOKUP($C220,'1. Calculo PERT'!$A:$C,3,FALSE()))</f>
        <v>Elaborar los planos record</v>
      </c>
      <c r="E220" s="5" t="s">
        <v>895</v>
      </c>
      <c r="F220" s="5">
        <v>0</v>
      </c>
      <c r="G220" s="7" t="s">
        <v>896</v>
      </c>
    </row>
    <row r="221" spans="1:7" x14ac:dyDescent="0.25">
      <c r="A221" s="7" t="s">
        <v>815</v>
      </c>
      <c r="B221" s="14" t="str">
        <f>TRIM(VLOOKUP($A221,'1. Calculo PERT'!$A:$C,3,FALSE()))</f>
        <v>Verificar las cantidades de obra ejecutadas</v>
      </c>
      <c r="C221" s="7" t="s">
        <v>801</v>
      </c>
      <c r="D221" s="14" t="str">
        <f>TRIM(VLOOKUP($C221,'1. Calculo PERT'!$A:$C,3,FALSE()))</f>
        <v>Subsanar las observaciones (punch list)</v>
      </c>
      <c r="E221" s="5" t="s">
        <v>895</v>
      </c>
      <c r="F221" s="5">
        <v>0</v>
      </c>
      <c r="G221" s="7" t="s">
        <v>896</v>
      </c>
    </row>
    <row r="222" spans="1:7" x14ac:dyDescent="0.25">
      <c r="A222" s="7" t="s">
        <v>806</v>
      </c>
      <c r="B222" s="14" t="str">
        <f>TRIM(VLOOKUP($A222,'1. Calculo PERT'!$A:$C,3,FALSE()))</f>
        <v>Suscribir el acta de recibo final</v>
      </c>
      <c r="C222" s="7" t="s">
        <v>791</v>
      </c>
      <c r="D222" s="14" t="str">
        <f>TRIM(VLOOKUP($C222,'1. Calculo PERT'!$A:$C,3,FALSE()))</f>
        <v>Gestionar y obtener el recibo de redes por las Empresas de Servicios Publicos (EAAB, Enel-Codensa, Vanti)</v>
      </c>
      <c r="E222" s="5" t="s">
        <v>895</v>
      </c>
      <c r="F222" s="5">
        <v>0</v>
      </c>
      <c r="G222" s="7" t="s">
        <v>896</v>
      </c>
    </row>
    <row r="223" spans="1:7" x14ac:dyDescent="0.25">
      <c r="A223" s="7" t="s">
        <v>806</v>
      </c>
      <c r="B223" s="14" t="str">
        <f>TRIM(VLOOKUP($A223,'1. Calculo PERT'!$A:$C,3,FALSE()))</f>
        <v>Suscribir el acta de recibo final</v>
      </c>
      <c r="C223" s="7" t="s">
        <v>801</v>
      </c>
      <c r="D223" s="14" t="str">
        <f>TRIM(VLOOKUP($C223,'1. Calculo PERT'!$A:$C,3,FALSE()))</f>
        <v>Subsanar las observaciones (punch list)</v>
      </c>
      <c r="E223" s="5" t="s">
        <v>895</v>
      </c>
      <c r="F223" s="5">
        <v>0</v>
      </c>
      <c r="G223" s="7" t="s">
        <v>896</v>
      </c>
    </row>
    <row r="224" spans="1:7" x14ac:dyDescent="0.25">
      <c r="A224" s="7" t="s">
        <v>806</v>
      </c>
      <c r="B224" s="14" t="str">
        <f>TRIM(VLOOKUP($A224,'1. Calculo PERT'!$A:$C,3,FALSE()))</f>
        <v>Suscribir el acta de recibo final</v>
      </c>
      <c r="C224" s="7" t="s">
        <v>778</v>
      </c>
      <c r="D224" s="14" t="str">
        <f>TRIM(VLOOKUP($C224,'1. Calculo PERT'!$A:$C,3,FALSE()))</f>
        <v>Aprobar los planos record por interventoria</v>
      </c>
      <c r="E224" s="5" t="s">
        <v>895</v>
      </c>
      <c r="F224" s="5">
        <v>0</v>
      </c>
      <c r="G224" s="7" t="s">
        <v>896</v>
      </c>
    </row>
    <row r="225" spans="1:7" x14ac:dyDescent="0.25">
      <c r="A225" s="7" t="s">
        <v>831</v>
      </c>
      <c r="B225" s="14" t="str">
        <f>TRIM(VLOOKUP($A225,'1. Calculo PERT'!$A:$C,3,FALSE()))</f>
        <v>Elaborar los manuales de operacion y mantenimiento</v>
      </c>
      <c r="C225" s="7" t="s">
        <v>828</v>
      </c>
      <c r="D225" s="14" t="str">
        <f>TRIM(VLOOKUP($C225,'1. Calculo PERT'!$A:$C,3,FALSE()))</f>
        <v>Recopilar fichas tecnicas y garantias</v>
      </c>
      <c r="E225" s="5" t="s">
        <v>895</v>
      </c>
      <c r="F225" s="5">
        <v>0</v>
      </c>
      <c r="G225" s="7" t="s">
        <v>896</v>
      </c>
    </row>
    <row r="226" spans="1:7" x14ac:dyDescent="0.25">
      <c r="A226" s="7" t="s">
        <v>820</v>
      </c>
      <c r="B226" s="14" t="str">
        <f>TRIM(VLOOKUP($A226,'1. Calculo PERT'!$A:$C,3,FALSE()))</f>
        <v>Conciliar las mayores y menores cantidades</v>
      </c>
      <c r="C226" s="7" t="s">
        <v>815</v>
      </c>
      <c r="D226" s="14" t="str">
        <f>TRIM(VLOOKUP($C226,'1. Calculo PERT'!$A:$C,3,FALSE()))</f>
        <v>Verificar las cantidades de obra ejecutadas</v>
      </c>
      <c r="E226" s="5" t="s">
        <v>895</v>
      </c>
      <c r="F226" s="5">
        <v>0</v>
      </c>
      <c r="G226" s="7" t="s">
        <v>896</v>
      </c>
    </row>
    <row r="227" spans="1:7" x14ac:dyDescent="0.25">
      <c r="A227" s="7" t="s">
        <v>811</v>
      </c>
      <c r="B227" s="14" t="str">
        <f>TRIM(VLOOKUP($A227,'1. Calculo PERT'!$A:$C,3,FALSE()))</f>
        <v>Hito: Acta de recibo final firmada</v>
      </c>
      <c r="C227" s="7" t="s">
        <v>806</v>
      </c>
      <c r="D227" s="14" t="str">
        <f>TRIM(VLOOKUP($C227,'1. Calculo PERT'!$A:$C,3,FALSE()))</f>
        <v>Suscribir el acta de recibo final</v>
      </c>
      <c r="E227" s="5" t="s">
        <v>895</v>
      </c>
      <c r="F227" s="5">
        <v>0</v>
      </c>
      <c r="G227" s="7" t="s">
        <v>896</v>
      </c>
    </row>
    <row r="228" spans="1:7" x14ac:dyDescent="0.25">
      <c r="A228" s="7" t="s">
        <v>846</v>
      </c>
      <c r="B228" s="14" t="str">
        <f>TRIM(VLOOKUP($A228,'1. Calculo PERT'!$A:$C,3,FALSE()))</f>
        <v>Conciliar las finanzas y el balance de cantidades</v>
      </c>
      <c r="C228" s="7" t="s">
        <v>806</v>
      </c>
      <c r="D228" s="14" t="str">
        <f>TRIM(VLOOKUP($C228,'1. Calculo PERT'!$A:$C,3,FALSE()))</f>
        <v>Suscribir el acta de recibo final</v>
      </c>
      <c r="E228" s="5" t="s">
        <v>895</v>
      </c>
      <c r="F228" s="5">
        <v>0</v>
      </c>
      <c r="G228" s="7" t="s">
        <v>896</v>
      </c>
    </row>
    <row r="229" spans="1:7" x14ac:dyDescent="0.25">
      <c r="A229" s="7" t="s">
        <v>836</v>
      </c>
      <c r="B229" s="14" t="str">
        <f>TRIM(VLOOKUP($A229,'1. Calculo PERT'!$A:$C,3,FALSE()))</f>
        <v>Capacitar y suscribir acta de transferencia al operador (UAERMV)</v>
      </c>
      <c r="C229" s="7" t="s">
        <v>831</v>
      </c>
      <c r="D229" s="14" t="str">
        <f>TRIM(VLOOKUP($C229,'1. Calculo PERT'!$A:$C,3,FALSE()))</f>
        <v>Elaborar los manuales de operacion y mantenimiento</v>
      </c>
      <c r="E229" s="5" t="s">
        <v>895</v>
      </c>
      <c r="F229" s="5">
        <v>0</v>
      </c>
      <c r="G229" s="7" t="s">
        <v>896</v>
      </c>
    </row>
    <row r="230" spans="1:7" x14ac:dyDescent="0.25">
      <c r="A230" s="7" t="s">
        <v>841</v>
      </c>
      <c r="B230" s="14" t="str">
        <f>TRIM(VLOOKUP($A230,'1. Calculo PERT'!$A:$C,3,FALSE()))</f>
        <v>Entregar garantias y polizas de estabilidad post-obra</v>
      </c>
      <c r="C230" s="7" t="s">
        <v>831</v>
      </c>
      <c r="D230" s="14" t="str">
        <f>TRIM(VLOOKUP($C230,'1. Calculo PERT'!$A:$C,3,FALSE()))</f>
        <v>Elaborar los manuales de operacion y mantenimiento</v>
      </c>
      <c r="E230" s="5" t="s">
        <v>895</v>
      </c>
      <c r="F230" s="5">
        <v>0</v>
      </c>
      <c r="G230" s="7" t="s">
        <v>896</v>
      </c>
    </row>
    <row r="231" spans="1:7" x14ac:dyDescent="0.25">
      <c r="A231" s="7" t="s">
        <v>849</v>
      </c>
      <c r="B231" s="14" t="str">
        <f>TRIM(VLOOKUP($A231,'1. Calculo PERT'!$A:$C,3,FALSE()))</f>
        <v>Elaborar el informe de gestion social y ambiental</v>
      </c>
      <c r="C231" s="7" t="s">
        <v>846</v>
      </c>
      <c r="D231" s="14" t="str">
        <f>TRIM(VLOOKUP($C231,'1. Calculo PERT'!$A:$C,3,FALSE()))</f>
        <v>Conciliar las finanzas y el balance de cantidades</v>
      </c>
      <c r="E231" s="5" t="s">
        <v>895</v>
      </c>
      <c r="F231" s="5">
        <v>0</v>
      </c>
      <c r="G231" s="7" t="s">
        <v>896</v>
      </c>
    </row>
    <row r="232" spans="1:7" x14ac:dyDescent="0.25">
      <c r="A232" s="7" t="s">
        <v>854</v>
      </c>
      <c r="B232" s="14" t="str">
        <f>TRIM(VLOOKUP($A232,'1. Calculo PERT'!$A:$C,3,FALSE()))</f>
        <v>Suscribir el acta de liquidacion del contrato</v>
      </c>
      <c r="C232" s="7" t="s">
        <v>831</v>
      </c>
      <c r="D232" s="14" t="str">
        <f>TRIM(VLOOKUP($C232,'1. Calculo PERT'!$A:$C,3,FALSE()))</f>
        <v>Elaborar los manuales de operacion y mantenimiento</v>
      </c>
      <c r="E232" s="5" t="s">
        <v>895</v>
      </c>
      <c r="F232" s="5">
        <v>0</v>
      </c>
      <c r="G232" s="7" t="s">
        <v>896</v>
      </c>
    </row>
    <row r="233" spans="1:7" x14ac:dyDescent="0.25">
      <c r="A233" s="7" t="s">
        <v>854</v>
      </c>
      <c r="B233" s="14" t="str">
        <f>TRIM(VLOOKUP($A233,'1. Calculo PERT'!$A:$C,3,FALSE()))</f>
        <v>Suscribir el acta de liquidacion del contrato</v>
      </c>
      <c r="C233" s="7" t="s">
        <v>846</v>
      </c>
      <c r="D233" s="14" t="str">
        <f>TRIM(VLOOKUP($C233,'1. Calculo PERT'!$A:$C,3,FALSE()))</f>
        <v>Conciliar las finanzas y el balance de cantidades</v>
      </c>
      <c r="E233" s="5" t="s">
        <v>895</v>
      </c>
      <c r="F233" s="5">
        <v>0</v>
      </c>
      <c r="G233" s="7" t="s">
        <v>896</v>
      </c>
    </row>
    <row r="234" spans="1:7" x14ac:dyDescent="0.25">
      <c r="A234" s="7" t="s">
        <v>854</v>
      </c>
      <c r="B234" s="14" t="str">
        <f>TRIM(VLOOKUP($A234,'1. Calculo PERT'!$A:$C,3,FALSE()))</f>
        <v>Suscribir el acta de liquidacion del contrato</v>
      </c>
      <c r="C234" s="7" t="s">
        <v>849</v>
      </c>
      <c r="D234" s="14" t="str">
        <f>TRIM(VLOOKUP($C234,'1. Calculo PERT'!$A:$C,3,FALSE()))</f>
        <v>Elaborar el informe de gestion social y ambiental</v>
      </c>
      <c r="E234" s="5" t="s">
        <v>895</v>
      </c>
      <c r="F234" s="5">
        <v>0</v>
      </c>
      <c r="G234" s="7" t="s">
        <v>896</v>
      </c>
    </row>
    <row r="235" spans="1:7" x14ac:dyDescent="0.25">
      <c r="A235" s="7" t="s">
        <v>859</v>
      </c>
      <c r="B235" s="14" t="str">
        <f>TRIM(VLOOKUP($A235,'1. Calculo PERT'!$A:$C,3,FALSE()))</f>
        <v>Tramitar paz y salvo de proveedores y subcontratistas</v>
      </c>
      <c r="C235" s="7" t="s">
        <v>849</v>
      </c>
      <c r="D235" s="14" t="str">
        <f>TRIM(VLOOKUP($C235,'1. Calculo PERT'!$A:$C,3,FALSE()))</f>
        <v>Elaborar el informe de gestion social y ambiental</v>
      </c>
      <c r="E235" s="5" t="s">
        <v>895</v>
      </c>
      <c r="F235" s="5">
        <v>0</v>
      </c>
      <c r="G235" s="7" t="s">
        <v>896</v>
      </c>
    </row>
    <row r="236" spans="1:7" x14ac:dyDescent="0.25">
      <c r="A236" s="7" t="s">
        <v>864</v>
      </c>
      <c r="B236" s="14" t="str">
        <f>TRIM(VLOOKUP($A236,'1. Calculo PERT'!$A:$C,3,FALSE()))</f>
        <v>Cerrar permisos ambientales y compensaciones</v>
      </c>
      <c r="C236" s="7" t="s">
        <v>849</v>
      </c>
      <c r="D236" s="14" t="str">
        <f>TRIM(VLOOKUP($C236,'1. Calculo PERT'!$A:$C,3,FALSE()))</f>
        <v>Elaborar el informe de gestion social y ambiental</v>
      </c>
      <c r="E236" s="5" t="s">
        <v>895</v>
      </c>
      <c r="F236" s="5">
        <v>0</v>
      </c>
      <c r="G236" s="7" t="s">
        <v>896</v>
      </c>
    </row>
    <row r="237" spans="1:7" x14ac:dyDescent="0.25">
      <c r="A237" s="7" t="s">
        <v>867</v>
      </c>
      <c r="B237" s="14" t="str">
        <f>TRIM(VLOOKUP($A237,'1. Calculo PERT'!$A:$C,3,FALSE()))</f>
        <v>Hito: Cierre del proyecto</v>
      </c>
      <c r="C237" s="7" t="s">
        <v>783</v>
      </c>
      <c r="D237" s="14" t="str">
        <f>TRIM(VLOOKUP($C237,'1. Calculo PERT'!$A:$C,3,FALSE()))</f>
        <v>Georreferenciar las redes y activos construidos</v>
      </c>
      <c r="E237" s="5" t="s">
        <v>895</v>
      </c>
      <c r="F237" s="5">
        <v>0</v>
      </c>
      <c r="G237" s="7" t="s">
        <v>896</v>
      </c>
    </row>
    <row r="238" spans="1:7" x14ac:dyDescent="0.25">
      <c r="A238" s="7" t="s">
        <v>867</v>
      </c>
      <c r="B238" s="14" t="str">
        <f>TRIM(VLOOKUP($A238,'1. Calculo PERT'!$A:$C,3,FALSE()))</f>
        <v>Hito: Cierre del proyecto</v>
      </c>
      <c r="C238" s="7" t="s">
        <v>786</v>
      </c>
      <c r="D238" s="14" t="str">
        <f>TRIM(VLOOKUP($C238,'1. Calculo PERT'!$A:$C,3,FALSE()))</f>
        <v>Consolidar memorias de calculo y ensayos</v>
      </c>
      <c r="E238" s="5" t="s">
        <v>895</v>
      </c>
      <c r="F238" s="5">
        <v>0</v>
      </c>
      <c r="G238" s="7" t="s">
        <v>896</v>
      </c>
    </row>
    <row r="239" spans="1:7" x14ac:dyDescent="0.25">
      <c r="A239" s="7" t="s">
        <v>867</v>
      </c>
      <c r="B239" s="14" t="str">
        <f>TRIM(VLOOKUP($A239,'1. Calculo PERT'!$A:$C,3,FALSE()))</f>
        <v>Hito: Cierre del proyecto</v>
      </c>
      <c r="C239" s="7" t="s">
        <v>820</v>
      </c>
      <c r="D239" s="14" t="str">
        <f>TRIM(VLOOKUP($C239,'1. Calculo PERT'!$A:$C,3,FALSE()))</f>
        <v>Conciliar las mayores y menores cantidades</v>
      </c>
      <c r="E239" s="5" t="s">
        <v>895</v>
      </c>
      <c r="F239" s="5">
        <v>0</v>
      </c>
      <c r="G239" s="7" t="s">
        <v>896</v>
      </c>
    </row>
    <row r="240" spans="1:7" x14ac:dyDescent="0.25">
      <c r="A240" s="7" t="s">
        <v>867</v>
      </c>
      <c r="B240" s="14" t="str">
        <f>TRIM(VLOOKUP($A240,'1. Calculo PERT'!$A:$C,3,FALSE()))</f>
        <v>Hito: Cierre del proyecto</v>
      </c>
      <c r="C240" s="7" t="s">
        <v>836</v>
      </c>
      <c r="D240" s="14" t="str">
        <f>TRIM(VLOOKUP($C240,'1. Calculo PERT'!$A:$C,3,FALSE()))</f>
        <v>Capacitar y suscribir acta de transferencia al operador (UAERMV)</v>
      </c>
      <c r="E240" s="5" t="s">
        <v>895</v>
      </c>
      <c r="F240" s="5">
        <v>0</v>
      </c>
      <c r="G240" s="7" t="s">
        <v>896</v>
      </c>
    </row>
    <row r="241" spans="1:7" x14ac:dyDescent="0.25">
      <c r="A241" s="7" t="s">
        <v>867</v>
      </c>
      <c r="B241" s="14" t="str">
        <f>TRIM(VLOOKUP($A241,'1. Calculo PERT'!$A:$C,3,FALSE()))</f>
        <v>Hito: Cierre del proyecto</v>
      </c>
      <c r="C241" s="7" t="s">
        <v>841</v>
      </c>
      <c r="D241" s="14" t="str">
        <f>TRIM(VLOOKUP($C241,'1. Calculo PERT'!$A:$C,3,FALSE()))</f>
        <v>Entregar garantias y polizas de estabilidad post-obra</v>
      </c>
      <c r="E241" s="5" t="s">
        <v>895</v>
      </c>
      <c r="F241" s="5">
        <v>0</v>
      </c>
      <c r="G241" s="7" t="s">
        <v>896</v>
      </c>
    </row>
    <row r="242" spans="1:7" x14ac:dyDescent="0.25">
      <c r="A242" s="7" t="s">
        <v>867</v>
      </c>
      <c r="B242" s="14" t="str">
        <f>TRIM(VLOOKUP($A242,'1. Calculo PERT'!$A:$C,3,FALSE()))</f>
        <v>Hito: Cierre del proyecto</v>
      </c>
      <c r="C242" s="7" t="s">
        <v>854</v>
      </c>
      <c r="D242" s="14" t="str">
        <f>TRIM(VLOOKUP($C242,'1. Calculo PERT'!$A:$C,3,FALSE()))</f>
        <v>Suscribir el acta de liquidacion del contrato</v>
      </c>
      <c r="E242" s="5" t="s">
        <v>895</v>
      </c>
      <c r="F242" s="5">
        <v>0</v>
      </c>
      <c r="G242" s="7" t="s">
        <v>896</v>
      </c>
    </row>
    <row r="243" spans="1:7" x14ac:dyDescent="0.25">
      <c r="A243" s="7" t="s">
        <v>867</v>
      </c>
      <c r="B243" s="14" t="str">
        <f>TRIM(VLOOKUP($A243,'1. Calculo PERT'!$A:$C,3,FALSE()))</f>
        <v>Hito: Cierre del proyecto</v>
      </c>
      <c r="C243" s="7" t="s">
        <v>859</v>
      </c>
      <c r="D243" s="14" t="str">
        <f>TRIM(VLOOKUP($C243,'1. Calculo PERT'!$A:$C,3,FALSE()))</f>
        <v>Tramitar paz y salvo de proveedores y subcontratistas</v>
      </c>
      <c r="E243" s="5" t="s">
        <v>895</v>
      </c>
      <c r="F243" s="5">
        <v>0</v>
      </c>
      <c r="G243" s="7" t="s">
        <v>896</v>
      </c>
    </row>
    <row r="244" spans="1:7" x14ac:dyDescent="0.25">
      <c r="A244" s="7" t="s">
        <v>867</v>
      </c>
      <c r="B244" s="14" t="str">
        <f>TRIM(VLOOKUP($A244,'1. Calculo PERT'!$A:$C,3,FALSE()))</f>
        <v>Hito: Cierre del proyecto</v>
      </c>
      <c r="C244" s="7" t="s">
        <v>864</v>
      </c>
      <c r="D244" s="14" t="str">
        <f>TRIM(VLOOKUP($C244,'1. Calculo PERT'!$A:$C,3,FALSE()))</f>
        <v>Cerrar permisos ambientales y compensaciones</v>
      </c>
      <c r="E244" s="5" t="s">
        <v>895</v>
      </c>
      <c r="F244" s="5">
        <v>0</v>
      </c>
      <c r="G244" s="7" t="s">
        <v>896</v>
      </c>
    </row>
    <row r="246" spans="1:7" x14ac:dyDescent="0.25">
      <c r="A246" s="8" t="s">
        <v>904</v>
      </c>
      <c r="B246" s="7">
        <f>COUNTA(E5:E244)</f>
        <v>240</v>
      </c>
    </row>
    <row r="247" spans="1:7" x14ac:dyDescent="0.25">
      <c r="A247" s="7" t="s">
        <v>905</v>
      </c>
      <c r="B247" s="7">
        <f>COUNTIF($E$5:$E$244,"FC")</f>
        <v>235</v>
      </c>
    </row>
    <row r="248" spans="1:7" x14ac:dyDescent="0.25">
      <c r="A248" s="7" t="s">
        <v>906</v>
      </c>
      <c r="B248" s="7">
        <f>COUNTIF($E$5:$E$244,"CC")</f>
        <v>4</v>
      </c>
    </row>
    <row r="249" spans="1:7" x14ac:dyDescent="0.25">
      <c r="A249" s="7" t="s">
        <v>907</v>
      </c>
      <c r="B249" s="7">
        <f>COUNTIF($E$5:$E$244,"FF")</f>
        <v>1</v>
      </c>
    </row>
    <row r="250" spans="1:7" x14ac:dyDescent="0.25">
      <c r="A250" s="7" t="s">
        <v>908</v>
      </c>
      <c r="B250" s="7">
        <f>COUNTIF($E$5:$E$244,"CF")</f>
        <v>0</v>
      </c>
    </row>
  </sheetData>
  <conditionalFormatting sqref="A5:G244">
    <cfRule type="expression" dxfId="4" priority="2">
      <formula>$E5&lt;&gt;"FC"</formula>
    </cfRule>
  </conditionalFormatting>
  <pageMargins left="0.75" right="0.75" top="1" bottom="1" header="0.511811023622047" footer="0.511811023622047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10"/>
  <sheetViews>
    <sheetView zoomScaleNormal="100" workbookViewId="0">
      <selection activeCell="G28" sqref="G28"/>
    </sheetView>
  </sheetViews>
  <sheetFormatPr baseColWidth="10" defaultColWidth="8.7109375" defaultRowHeight="15" x14ac:dyDescent="0.25"/>
  <cols>
    <col min="1" max="1" width="11" customWidth="1"/>
    <col min="2" max="2" width="48" customWidth="1"/>
    <col min="3" max="3" width="7" customWidth="1"/>
    <col min="4" max="4" width="12" customWidth="1"/>
    <col min="5" max="5" width="62" customWidth="1"/>
  </cols>
  <sheetData>
    <row r="1" spans="1:5" ht="16.5" x14ac:dyDescent="0.25">
      <c r="A1" s="1" t="s">
        <v>909</v>
      </c>
    </row>
    <row r="3" spans="1:5" x14ac:dyDescent="0.25">
      <c r="A3" s="6" t="s">
        <v>32</v>
      </c>
      <c r="B3" s="6" t="s">
        <v>910</v>
      </c>
      <c r="C3" s="6" t="s">
        <v>911</v>
      </c>
      <c r="D3" s="6" t="s">
        <v>912</v>
      </c>
      <c r="E3" s="6" t="s">
        <v>913</v>
      </c>
    </row>
    <row r="4" spans="1:5" x14ac:dyDescent="0.25">
      <c r="A4" s="7" t="s">
        <v>214</v>
      </c>
      <c r="B4" s="7" t="s">
        <v>914</v>
      </c>
      <c r="C4" s="14">
        <f>VLOOKUP($A4,'2. Red CPM-Ruta Critica'!$A:$I,9,FALSE())</f>
        <v>3</v>
      </c>
      <c r="D4" s="3">
        <f>'0. Parametros'!$B$3+C4-1</f>
        <v>45672</v>
      </c>
      <c r="E4" s="7" t="s">
        <v>915</v>
      </c>
    </row>
    <row r="5" spans="1:5" x14ac:dyDescent="0.25">
      <c r="A5" s="7" t="s">
        <v>349</v>
      </c>
      <c r="B5" s="7" t="s">
        <v>916</v>
      </c>
      <c r="C5" s="14">
        <f>VLOOKUP($A5,'2. Red CPM-Ruta Critica'!$A:$I,9,FALSE())</f>
        <v>264</v>
      </c>
      <c r="D5" s="3">
        <f>'0. Parametros'!$B$3+C5-1</f>
        <v>45933</v>
      </c>
      <c r="E5" s="7" t="s">
        <v>917</v>
      </c>
    </row>
    <row r="6" spans="1:5" x14ac:dyDescent="0.25">
      <c r="A6" s="7" t="s">
        <v>353</v>
      </c>
      <c r="B6" s="7" t="s">
        <v>918</v>
      </c>
      <c r="C6" s="14">
        <f>VLOOKUP($A6,'2. Red CPM-Ruta Critica'!$A:$I,9,FALSE())</f>
        <v>270</v>
      </c>
      <c r="D6" s="3">
        <f>'0. Parametros'!$B$3+C6-1</f>
        <v>45939</v>
      </c>
      <c r="E6" s="7" t="s">
        <v>919</v>
      </c>
    </row>
    <row r="7" spans="1:5" x14ac:dyDescent="0.25">
      <c r="A7" s="7" t="s">
        <v>757</v>
      </c>
      <c r="B7" s="7" t="s">
        <v>920</v>
      </c>
      <c r="C7" s="14">
        <f>VLOOKUP($A7,'2. Red CPM-Ruta Critica'!$A:$I,9,FALSE())</f>
        <v>570</v>
      </c>
      <c r="D7" s="3">
        <f>'0. Parametros'!$B$3+C7-1</f>
        <v>46239</v>
      </c>
      <c r="E7" s="7" t="s">
        <v>921</v>
      </c>
    </row>
    <row r="8" spans="1:5" x14ac:dyDescent="0.25">
      <c r="A8" s="7" t="s">
        <v>794</v>
      </c>
      <c r="B8" s="7" t="s">
        <v>922</v>
      </c>
      <c r="C8" s="14">
        <f>VLOOKUP($A8,'2. Red CPM-Ruta Critica'!$A:$I,9,FALSE())</f>
        <v>584</v>
      </c>
      <c r="D8" s="3">
        <f>'0. Parametros'!$B$3+C8-1</f>
        <v>46253</v>
      </c>
      <c r="E8" s="7" t="s">
        <v>923</v>
      </c>
    </row>
    <row r="9" spans="1:5" x14ac:dyDescent="0.25">
      <c r="A9" s="7" t="s">
        <v>811</v>
      </c>
      <c r="B9" s="7" t="s">
        <v>924</v>
      </c>
      <c r="C9" s="14">
        <f>VLOOKUP($A9,'2. Red CPM-Ruta Critica'!$A:$I,9,FALSE())</f>
        <v>603</v>
      </c>
      <c r="D9" s="3">
        <f>'0. Parametros'!$B$3+C9-1</f>
        <v>46272</v>
      </c>
      <c r="E9" s="7" t="s">
        <v>925</v>
      </c>
    </row>
    <row r="10" spans="1:5" x14ac:dyDescent="0.25">
      <c r="A10" s="7" t="s">
        <v>867</v>
      </c>
      <c r="B10" s="7" t="s">
        <v>926</v>
      </c>
      <c r="C10" s="14">
        <f>VLOOKUP($A10,'2. Red CPM-Ruta Critica'!$A:$I,9,FALSE())</f>
        <v>630</v>
      </c>
      <c r="D10" s="3">
        <f>'0. Parametros'!$B$3+C10-1</f>
        <v>46299</v>
      </c>
      <c r="E10" s="7" t="s">
        <v>927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38"/>
  <sheetViews>
    <sheetView zoomScaleNormal="100" workbookViewId="0">
      <selection activeCell="B37" sqref="B37"/>
    </sheetView>
  </sheetViews>
  <sheetFormatPr baseColWidth="10" defaultColWidth="8.7109375" defaultRowHeight="15" x14ac:dyDescent="0.25"/>
  <cols>
    <col min="1" max="1" width="34" customWidth="1"/>
    <col min="2" max="2" width="18" customWidth="1"/>
    <col min="3" max="3" width="38" customWidth="1"/>
    <col min="4" max="4" width="52" customWidth="1"/>
    <col min="5" max="5" width="8" customWidth="1"/>
    <col min="6" max="6" width="60" customWidth="1"/>
  </cols>
  <sheetData>
    <row r="1" spans="1:6" ht="16.5" x14ac:dyDescent="0.25">
      <c r="A1" s="1" t="s">
        <v>928</v>
      </c>
    </row>
    <row r="2" spans="1:6" x14ac:dyDescent="0.25">
      <c r="A2" s="8" t="s">
        <v>929</v>
      </c>
    </row>
    <row r="3" spans="1:6" x14ac:dyDescent="0.25">
      <c r="A3" s="6" t="s">
        <v>930</v>
      </c>
      <c r="B3" s="6" t="s">
        <v>931</v>
      </c>
      <c r="C3" s="6" t="s">
        <v>932</v>
      </c>
      <c r="D3" s="6" t="s">
        <v>933</v>
      </c>
    </row>
    <row r="4" spans="1:6" x14ac:dyDescent="0.25">
      <c r="A4" s="7" t="s">
        <v>934</v>
      </c>
      <c r="B4" s="7">
        <v>2</v>
      </c>
      <c r="C4" s="7" t="s">
        <v>935</v>
      </c>
      <c r="D4" s="7" t="s">
        <v>936</v>
      </c>
    </row>
    <row r="5" spans="1:6" x14ac:dyDescent="0.25">
      <c r="A5" s="7" t="s">
        <v>937</v>
      </c>
      <c r="B5" s="7">
        <v>1</v>
      </c>
      <c r="C5" s="7" t="s">
        <v>938</v>
      </c>
      <c r="D5" s="7" t="s">
        <v>939</v>
      </c>
    </row>
    <row r="6" spans="1:6" x14ac:dyDescent="0.25">
      <c r="A6" s="7" t="s">
        <v>940</v>
      </c>
      <c r="B6" s="7">
        <v>2</v>
      </c>
      <c r="C6" s="7" t="s">
        <v>941</v>
      </c>
      <c r="D6" s="7" t="s">
        <v>942</v>
      </c>
    </row>
    <row r="7" spans="1:6" x14ac:dyDescent="0.25">
      <c r="A7" s="7" t="s">
        <v>943</v>
      </c>
      <c r="B7" s="7">
        <v>1</v>
      </c>
      <c r="C7" s="7" t="s">
        <v>944</v>
      </c>
      <c r="D7" s="7" t="s">
        <v>945</v>
      </c>
    </row>
    <row r="8" spans="1:6" x14ac:dyDescent="0.25">
      <c r="A8" s="7" t="s">
        <v>946</v>
      </c>
      <c r="B8" s="7">
        <v>1</v>
      </c>
      <c r="C8" s="7" t="s">
        <v>947</v>
      </c>
      <c r="D8" s="7" t="s">
        <v>948</v>
      </c>
    </row>
    <row r="9" spans="1:6" x14ac:dyDescent="0.25">
      <c r="A9" s="7" t="s">
        <v>949</v>
      </c>
      <c r="B9" s="7">
        <v>1</v>
      </c>
      <c r="C9" s="7" t="s">
        <v>950</v>
      </c>
      <c r="D9" s="7" t="s">
        <v>951</v>
      </c>
    </row>
    <row r="10" spans="1:6" x14ac:dyDescent="0.25">
      <c r="A10" s="7" t="s">
        <v>952</v>
      </c>
      <c r="B10" s="7" t="s">
        <v>953</v>
      </c>
      <c r="C10" s="7" t="s">
        <v>954</v>
      </c>
      <c r="D10" s="7" t="s">
        <v>955</v>
      </c>
    </row>
    <row r="12" spans="1:6" x14ac:dyDescent="0.25">
      <c r="A12" s="8" t="s">
        <v>956</v>
      </c>
    </row>
    <row r="13" spans="1:6" x14ac:dyDescent="0.25">
      <c r="A13" s="6" t="s">
        <v>957</v>
      </c>
      <c r="B13" s="6" t="s">
        <v>958</v>
      </c>
      <c r="C13" s="6" t="s">
        <v>959</v>
      </c>
      <c r="D13" s="6" t="s">
        <v>960</v>
      </c>
      <c r="E13" s="6" t="s">
        <v>961</v>
      </c>
      <c r="F13" s="6" t="s">
        <v>962</v>
      </c>
    </row>
    <row r="14" spans="1:6" x14ac:dyDescent="0.25">
      <c r="A14" s="7">
        <v>1</v>
      </c>
      <c r="B14" s="5">
        <v>6</v>
      </c>
      <c r="C14" s="5">
        <v>1</v>
      </c>
      <c r="D14" s="5">
        <v>2</v>
      </c>
      <c r="E14" s="7">
        <f t="shared" ref="E14:E34" si="0">SUM(B14:D14)</f>
        <v>9</v>
      </c>
      <c r="F14" s="7" t="str">
        <f t="shared" ref="F14:F34" si="1">REPT("|",E14)</f>
        <v>|||||||||</v>
      </c>
    </row>
    <row r="15" spans="1:6" x14ac:dyDescent="0.25">
      <c r="A15" s="7">
        <v>2</v>
      </c>
      <c r="B15" s="5">
        <v>7</v>
      </c>
      <c r="C15" s="5">
        <v>1</v>
      </c>
      <c r="D15" s="5">
        <v>3</v>
      </c>
      <c r="E15" s="7">
        <f t="shared" si="0"/>
        <v>11</v>
      </c>
      <c r="F15" s="7" t="str">
        <f t="shared" si="1"/>
        <v>|||||||||||</v>
      </c>
    </row>
    <row r="16" spans="1:6" x14ac:dyDescent="0.25">
      <c r="A16" s="7">
        <v>3</v>
      </c>
      <c r="B16" s="5">
        <v>8</v>
      </c>
      <c r="C16" s="5">
        <v>2</v>
      </c>
      <c r="D16" s="5">
        <v>4</v>
      </c>
      <c r="E16" s="7">
        <f t="shared" si="0"/>
        <v>14</v>
      </c>
      <c r="F16" s="7" t="str">
        <f t="shared" si="1"/>
        <v>||||||||||||||</v>
      </c>
    </row>
    <row r="17" spans="1:6" x14ac:dyDescent="0.25">
      <c r="A17" s="7">
        <v>4</v>
      </c>
      <c r="B17" s="5">
        <v>10</v>
      </c>
      <c r="C17" s="5">
        <v>3</v>
      </c>
      <c r="D17" s="5">
        <v>4</v>
      </c>
      <c r="E17" s="7">
        <f t="shared" si="0"/>
        <v>17</v>
      </c>
      <c r="F17" s="7" t="str">
        <f t="shared" si="1"/>
        <v>|||||||||||||||||</v>
      </c>
    </row>
    <row r="18" spans="1:6" x14ac:dyDescent="0.25">
      <c r="A18" s="7">
        <v>5</v>
      </c>
      <c r="B18" s="5">
        <v>10</v>
      </c>
      <c r="C18" s="5">
        <v>3</v>
      </c>
      <c r="D18" s="5">
        <v>5</v>
      </c>
      <c r="E18" s="7">
        <f t="shared" si="0"/>
        <v>18</v>
      </c>
      <c r="F18" s="7" t="str">
        <f t="shared" si="1"/>
        <v>||||||||||||||||||</v>
      </c>
    </row>
    <row r="19" spans="1:6" x14ac:dyDescent="0.25">
      <c r="A19" s="7">
        <v>6</v>
      </c>
      <c r="B19" s="5">
        <v>10</v>
      </c>
      <c r="C19" s="5">
        <v>4</v>
      </c>
      <c r="D19" s="5">
        <v>5</v>
      </c>
      <c r="E19" s="7">
        <f t="shared" si="0"/>
        <v>19</v>
      </c>
      <c r="F19" s="7" t="str">
        <f t="shared" si="1"/>
        <v>|||||||||||||||||||</v>
      </c>
    </row>
    <row r="20" spans="1:6" x14ac:dyDescent="0.25">
      <c r="A20" s="7">
        <v>7</v>
      </c>
      <c r="B20" s="5">
        <v>10</v>
      </c>
      <c r="C20" s="5">
        <v>4</v>
      </c>
      <c r="D20" s="5">
        <v>6</v>
      </c>
      <c r="E20" s="7">
        <f t="shared" si="0"/>
        <v>20</v>
      </c>
      <c r="F20" s="7" t="str">
        <f t="shared" si="1"/>
        <v>||||||||||||||||||||</v>
      </c>
    </row>
    <row r="21" spans="1:6" x14ac:dyDescent="0.25">
      <c r="A21" s="7">
        <v>8</v>
      </c>
      <c r="B21" s="5">
        <v>10</v>
      </c>
      <c r="C21" s="5">
        <v>4</v>
      </c>
      <c r="D21" s="5">
        <v>6</v>
      </c>
      <c r="E21" s="7">
        <f t="shared" si="0"/>
        <v>20</v>
      </c>
      <c r="F21" s="7" t="str">
        <f t="shared" si="1"/>
        <v>||||||||||||||||||||</v>
      </c>
    </row>
    <row r="22" spans="1:6" x14ac:dyDescent="0.25">
      <c r="A22" s="7">
        <v>9</v>
      </c>
      <c r="B22" s="5">
        <v>11</v>
      </c>
      <c r="C22" s="5">
        <v>4</v>
      </c>
      <c r="D22" s="5">
        <v>6</v>
      </c>
      <c r="E22" s="7">
        <f t="shared" si="0"/>
        <v>21</v>
      </c>
      <c r="F22" s="7" t="str">
        <f t="shared" si="1"/>
        <v>|||||||||||||||||||||</v>
      </c>
    </row>
    <row r="23" spans="1:6" x14ac:dyDescent="0.25">
      <c r="A23" s="7">
        <v>10</v>
      </c>
      <c r="B23" s="5">
        <v>12</v>
      </c>
      <c r="C23" s="5">
        <v>6</v>
      </c>
      <c r="D23" s="5">
        <v>15</v>
      </c>
      <c r="E23" s="7">
        <f t="shared" si="0"/>
        <v>33</v>
      </c>
      <c r="F23" s="7" t="str">
        <f t="shared" si="1"/>
        <v>|||||||||||||||||||||||||||||||||</v>
      </c>
    </row>
    <row r="24" spans="1:6" x14ac:dyDescent="0.25">
      <c r="A24" s="7">
        <v>11</v>
      </c>
      <c r="B24" s="5">
        <v>12</v>
      </c>
      <c r="C24" s="5">
        <v>9</v>
      </c>
      <c r="D24" s="5">
        <v>30</v>
      </c>
      <c r="E24" s="7">
        <f t="shared" si="0"/>
        <v>51</v>
      </c>
      <c r="F24" s="7" t="str">
        <f t="shared" si="1"/>
        <v>|||||||||||||||||||||||||||||||||||||||||||||||||||</v>
      </c>
    </row>
    <row r="25" spans="1:6" x14ac:dyDescent="0.25">
      <c r="A25" s="7">
        <v>12</v>
      </c>
      <c r="B25" s="5">
        <v>12</v>
      </c>
      <c r="C25" s="5">
        <v>11</v>
      </c>
      <c r="D25" s="5">
        <v>45</v>
      </c>
      <c r="E25" s="7">
        <f t="shared" si="0"/>
        <v>68</v>
      </c>
      <c r="F25" s="7" t="str">
        <f t="shared" si="1"/>
        <v>||||||||||||||||||||||||||||||||||||||||||||||||||||||||||||||||||||</v>
      </c>
    </row>
    <row r="26" spans="1:6" x14ac:dyDescent="0.25">
      <c r="A26" s="7">
        <v>13</v>
      </c>
      <c r="B26" s="5">
        <v>12</v>
      </c>
      <c r="C26" s="5">
        <v>12</v>
      </c>
      <c r="D26" s="5">
        <v>55</v>
      </c>
      <c r="E26" s="7">
        <f t="shared" si="0"/>
        <v>79</v>
      </c>
      <c r="F26" s="7" t="str">
        <f t="shared" si="1"/>
        <v>|||||||||||||||||||||||||||||||||||||||||||||||||||||||||||||||||||||||||||||||</v>
      </c>
    </row>
    <row r="27" spans="1:6" x14ac:dyDescent="0.25">
      <c r="A27" s="7">
        <v>14</v>
      </c>
      <c r="B27" s="5">
        <v>12</v>
      </c>
      <c r="C27" s="5">
        <v>12</v>
      </c>
      <c r="D27" s="5">
        <v>60</v>
      </c>
      <c r="E27" s="7">
        <f t="shared" si="0"/>
        <v>84</v>
      </c>
      <c r="F27" s="7" t="str">
        <f t="shared" si="1"/>
        <v>||||||||||||||||||||||||||||||||||||||||||||||||||||||||||||||||||||||||||||||||||||</v>
      </c>
    </row>
    <row r="28" spans="1:6" x14ac:dyDescent="0.25">
      <c r="A28" s="7">
        <v>15</v>
      </c>
      <c r="B28" s="5">
        <v>12</v>
      </c>
      <c r="C28" s="5">
        <v>12</v>
      </c>
      <c r="D28" s="5">
        <v>60</v>
      </c>
      <c r="E28" s="7">
        <f t="shared" si="0"/>
        <v>84</v>
      </c>
      <c r="F28" s="7" t="str">
        <f t="shared" si="1"/>
        <v>||||||||||||||||||||||||||||||||||||||||||||||||||||||||||||||||||||||||||||||||||||</v>
      </c>
    </row>
    <row r="29" spans="1:6" x14ac:dyDescent="0.25">
      <c r="A29" s="7">
        <v>16</v>
      </c>
      <c r="B29" s="5">
        <v>12</v>
      </c>
      <c r="C29" s="5">
        <v>11</v>
      </c>
      <c r="D29" s="5">
        <v>50</v>
      </c>
      <c r="E29" s="7">
        <f t="shared" si="0"/>
        <v>73</v>
      </c>
      <c r="F29" s="7" t="str">
        <f t="shared" si="1"/>
        <v>|||||||||||||||||||||||||||||||||||||||||||||||||||||||||||||||||||||||||</v>
      </c>
    </row>
    <row r="30" spans="1:6" x14ac:dyDescent="0.25">
      <c r="A30" s="7">
        <v>17</v>
      </c>
      <c r="B30" s="5">
        <v>12</v>
      </c>
      <c r="C30" s="5">
        <v>10</v>
      </c>
      <c r="D30" s="5">
        <v>40</v>
      </c>
      <c r="E30" s="7">
        <f t="shared" si="0"/>
        <v>62</v>
      </c>
      <c r="F30" s="7" t="str">
        <f t="shared" si="1"/>
        <v>||||||||||||||||||||||||||||||||||||||||||||||||||||||||||||||</v>
      </c>
    </row>
    <row r="31" spans="1:6" x14ac:dyDescent="0.25">
      <c r="A31" s="7">
        <v>18</v>
      </c>
      <c r="B31" s="5">
        <v>11</v>
      </c>
      <c r="C31" s="5">
        <v>8</v>
      </c>
      <c r="D31" s="5">
        <v>28</v>
      </c>
      <c r="E31" s="7">
        <f t="shared" si="0"/>
        <v>47</v>
      </c>
      <c r="F31" s="7" t="str">
        <f t="shared" si="1"/>
        <v>|||||||||||||||||||||||||||||||||||||||||||||||</v>
      </c>
    </row>
    <row r="32" spans="1:6" x14ac:dyDescent="0.25">
      <c r="A32" s="7">
        <v>19</v>
      </c>
      <c r="B32" s="5">
        <v>10</v>
      </c>
      <c r="C32" s="5">
        <v>6</v>
      </c>
      <c r="D32" s="5">
        <v>18</v>
      </c>
      <c r="E32" s="7">
        <f t="shared" si="0"/>
        <v>34</v>
      </c>
      <c r="F32" s="7" t="str">
        <f t="shared" si="1"/>
        <v>||||||||||||||||||||||||||||||||||</v>
      </c>
    </row>
    <row r="33" spans="1:6" x14ac:dyDescent="0.25">
      <c r="A33" s="7">
        <v>20</v>
      </c>
      <c r="B33" s="5">
        <v>8</v>
      </c>
      <c r="C33" s="5">
        <v>3</v>
      </c>
      <c r="D33" s="5">
        <v>6</v>
      </c>
      <c r="E33" s="7">
        <f t="shared" si="0"/>
        <v>17</v>
      </c>
      <c r="F33" s="7" t="str">
        <f t="shared" si="1"/>
        <v>|||||||||||||||||</v>
      </c>
    </row>
    <row r="34" spans="1:6" x14ac:dyDescent="0.25">
      <c r="A34" s="7">
        <v>21</v>
      </c>
      <c r="B34" s="5">
        <v>6</v>
      </c>
      <c r="C34" s="5">
        <v>2</v>
      </c>
      <c r="D34" s="5">
        <v>4</v>
      </c>
      <c r="E34" s="7">
        <f t="shared" si="0"/>
        <v>12</v>
      </c>
      <c r="F34" s="7" t="str">
        <f t="shared" si="1"/>
        <v>||||||||||||</v>
      </c>
    </row>
    <row r="36" spans="1:6" x14ac:dyDescent="0.25">
      <c r="A36" s="8" t="s">
        <v>963</v>
      </c>
      <c r="B36" s="8">
        <f>MAX(E14:E34)</f>
        <v>84</v>
      </c>
    </row>
    <row r="37" spans="1:6" x14ac:dyDescent="0.25">
      <c r="A37" s="2" t="s">
        <v>964</v>
      </c>
    </row>
    <row r="38" spans="1:6" x14ac:dyDescent="0.25">
      <c r="A38" s="2" t="s">
        <v>965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42"/>
  <sheetViews>
    <sheetView zoomScaleNormal="100" workbookViewId="0"/>
  </sheetViews>
  <sheetFormatPr baseColWidth="10" defaultColWidth="8.7109375" defaultRowHeight="15" x14ac:dyDescent="0.25"/>
  <cols>
    <col min="1" max="1" width="46" customWidth="1"/>
    <col min="2" max="3" width="18" customWidth="1"/>
    <col min="4" max="5" width="14" customWidth="1"/>
    <col min="6" max="6" width="10" customWidth="1"/>
    <col min="7" max="7" width="18" customWidth="1"/>
  </cols>
  <sheetData>
    <row r="1" spans="1:4" ht="16.5" x14ac:dyDescent="0.25">
      <c r="A1" s="1" t="s">
        <v>966</v>
      </c>
    </row>
    <row r="3" spans="1:4" ht="25.5" x14ac:dyDescent="0.25">
      <c r="A3" s="6" t="s">
        <v>967</v>
      </c>
      <c r="B3" s="6" t="s">
        <v>968</v>
      </c>
      <c r="C3" s="6" t="s">
        <v>969</v>
      </c>
      <c r="D3" s="6" t="s">
        <v>970</v>
      </c>
    </row>
    <row r="4" spans="1:4" x14ac:dyDescent="0.25">
      <c r="A4" s="7" t="s">
        <v>971</v>
      </c>
      <c r="B4" s="14">
        <f>COUNTA('1. Calculo PERT'!A5:A207)</f>
        <v>203</v>
      </c>
      <c r="C4" s="7" t="s">
        <v>972</v>
      </c>
      <c r="D4" s="2" t="s">
        <v>973</v>
      </c>
    </row>
    <row r="5" spans="1:4" x14ac:dyDescent="0.25">
      <c r="A5" s="7" t="s">
        <v>974</v>
      </c>
      <c r="B5" s="14">
        <f>COUNTIF('2. Red CPM-Ruta Critica'!F5:F167,"&gt;0")</f>
        <v>156</v>
      </c>
      <c r="C5" s="7" t="s">
        <v>975</v>
      </c>
      <c r="D5" s="2" t="s">
        <v>976</v>
      </c>
    </row>
    <row r="6" spans="1:4" x14ac:dyDescent="0.25">
      <c r="A6" s="7" t="s">
        <v>977</v>
      </c>
      <c r="B6" s="14">
        <f>COUNTIF('2. Red CPM-Ruta Critica'!F5:F167,0)</f>
        <v>7</v>
      </c>
      <c r="C6" s="7" t="s">
        <v>978</v>
      </c>
      <c r="D6" s="2" t="s">
        <v>979</v>
      </c>
    </row>
    <row r="7" spans="1:4" x14ac:dyDescent="0.25">
      <c r="A7" s="7" t="s">
        <v>980</v>
      </c>
      <c r="B7" s="14">
        <f>COUNTIFS('2. Red CPM-Ruta Critica'!M5:M167,"SI",'2. Red CPM-Ruta Critica'!F5:F167,"&gt;0")</f>
        <v>49</v>
      </c>
      <c r="C7" s="7" t="s">
        <v>975</v>
      </c>
      <c r="D7" s="2" t="s">
        <v>981</v>
      </c>
    </row>
    <row r="8" spans="1:4" x14ac:dyDescent="0.25">
      <c r="A8" s="7" t="s">
        <v>982</v>
      </c>
      <c r="B8" s="14">
        <f>MAX('2. Red CPM-Ruta Critica'!I5:I167)</f>
        <v>630</v>
      </c>
      <c r="C8" s="7" t="s">
        <v>983</v>
      </c>
      <c r="D8" s="2" t="s">
        <v>984</v>
      </c>
    </row>
    <row r="9" spans="1:4" x14ac:dyDescent="0.25">
      <c r="A9" s="7" t="s">
        <v>985</v>
      </c>
      <c r="B9" s="17">
        <f>B8/'0. Parametros'!B5</f>
        <v>21</v>
      </c>
      <c r="C9" s="7" t="s">
        <v>986</v>
      </c>
      <c r="D9" s="2" t="s">
        <v>987</v>
      </c>
    </row>
    <row r="10" spans="1:4" x14ac:dyDescent="0.25">
      <c r="A10" s="7" t="s">
        <v>988</v>
      </c>
      <c r="B10" s="14">
        <f>ROUND(SQRT(SUMIFS('2. Red CPM-Ruta Critica'!P5:P167,'2. Red CPM-Ruta Critica'!M5:M167,"SI")),2)</f>
        <v>16.04</v>
      </c>
      <c r="C10" s="7" t="s">
        <v>989</v>
      </c>
      <c r="D10" s="2" t="s">
        <v>990</v>
      </c>
    </row>
    <row r="11" spans="1:4" x14ac:dyDescent="0.25">
      <c r="A11" s="7" t="s">
        <v>991</v>
      </c>
      <c r="B11" s="18">
        <f>'0. Parametros'!B3</f>
        <v>45670</v>
      </c>
      <c r="C11" s="7" t="s">
        <v>992</v>
      </c>
      <c r="D11" s="2" t="s">
        <v>993</v>
      </c>
    </row>
    <row r="12" spans="1:4" x14ac:dyDescent="0.25">
      <c r="A12" s="7" t="s">
        <v>994</v>
      </c>
      <c r="B12" s="18">
        <f>'0. Parametros'!G10</f>
        <v>46239</v>
      </c>
      <c r="C12" s="7" t="s">
        <v>992</v>
      </c>
      <c r="D12" s="2" t="s">
        <v>995</v>
      </c>
    </row>
    <row r="13" spans="1:4" x14ac:dyDescent="0.25">
      <c r="A13" s="7" t="s">
        <v>996</v>
      </c>
      <c r="B13" s="18">
        <f>'0. Parametros'!B3+B8-1</f>
        <v>46299</v>
      </c>
      <c r="C13" s="7" t="s">
        <v>992</v>
      </c>
      <c r="D13" s="2" t="s">
        <v>997</v>
      </c>
    </row>
    <row r="14" spans="1:4" x14ac:dyDescent="0.25">
      <c r="A14" s="7" t="s">
        <v>998</v>
      </c>
      <c r="B14" s="14">
        <f>'0. Parametros'!B14</f>
        <v>510</v>
      </c>
      <c r="C14" s="7" t="s">
        <v>999</v>
      </c>
      <c r="D14" s="2" t="s">
        <v>1000</v>
      </c>
    </row>
    <row r="16" spans="1:4" x14ac:dyDescent="0.25">
      <c r="A16" s="8" t="s">
        <v>1001</v>
      </c>
    </row>
    <row r="17" spans="1:7" ht="25.5" x14ac:dyDescent="0.25">
      <c r="A17" s="6" t="s">
        <v>5</v>
      </c>
      <c r="B17" s="6" t="s">
        <v>1002</v>
      </c>
      <c r="C17" s="6" t="s">
        <v>1003</v>
      </c>
      <c r="D17" s="6" t="s">
        <v>1004</v>
      </c>
      <c r="E17" s="6" t="s">
        <v>1005</v>
      </c>
      <c r="F17" s="6" t="s">
        <v>1006</v>
      </c>
      <c r="G17" s="6" t="s">
        <v>1007</v>
      </c>
    </row>
    <row r="18" spans="1:7" x14ac:dyDescent="0.25">
      <c r="A18" s="7" t="s">
        <v>12</v>
      </c>
      <c r="B18" s="7">
        <f t="array" ref="B18">MIN(IF('2. Red CPM-Ruta Critica'!$E$5:$E$167=$A18,'2. Red CPM-Ruta Critica'!$H$5:$H$167))</f>
        <v>0</v>
      </c>
      <c r="C18" s="7">
        <f t="array" ref="C18">MAX(IF('2. Red CPM-Ruta Critica'!$E$5:$E$167=$A18,'2. Red CPM-Ruta Critica'!$I$5:$I$167))</f>
        <v>90</v>
      </c>
      <c r="D18" s="7">
        <f>C18-B18</f>
        <v>90</v>
      </c>
      <c r="E18" s="14">
        <f>'0. Parametros'!C8</f>
        <v>90</v>
      </c>
      <c r="F18" s="7" t="str">
        <f>IF(D18=E18,"OK","REVISAR")</f>
        <v>OK</v>
      </c>
      <c r="G18" s="19">
        <f>SUMIF('2. Red CPM-Ruta Critica'!$E$5:$E$167,$A18,'2. Red CPM-Ruta Critica'!$Q$5:$Q$167)</f>
        <v>807018994</v>
      </c>
    </row>
    <row r="19" spans="1:7" x14ac:dyDescent="0.25">
      <c r="A19" s="7" t="s">
        <v>13</v>
      </c>
      <c r="B19" s="7">
        <f t="array" ref="B19">MIN(IF('2. Red CPM-Ruta Critica'!$E$5:$E$167=$A19,'2. Red CPM-Ruta Critica'!$H$5:$H$167))</f>
        <v>90</v>
      </c>
      <c r="C19" s="7">
        <f t="array" ref="C19">MAX(IF('2. Red CPM-Ruta Critica'!$E$5:$E$167=$A19,'2. Red CPM-Ruta Critica'!$I$5:$I$167))</f>
        <v>270</v>
      </c>
      <c r="D19" s="7">
        <f>C19-B19</f>
        <v>180</v>
      </c>
      <c r="E19" s="14">
        <f>'0. Parametros'!C9</f>
        <v>180</v>
      </c>
      <c r="F19" s="7" t="str">
        <f>IF(D19=E19,"OK","REVISAR")</f>
        <v>OK</v>
      </c>
      <c r="G19" s="19">
        <f>SUMIF('2. Red CPM-Ruta Critica'!$E$5:$E$167,$A19,'2. Red CPM-Ruta Critica'!$Q$5:$Q$167)</f>
        <v>873768764</v>
      </c>
    </row>
    <row r="20" spans="1:7" x14ac:dyDescent="0.25">
      <c r="A20" s="7" t="s">
        <v>14</v>
      </c>
      <c r="B20" s="7">
        <f t="array" ref="B20">MIN(IF('2. Red CPM-Ruta Critica'!$E$5:$E$167=$A20,'2. Red CPM-Ruta Critica'!$H$5:$H$167))</f>
        <v>270</v>
      </c>
      <c r="C20" s="7">
        <f t="array" ref="C20">MAX(IF('2. Red CPM-Ruta Critica'!$E$5:$E$167=$A20,'2. Red CPM-Ruta Critica'!$I$5:$I$167))</f>
        <v>570</v>
      </c>
      <c r="D20" s="7">
        <f>C20-B20</f>
        <v>300</v>
      </c>
      <c r="E20" s="14">
        <f>'0. Parametros'!C10</f>
        <v>300</v>
      </c>
      <c r="F20" s="7" t="str">
        <f>IF(D20=E20,"OK","REVISAR")</f>
        <v>OK</v>
      </c>
      <c r="G20" s="19">
        <f>SUMIF('2. Red CPM-Ruta Critica'!$E$5:$E$167,$A20,'2. Red CPM-Ruta Critica'!$Q$5:$Q$167)</f>
        <v>10197470837</v>
      </c>
    </row>
    <row r="21" spans="1:7" x14ac:dyDescent="0.25">
      <c r="A21" s="7" t="s">
        <v>15</v>
      </c>
      <c r="B21" s="7">
        <f t="array" ref="B21">MIN(IF('2. Red CPM-Ruta Critica'!$E$5:$E$167=$A21,'2. Red CPM-Ruta Critica'!$H$5:$H$167))</f>
        <v>570</v>
      </c>
      <c r="C21" s="7">
        <f t="array" ref="C21">MAX(IF('2. Red CPM-Ruta Critica'!$E$5:$E$167=$A21,'2. Red CPM-Ruta Critica'!$I$5:$I$167))</f>
        <v>630</v>
      </c>
      <c r="D21" s="7">
        <f>C21-B21</f>
        <v>60</v>
      </c>
      <c r="E21" s="14">
        <f>'0. Parametros'!C11</f>
        <v>60</v>
      </c>
      <c r="F21" s="7" t="str">
        <f>IF(D21=E21,"OK","REVISAR")</f>
        <v>OK</v>
      </c>
      <c r="G21" s="19">
        <f>SUMIF('2. Red CPM-Ruta Critica'!$E$5:$E$167,$A21,'2. Red CPM-Ruta Critica'!$Q$5:$Q$167)</f>
        <v>456642970</v>
      </c>
    </row>
    <row r="22" spans="1:7" x14ac:dyDescent="0.25">
      <c r="A22" s="8" t="s">
        <v>16</v>
      </c>
      <c r="D22" s="8">
        <f>SUM(D18:D21)</f>
        <v>630</v>
      </c>
      <c r="G22" s="20">
        <f>SUM(G18:G21)</f>
        <v>12334901565</v>
      </c>
    </row>
    <row r="24" spans="1:7" x14ac:dyDescent="0.25">
      <c r="A24" s="8" t="s">
        <v>1008</v>
      </c>
    </row>
    <row r="25" spans="1:7" ht="25.5" x14ac:dyDescent="0.25">
      <c r="A25" s="6" t="s">
        <v>1009</v>
      </c>
      <c r="B25" s="6" t="s">
        <v>1007</v>
      </c>
      <c r="C25" s="6" t="s">
        <v>1010</v>
      </c>
      <c r="D25" s="6" t="s">
        <v>1011</v>
      </c>
    </row>
    <row r="26" spans="1:7" x14ac:dyDescent="0.25">
      <c r="A26" s="7" t="s">
        <v>366</v>
      </c>
      <c r="B26" s="16">
        <f>SUMIF('1. Calculo PERT'!$E$5:$E$207,$A26,'1. Calculo PERT'!$P$5:$P$207)</f>
        <v>637623487</v>
      </c>
      <c r="C26" s="12">
        <v>637623487</v>
      </c>
      <c r="D26" s="19">
        <f t="shared" ref="D26:D40" si="0">C26-B26</f>
        <v>0</v>
      </c>
    </row>
    <row r="27" spans="1:7" x14ac:dyDescent="0.25">
      <c r="A27" s="7" t="s">
        <v>498</v>
      </c>
      <c r="B27" s="16">
        <f>SUMIF('1. Calculo PERT'!$E$5:$E$207,$A27,'1. Calculo PERT'!$P$5:$P$207)</f>
        <v>4300085158</v>
      </c>
      <c r="C27" s="12">
        <v>4300085158</v>
      </c>
      <c r="D27" s="19">
        <f t="shared" si="0"/>
        <v>0</v>
      </c>
    </row>
    <row r="28" spans="1:7" x14ac:dyDescent="0.25">
      <c r="A28" s="7" t="s">
        <v>651</v>
      </c>
      <c r="B28" s="16">
        <f>SUMIF('1. Calculo PERT'!$E$5:$E$207,$A28,'1. Calculo PERT'!$P$5:$P$207)</f>
        <v>164032076</v>
      </c>
      <c r="C28" s="12">
        <v>164032076</v>
      </c>
      <c r="D28" s="19">
        <f t="shared" si="0"/>
        <v>0</v>
      </c>
    </row>
    <row r="29" spans="1:7" x14ac:dyDescent="0.25">
      <c r="A29" s="7" t="s">
        <v>687</v>
      </c>
      <c r="B29" s="16">
        <f>SUMIF('1. Calculo PERT'!$E$5:$E$207,$A29,'1. Calculo PERT'!$P$5:$P$207)</f>
        <v>132387870</v>
      </c>
      <c r="C29" s="12">
        <v>132387870</v>
      </c>
      <c r="D29" s="19">
        <f t="shared" si="0"/>
        <v>0</v>
      </c>
    </row>
    <row r="30" spans="1:7" x14ac:dyDescent="0.25">
      <c r="A30" s="7" t="s">
        <v>613</v>
      </c>
      <c r="B30" s="16">
        <f>SUMIF('1. Calculo PERT'!$E$5:$E$207,$A30,'1. Calculo PERT'!$P$5:$P$207)</f>
        <v>1156485475</v>
      </c>
      <c r="C30" s="12">
        <v>1156485475</v>
      </c>
      <c r="D30" s="19">
        <f t="shared" si="0"/>
        <v>0</v>
      </c>
    </row>
    <row r="31" spans="1:7" x14ac:dyDescent="0.25">
      <c r="A31" s="7" t="s">
        <v>683</v>
      </c>
      <c r="B31" s="16">
        <f>SUMIF('1. Calculo PERT'!$E$5:$E$207,$A31,'1. Calculo PERT'!$P$5:$P$207)</f>
        <v>196595189</v>
      </c>
      <c r="C31" s="12">
        <v>196595189</v>
      </c>
      <c r="D31" s="19">
        <f t="shared" si="0"/>
        <v>0</v>
      </c>
    </row>
    <row r="32" spans="1:7" x14ac:dyDescent="0.25">
      <c r="A32" s="7" t="s">
        <v>677</v>
      </c>
      <c r="B32" s="16">
        <f>SUMIF('1. Calculo PERT'!$E$5:$E$207,$A32,'1. Calculo PERT'!$P$5:$P$207)</f>
        <v>5078343</v>
      </c>
      <c r="C32" s="12">
        <v>5078343</v>
      </c>
      <c r="D32" s="19">
        <f t="shared" si="0"/>
        <v>0</v>
      </c>
    </row>
    <row r="33" spans="1:4" x14ac:dyDescent="0.25">
      <c r="A33" s="7" t="s">
        <v>387</v>
      </c>
      <c r="B33" s="16">
        <f>SUMIF('1. Calculo PERT'!$E$5:$E$207,$A33,'1. Calculo PERT'!$P$5:$P$207)</f>
        <v>2007868013</v>
      </c>
      <c r="C33" s="12">
        <v>2007868013</v>
      </c>
      <c r="D33" s="19">
        <f t="shared" si="0"/>
        <v>0</v>
      </c>
    </row>
    <row r="34" spans="1:4" x14ac:dyDescent="0.25">
      <c r="A34" s="7" t="s">
        <v>460</v>
      </c>
      <c r="B34" s="16">
        <f>SUMIF('1. Calculo PERT'!$E$5:$E$207,$A34,'1. Calculo PERT'!$P$5:$P$207)</f>
        <v>816088532</v>
      </c>
      <c r="C34" s="12">
        <v>816088532</v>
      </c>
      <c r="D34" s="19">
        <f t="shared" si="0"/>
        <v>0</v>
      </c>
    </row>
    <row r="35" spans="1:4" x14ac:dyDescent="0.25">
      <c r="A35" s="7" t="s">
        <v>711</v>
      </c>
      <c r="B35" s="16">
        <f>SUMIF('1. Calculo PERT'!$E$5:$E$207,$A35,'1. Calculo PERT'!$P$5:$P$207)</f>
        <v>371066631</v>
      </c>
      <c r="C35" s="12">
        <v>371066631</v>
      </c>
      <c r="D35" s="19">
        <f t="shared" si="0"/>
        <v>0</v>
      </c>
    </row>
    <row r="36" spans="1:4" x14ac:dyDescent="0.25">
      <c r="A36" s="7" t="s">
        <v>177</v>
      </c>
      <c r="B36" s="16">
        <f>SUMIF('1. Calculo PERT'!$E$5:$E$207,$A36,'1. Calculo PERT'!$P$5:$P$207)</f>
        <v>3502998</v>
      </c>
      <c r="C36" s="12">
        <v>3502998</v>
      </c>
      <c r="D36" s="19">
        <f t="shared" si="0"/>
        <v>0</v>
      </c>
    </row>
    <row r="37" spans="1:4" x14ac:dyDescent="0.25">
      <c r="A37" s="7" t="s">
        <v>578</v>
      </c>
      <c r="B37" s="16">
        <f>SUMIF('1. Calculo PERT'!$E$5:$E$207,$A37,'1. Calculo PERT'!$P$5:$P$207)</f>
        <v>410160063</v>
      </c>
      <c r="C37" s="12">
        <v>410160063</v>
      </c>
      <c r="D37" s="19">
        <f t="shared" si="0"/>
        <v>0</v>
      </c>
    </row>
    <row r="38" spans="1:4" x14ac:dyDescent="0.25">
      <c r="A38" s="7" t="s">
        <v>54</v>
      </c>
      <c r="B38" s="16">
        <f>SUMIF('1. Calculo PERT'!$E$5:$E$207,$A38,'1. Calculo PERT'!$P$5:$P$207)</f>
        <v>2133927730</v>
      </c>
      <c r="C38" s="12">
        <v>2133927730</v>
      </c>
      <c r="D38" s="19">
        <f t="shared" si="0"/>
        <v>0</v>
      </c>
    </row>
    <row r="39" spans="1:4" x14ac:dyDescent="0.25">
      <c r="A39" t="s">
        <v>1012</v>
      </c>
      <c r="B39" s="12">
        <v>996658470</v>
      </c>
      <c r="C39" s="12">
        <v>996658470</v>
      </c>
      <c r="D39" s="21">
        <f t="shared" si="0"/>
        <v>0</v>
      </c>
    </row>
    <row r="40" spans="1:4" x14ac:dyDescent="0.25">
      <c r="A40" s="8" t="s">
        <v>16</v>
      </c>
      <c r="B40" s="20">
        <f>SUM(B26:B39)</f>
        <v>13331560035</v>
      </c>
      <c r="C40" s="20">
        <f>SUM(C26:C39)</f>
        <v>13331560035</v>
      </c>
      <c r="D40" s="21">
        <f t="shared" si="0"/>
        <v>0</v>
      </c>
    </row>
    <row r="41" spans="1:4" x14ac:dyDescent="0.25">
      <c r="A41" t="s">
        <v>1013</v>
      </c>
      <c r="B41" s="12">
        <v>13331560035</v>
      </c>
      <c r="C41" s="21"/>
      <c r="D41" s="21"/>
    </row>
    <row r="42" spans="1:4" x14ac:dyDescent="0.25">
      <c r="A42" s="8" t="s">
        <v>1014</v>
      </c>
      <c r="B42" s="21">
        <f>B40-B41</f>
        <v>0</v>
      </c>
      <c r="C42" s="21"/>
      <c r="D42" s="21"/>
    </row>
  </sheetData>
  <pageMargins left="0.75" right="0.75" top="1" bottom="1" header="0.511811023622047" footer="0.511811023622047"/>
  <pageSetup paperSize="9" orientation="portrait" horizontalDpi="300" verticalDpi="30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30"/>
  <sheetViews>
    <sheetView zoomScaleNormal="100" workbookViewId="0"/>
  </sheetViews>
  <sheetFormatPr baseColWidth="10" defaultColWidth="8.7109375" defaultRowHeight="15" x14ac:dyDescent="0.25"/>
  <cols>
    <col min="1" max="1" width="12" customWidth="1"/>
    <col min="2" max="2" width="16" customWidth="1"/>
    <col min="3" max="3" width="14" customWidth="1"/>
    <col min="4" max="4" width="90" customWidth="1"/>
    <col min="5" max="5" width="8" customWidth="1"/>
  </cols>
  <sheetData>
    <row r="1" spans="1:5" ht="16.5" x14ac:dyDescent="0.25">
      <c r="A1" s="1" t="s">
        <v>1015</v>
      </c>
    </row>
    <row r="3" spans="1:5" ht="25.5" x14ac:dyDescent="0.25">
      <c r="A3" s="6" t="s">
        <v>1016</v>
      </c>
      <c r="B3" s="6" t="s">
        <v>1017</v>
      </c>
      <c r="C3" s="6" t="s">
        <v>1018</v>
      </c>
      <c r="D3" s="6" t="s">
        <v>1019</v>
      </c>
      <c r="E3" s="6" t="s">
        <v>882</v>
      </c>
    </row>
    <row r="4" spans="1:5" x14ac:dyDescent="0.25">
      <c r="A4" s="7" t="s">
        <v>56</v>
      </c>
      <c r="B4" s="5">
        <v>5.5</v>
      </c>
      <c r="C4" s="14">
        <f>COUNTIF('2. Red CPM-Ruta Critica'!$D$5:$D$167,$A4)</f>
        <v>2</v>
      </c>
      <c r="D4" s="7" t="s">
        <v>1020</v>
      </c>
      <c r="E4" s="7" t="str">
        <f>IF(COUNTIFS('2. Red CPM-Ruta Critica'!$D$5:$D$167,$A4,'2. Red CPM-Ruta Critica'!$M$5:$M$167,"SI")&gt;0,"SI","no")</f>
        <v>SI</v>
      </c>
    </row>
    <row r="5" spans="1:5" x14ac:dyDescent="0.25">
      <c r="A5" s="7" t="s">
        <v>221</v>
      </c>
      <c r="B5" s="5">
        <v>35.799999999999997</v>
      </c>
      <c r="C5" s="14">
        <f>COUNTIF('2. Red CPM-Ruta Critica'!$D$5:$D$167,$A5)</f>
        <v>25</v>
      </c>
      <c r="D5" s="7" t="s">
        <v>1021</v>
      </c>
      <c r="E5" s="7" t="str">
        <f>IF(COUNTIFS('2. Red CPM-Ruta Critica'!$D$5:$D$167,$A5,'2. Red CPM-Ruta Critica'!$M$5:$M$167,"SI")&gt;0,"SI","no")</f>
        <v>SI</v>
      </c>
    </row>
    <row r="6" spans="1:5" x14ac:dyDescent="0.25">
      <c r="A6" s="7" t="s">
        <v>153</v>
      </c>
      <c r="B6" s="5">
        <v>26.2</v>
      </c>
      <c r="C6" s="14">
        <f>COUNTIF('2. Red CPM-Ruta Critica'!$D$5:$D$167,$A6)</f>
        <v>4</v>
      </c>
      <c r="D6" s="7" t="s">
        <v>1022</v>
      </c>
      <c r="E6" s="7" t="str">
        <f>IF(COUNTIFS('2. Red CPM-Ruta Critica'!$D$5:$D$167,$A6,'2. Red CPM-Ruta Critica'!$M$5:$M$167,"SI")&gt;0,"SI","no")</f>
        <v>no</v>
      </c>
    </row>
    <row r="7" spans="1:5" x14ac:dyDescent="0.25">
      <c r="A7" s="7" t="s">
        <v>60</v>
      </c>
      <c r="B7" s="5">
        <v>31.7</v>
      </c>
      <c r="C7" s="14">
        <f>COUNTIF('2. Red CPM-Ruta Critica'!$D$5:$D$167,$A7)</f>
        <v>22</v>
      </c>
      <c r="D7" s="7" t="s">
        <v>1023</v>
      </c>
      <c r="E7" s="7" t="str">
        <f>IF(COUNTIFS('2. Red CPM-Ruta Critica'!$D$5:$D$167,$A7,'2. Red CPM-Ruta Critica'!$M$5:$M$167,"SI")&gt;0,"SI","no")</f>
        <v>SI</v>
      </c>
    </row>
    <row r="8" spans="1:5" x14ac:dyDescent="0.25">
      <c r="A8" s="7" t="s">
        <v>174</v>
      </c>
      <c r="B8" s="5">
        <v>15.8</v>
      </c>
      <c r="C8" s="14">
        <f>COUNTIF('2. Red CPM-Ruta Critica'!$D$5:$D$167,$A8)</f>
        <v>4</v>
      </c>
      <c r="D8" s="7" t="s">
        <v>1024</v>
      </c>
      <c r="E8" s="7" t="str">
        <f>IF(COUNTIFS('2. Red CPM-Ruta Critica'!$D$5:$D$167,$A8,'2. Red CPM-Ruta Critica'!$M$5:$M$167,"SI")&gt;0,"SI","no")</f>
        <v>no</v>
      </c>
    </row>
    <row r="9" spans="1:5" x14ac:dyDescent="0.25">
      <c r="A9" s="7" t="s">
        <v>1025</v>
      </c>
      <c r="B9" s="5">
        <v>8.1999999999999993</v>
      </c>
      <c r="C9" s="14">
        <f>COUNTIF('2. Red CPM-Ruta Critica'!$D$5:$D$167,$A9)</f>
        <v>0</v>
      </c>
      <c r="D9" s="7"/>
      <c r="E9" s="7" t="str">
        <f>IF(COUNTIFS('2. Red CPM-Ruta Critica'!$D$5:$D$167,$A9,'2. Red CPM-Ruta Critica'!$M$5:$M$167,"SI")&gt;0,"SI","no")</f>
        <v>no</v>
      </c>
    </row>
    <row r="10" spans="1:5" x14ac:dyDescent="0.25">
      <c r="A10" s="7" t="s">
        <v>1026</v>
      </c>
      <c r="B10" s="5">
        <v>5.2</v>
      </c>
      <c r="C10" s="14">
        <f>COUNTIF('2. Red CPM-Ruta Critica'!$D$5:$D$167,$A10)</f>
        <v>0</v>
      </c>
      <c r="D10" s="7"/>
      <c r="E10" s="7" t="str">
        <f>IF(COUNTIFS('2. Red CPM-Ruta Critica'!$D$5:$D$167,$A10,'2. Red CPM-Ruta Critica'!$M$5:$M$167,"SI")&gt;0,"SI","no")</f>
        <v>no</v>
      </c>
    </row>
    <row r="11" spans="1:5" x14ac:dyDescent="0.25">
      <c r="A11" s="7" t="s">
        <v>345</v>
      </c>
      <c r="B11" s="5">
        <v>3.2</v>
      </c>
      <c r="C11" s="14">
        <f>COUNTIF('2. Red CPM-Ruta Critica'!$D$5:$D$167,$A11)</f>
        <v>1</v>
      </c>
      <c r="D11" s="7" t="s">
        <v>343</v>
      </c>
      <c r="E11" s="7" t="str">
        <f>IF(COUNTIFS('2. Red CPM-Ruta Critica'!$D$5:$D$167,$A11,'2. Red CPM-Ruta Critica'!$M$5:$M$167,"SI")&gt;0,"SI","no")</f>
        <v>SI</v>
      </c>
    </row>
    <row r="12" spans="1:5" x14ac:dyDescent="0.25">
      <c r="A12" s="7" t="s">
        <v>1027</v>
      </c>
      <c r="B12" s="5">
        <v>5.2</v>
      </c>
      <c r="C12" s="14">
        <f>COUNTIF('2. Red CPM-Ruta Critica'!$D$5:$D$167,$A12)</f>
        <v>0</v>
      </c>
      <c r="D12" s="7"/>
      <c r="E12" s="7" t="str">
        <f>IF(COUNTIFS('2. Red CPM-Ruta Critica'!$D$5:$D$167,$A12,'2. Red CPM-Ruta Critica'!$M$5:$M$167,"SI")&gt;0,"SI","no")</f>
        <v>no</v>
      </c>
    </row>
    <row r="13" spans="1:5" x14ac:dyDescent="0.25">
      <c r="A13" s="7" t="s">
        <v>370</v>
      </c>
      <c r="B13" s="5">
        <v>23</v>
      </c>
      <c r="C13" s="14">
        <f>COUNTIF('2. Red CPM-Ruta Critica'!$D$5:$D$167,$A13)</f>
        <v>1</v>
      </c>
      <c r="D13" s="7" t="s">
        <v>368</v>
      </c>
      <c r="E13" s="7" t="str">
        <f>IF(COUNTIFS('2. Red CPM-Ruta Critica'!$D$5:$D$167,$A13,'2. Red CPM-Ruta Critica'!$M$5:$M$167,"SI")&gt;0,"SI","no")</f>
        <v>SI</v>
      </c>
    </row>
    <row r="14" spans="1:5" x14ac:dyDescent="0.25">
      <c r="A14" s="7" t="s">
        <v>1028</v>
      </c>
      <c r="B14" s="5">
        <v>12.3</v>
      </c>
      <c r="C14" s="14">
        <f>COUNTIF('2. Red CPM-Ruta Critica'!$D$5:$D$167,$A14)</f>
        <v>0</v>
      </c>
      <c r="D14" s="7"/>
      <c r="E14" s="7" t="str">
        <f>IF(COUNTIFS('2. Red CPM-Ruta Critica'!$D$5:$D$167,$A14,'2. Red CPM-Ruta Critica'!$M$5:$M$167,"SI")&gt;0,"SI","no")</f>
        <v>no</v>
      </c>
    </row>
    <row r="15" spans="1:5" x14ac:dyDescent="0.25">
      <c r="A15" s="7" t="s">
        <v>363</v>
      </c>
      <c r="B15" s="5">
        <v>30.8</v>
      </c>
      <c r="C15" s="14">
        <f>COUNTIF('2. Red CPM-Ruta Critica'!$D$5:$D$167,$A15)</f>
        <v>23</v>
      </c>
      <c r="D15" s="7" t="s">
        <v>1029</v>
      </c>
      <c r="E15" s="7" t="str">
        <f>IF(COUNTIFS('2. Red CPM-Ruta Critica'!$D$5:$D$167,$A15,'2. Red CPM-Ruta Critica'!$M$5:$M$167,"SI")&gt;0,"SI","no")</f>
        <v>SI</v>
      </c>
    </row>
    <row r="16" spans="1:5" x14ac:dyDescent="0.25">
      <c r="A16" s="7" t="s">
        <v>381</v>
      </c>
      <c r="B16" s="5">
        <v>18.7</v>
      </c>
      <c r="C16" s="14">
        <f>COUNTIF('2. Red CPM-Ruta Critica'!$D$5:$D$167,$A16)</f>
        <v>1</v>
      </c>
      <c r="D16" s="7" t="s">
        <v>379</v>
      </c>
      <c r="E16" s="7" t="str">
        <f>IF(COUNTIFS('2. Red CPM-Ruta Critica'!$D$5:$D$167,$A16,'2. Red CPM-Ruta Critica'!$M$5:$M$167,"SI")&gt;0,"SI","no")</f>
        <v>SI</v>
      </c>
    </row>
    <row r="17" spans="1:5" x14ac:dyDescent="0.25">
      <c r="A17" s="7" t="s">
        <v>457</v>
      </c>
      <c r="B17" s="5">
        <v>22.5</v>
      </c>
      <c r="C17" s="14">
        <f>COUNTIF('2. Red CPM-Ruta Critica'!$D$5:$D$167,$A17)</f>
        <v>8</v>
      </c>
      <c r="D17" s="7" t="s">
        <v>1030</v>
      </c>
      <c r="E17" s="7" t="str">
        <f>IF(COUNTIFS('2. Red CPM-Ruta Critica'!$D$5:$D$167,$A17,'2. Red CPM-Ruta Critica'!$M$5:$M$167,"SI")&gt;0,"SI","no")</f>
        <v>no</v>
      </c>
    </row>
    <row r="18" spans="1:5" x14ac:dyDescent="0.25">
      <c r="A18" s="7" t="s">
        <v>1031</v>
      </c>
      <c r="B18" s="5">
        <v>12.7</v>
      </c>
      <c r="C18" s="14">
        <f>COUNTIF('2. Red CPM-Ruta Critica'!$D$5:$D$167,$A18)</f>
        <v>0</v>
      </c>
      <c r="D18" s="7"/>
      <c r="E18" s="7" t="str">
        <f>IF(COUNTIFS('2. Red CPM-Ruta Critica'!$D$5:$D$167,$A18,'2. Red CPM-Ruta Critica'!$M$5:$M$167,"SI")&gt;0,"SI","no")</f>
        <v>no</v>
      </c>
    </row>
    <row r="19" spans="1:5" x14ac:dyDescent="0.25">
      <c r="A19" s="7" t="s">
        <v>495</v>
      </c>
      <c r="B19" s="5">
        <v>18.7</v>
      </c>
      <c r="C19" s="14">
        <f>COUNTIF('2. Red CPM-Ruta Critica'!$D$5:$D$167,$A19)</f>
        <v>10</v>
      </c>
      <c r="D19" s="7" t="s">
        <v>1032</v>
      </c>
      <c r="E19" s="7" t="str">
        <f>IF(COUNTIFS('2. Red CPM-Ruta Critica'!$D$5:$D$167,$A19,'2. Red CPM-Ruta Critica'!$M$5:$M$167,"SI")&gt;0,"SI","no")</f>
        <v>SI</v>
      </c>
    </row>
    <row r="20" spans="1:5" x14ac:dyDescent="0.25">
      <c r="A20" s="7" t="s">
        <v>1033</v>
      </c>
      <c r="B20" s="5">
        <v>15.3</v>
      </c>
      <c r="C20" s="14">
        <f>COUNTIF('2. Red CPM-Ruta Critica'!$D$5:$D$167,$A20)</f>
        <v>0</v>
      </c>
      <c r="D20" s="7"/>
      <c r="E20" s="7" t="str">
        <f>IF(COUNTIFS('2. Red CPM-Ruta Critica'!$D$5:$D$167,$A20,'2. Red CPM-Ruta Critica'!$M$5:$M$167,"SI")&gt;0,"SI","no")</f>
        <v>no</v>
      </c>
    </row>
    <row r="21" spans="1:5" x14ac:dyDescent="0.25">
      <c r="A21" s="7" t="s">
        <v>545</v>
      </c>
      <c r="B21" s="5">
        <v>8.1999999999999993</v>
      </c>
      <c r="C21" s="14">
        <f>COUNTIF('2. Red CPM-Ruta Critica'!$D$5:$D$167,$A21)</f>
        <v>6</v>
      </c>
      <c r="D21" s="7" t="s">
        <v>1034</v>
      </c>
      <c r="E21" s="7" t="str">
        <f>IF(COUNTIFS('2. Red CPM-Ruta Critica'!$D$5:$D$167,$A21,'2. Red CPM-Ruta Critica'!$M$5:$M$167,"SI")&gt;0,"SI","no")</f>
        <v>no</v>
      </c>
    </row>
    <row r="22" spans="1:5" x14ac:dyDescent="0.25">
      <c r="A22" s="7" t="s">
        <v>1035</v>
      </c>
      <c r="B22" s="5">
        <v>7.3</v>
      </c>
      <c r="C22" s="14">
        <f>COUNTIF('2. Red CPM-Ruta Critica'!$D$5:$D$167,$A22)</f>
        <v>0</v>
      </c>
      <c r="D22" s="7"/>
      <c r="E22" s="7" t="str">
        <f>IF(COUNTIFS('2. Red CPM-Ruta Critica'!$D$5:$D$167,$A22,'2. Red CPM-Ruta Critica'!$M$5:$M$167,"SI")&gt;0,"SI","no")</f>
        <v>no</v>
      </c>
    </row>
    <row r="23" spans="1:5" x14ac:dyDescent="0.25">
      <c r="A23" s="7" t="s">
        <v>1036</v>
      </c>
      <c r="B23" s="5">
        <v>12.3</v>
      </c>
      <c r="C23" s="14">
        <f>COUNTIF('2. Red CPM-Ruta Critica'!$D$5:$D$167,$A23)</f>
        <v>0</v>
      </c>
      <c r="D23" s="7"/>
      <c r="E23" s="7" t="str">
        <f>IF(COUNTIFS('2. Red CPM-Ruta Critica'!$D$5:$D$167,$A23,'2. Red CPM-Ruta Critica'!$M$5:$M$167,"SI")&gt;0,"SI","no")</f>
        <v>no</v>
      </c>
    </row>
    <row r="24" spans="1:5" x14ac:dyDescent="0.25">
      <c r="A24" s="7" t="s">
        <v>610</v>
      </c>
      <c r="B24" s="5">
        <v>22.5</v>
      </c>
      <c r="C24" s="14">
        <f>COUNTIF('2. Red CPM-Ruta Critica'!$D$5:$D$167,$A24)</f>
        <v>14</v>
      </c>
      <c r="D24" s="7" t="s">
        <v>1037</v>
      </c>
      <c r="E24" s="7" t="str">
        <f>IF(COUNTIFS('2. Red CPM-Ruta Critica'!$D$5:$D$167,$A24,'2. Red CPM-Ruta Critica'!$M$5:$M$167,"SI")&gt;0,"SI","no")</f>
        <v>SI</v>
      </c>
    </row>
    <row r="25" spans="1:5" x14ac:dyDescent="0.25">
      <c r="A25" s="7" t="s">
        <v>648</v>
      </c>
      <c r="B25" s="5">
        <v>10.3</v>
      </c>
      <c r="C25" s="14">
        <f>COUNTIF('2. Red CPM-Ruta Critica'!$D$5:$D$167,$A25)</f>
        <v>5</v>
      </c>
      <c r="D25" s="7" t="s">
        <v>1038</v>
      </c>
      <c r="E25" s="7" t="str">
        <f>IF(COUNTIFS('2. Red CPM-Ruta Critica'!$D$5:$D$167,$A25,'2. Red CPM-Ruta Critica'!$M$5:$M$167,"SI")&gt;0,"SI","no")</f>
        <v>no</v>
      </c>
    </row>
    <row r="26" spans="1:5" x14ac:dyDescent="0.25">
      <c r="A26" s="7" t="s">
        <v>708</v>
      </c>
      <c r="B26" s="5">
        <v>8.1999999999999993</v>
      </c>
      <c r="C26" s="14">
        <f>COUNTIF('2. Red CPM-Ruta Critica'!$D$5:$D$167,$A26)</f>
        <v>5</v>
      </c>
      <c r="D26" s="7" t="s">
        <v>1039</v>
      </c>
      <c r="E26" s="7" t="str">
        <f>IF(COUNTIFS('2. Red CPM-Ruta Critica'!$D$5:$D$167,$A26,'2. Red CPM-Ruta Critica'!$M$5:$M$167,"SI")&gt;0,"SI","no")</f>
        <v>SI</v>
      </c>
    </row>
    <row r="27" spans="1:5" x14ac:dyDescent="0.25">
      <c r="A27" s="7" t="s">
        <v>735</v>
      </c>
      <c r="B27" s="5">
        <v>6.3</v>
      </c>
      <c r="C27" s="14">
        <f>COUNTIF('2. Red CPM-Ruta Critica'!$D$5:$D$167,$A27)</f>
        <v>5</v>
      </c>
      <c r="D27" s="7" t="s">
        <v>1040</v>
      </c>
      <c r="E27" s="7" t="str">
        <f>IF(COUNTIFS('2. Red CPM-Ruta Critica'!$D$5:$D$167,$A27,'2. Red CPM-Ruta Critica'!$M$5:$M$167,"SI")&gt;0,"SI","no")</f>
        <v>SI</v>
      </c>
    </row>
    <row r="28" spans="1:5" x14ac:dyDescent="0.25">
      <c r="A28" s="7" t="s">
        <v>767</v>
      </c>
      <c r="B28" s="5">
        <v>15.8</v>
      </c>
      <c r="C28" s="14">
        <f>COUNTIF('2. Red CPM-Ruta Critica'!$D$5:$D$167,$A28)</f>
        <v>13</v>
      </c>
      <c r="D28" s="7" t="s">
        <v>1041</v>
      </c>
      <c r="E28" s="7" t="str">
        <f>IF(COUNTIFS('2. Red CPM-Ruta Critica'!$D$5:$D$167,$A28,'2. Red CPM-Ruta Critica'!$M$5:$M$167,"SI")&gt;0,"SI","no")</f>
        <v>SI</v>
      </c>
    </row>
    <row r="29" spans="1:5" x14ac:dyDescent="0.25">
      <c r="A29" s="7" t="s">
        <v>827</v>
      </c>
      <c r="B29" s="5">
        <v>5.5</v>
      </c>
      <c r="C29" s="14">
        <f>COUNTIF('2. Red CPM-Ruta Critica'!$D$5:$D$167,$A29)</f>
        <v>9</v>
      </c>
      <c r="D29" s="7" t="s">
        <v>1042</v>
      </c>
      <c r="E29" s="7" t="str">
        <f>IF(COUNTIFS('2. Red CPM-Ruta Critica'!$D$5:$D$167,$A29,'2. Red CPM-Ruta Critica'!$M$5:$M$167,"SI")&gt;0,"SI","no")</f>
        <v>SI</v>
      </c>
    </row>
    <row r="30" spans="1:5" x14ac:dyDescent="0.25">
      <c r="A30" s="2" t="s">
        <v>1043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69"/>
  <sheetViews>
    <sheetView zoomScaleNormal="100" workbookViewId="0"/>
  </sheetViews>
  <sheetFormatPr baseColWidth="10" defaultColWidth="8.7109375" defaultRowHeight="15" x14ac:dyDescent="0.25"/>
  <cols>
    <col min="1" max="1" width="44" customWidth="1"/>
    <col min="2" max="2" width="20" customWidth="1"/>
    <col min="3" max="3" width="9" customWidth="1"/>
    <col min="4" max="4" width="13" customWidth="1"/>
    <col min="5" max="5" width="34" customWidth="1"/>
    <col min="6" max="6" width="36" customWidth="1"/>
  </cols>
  <sheetData>
    <row r="1" spans="1:6" ht="16.5" x14ac:dyDescent="0.25">
      <c r="A1" s="1" t="s">
        <v>1044</v>
      </c>
    </row>
    <row r="2" spans="1:6" x14ac:dyDescent="0.25">
      <c r="A2" s="2" t="s">
        <v>1045</v>
      </c>
    </row>
    <row r="3" spans="1:6" ht="25.5" x14ac:dyDescent="0.25">
      <c r="A3" s="6" t="s">
        <v>930</v>
      </c>
      <c r="B3" s="6" t="s">
        <v>892</v>
      </c>
      <c r="C3" s="6" t="s">
        <v>1046</v>
      </c>
      <c r="D3" s="6" t="s">
        <v>1047</v>
      </c>
      <c r="E3" s="6" t="s">
        <v>1048</v>
      </c>
      <c r="F3" s="6" t="s">
        <v>1049</v>
      </c>
    </row>
    <row r="4" spans="1:6" x14ac:dyDescent="0.25">
      <c r="A4" s="7" t="s">
        <v>1050</v>
      </c>
      <c r="B4" s="7" t="s">
        <v>1051</v>
      </c>
      <c r="C4" s="7" t="s">
        <v>1052</v>
      </c>
      <c r="D4" s="7" t="s">
        <v>1053</v>
      </c>
      <c r="E4" s="7" t="s">
        <v>1054</v>
      </c>
      <c r="F4" s="7" t="s">
        <v>1055</v>
      </c>
    </row>
    <row r="5" spans="1:6" x14ac:dyDescent="0.25">
      <c r="A5" s="7" t="s">
        <v>1056</v>
      </c>
      <c r="B5" s="7" t="s">
        <v>1051</v>
      </c>
      <c r="C5" s="7" t="s">
        <v>1052</v>
      </c>
      <c r="D5" s="7" t="s">
        <v>1053</v>
      </c>
      <c r="E5" s="7" t="s">
        <v>1054</v>
      </c>
      <c r="F5" s="7" t="s">
        <v>1057</v>
      </c>
    </row>
    <row r="6" spans="1:6" x14ac:dyDescent="0.25">
      <c r="A6" s="7" t="s">
        <v>1058</v>
      </c>
      <c r="B6" s="7" t="s">
        <v>1051</v>
      </c>
      <c r="C6" s="7" t="s">
        <v>1052</v>
      </c>
      <c r="D6" s="7" t="s">
        <v>1059</v>
      </c>
      <c r="E6" s="7" t="s">
        <v>1054</v>
      </c>
      <c r="F6" s="7" t="s">
        <v>1060</v>
      </c>
    </row>
    <row r="7" spans="1:6" x14ac:dyDescent="0.25">
      <c r="A7" s="7" t="s">
        <v>946</v>
      </c>
      <c r="B7" s="7" t="s">
        <v>1051</v>
      </c>
      <c r="C7" s="7" t="s">
        <v>1052</v>
      </c>
      <c r="D7" s="7" t="s">
        <v>1061</v>
      </c>
      <c r="E7" s="7" t="s">
        <v>1054</v>
      </c>
      <c r="F7" s="7" t="s">
        <v>1062</v>
      </c>
    </row>
    <row r="8" spans="1:6" x14ac:dyDescent="0.25">
      <c r="A8" s="7" t="s">
        <v>1063</v>
      </c>
      <c r="B8" s="7" t="s">
        <v>1051</v>
      </c>
      <c r="C8" s="7" t="s">
        <v>1052</v>
      </c>
      <c r="D8" s="7" t="s">
        <v>1061</v>
      </c>
      <c r="E8" s="7" t="s">
        <v>1054</v>
      </c>
      <c r="F8" s="7" t="s">
        <v>1060</v>
      </c>
    </row>
    <row r="9" spans="1:6" x14ac:dyDescent="0.25">
      <c r="A9" s="7" t="s">
        <v>1064</v>
      </c>
      <c r="B9" s="7" t="s">
        <v>1051</v>
      </c>
      <c r="C9" s="7" t="s">
        <v>1052</v>
      </c>
      <c r="D9" s="7" t="s">
        <v>1061</v>
      </c>
      <c r="E9" s="7" t="s">
        <v>1054</v>
      </c>
      <c r="F9" s="7" t="s">
        <v>1065</v>
      </c>
    </row>
    <row r="10" spans="1:6" x14ac:dyDescent="0.25">
      <c r="A10" s="7" t="s">
        <v>1066</v>
      </c>
      <c r="B10" s="7" t="s">
        <v>1051</v>
      </c>
      <c r="C10" s="7" t="s">
        <v>1052</v>
      </c>
      <c r="D10" s="7" t="s">
        <v>1053</v>
      </c>
      <c r="E10" s="7" t="s">
        <v>1054</v>
      </c>
      <c r="F10" s="7" t="s">
        <v>1062</v>
      </c>
    </row>
    <row r="11" spans="1:6" x14ac:dyDescent="0.25">
      <c r="A11" s="7" t="s">
        <v>1067</v>
      </c>
      <c r="B11" s="7" t="s">
        <v>1051</v>
      </c>
      <c r="C11" s="7" t="s">
        <v>1052</v>
      </c>
      <c r="D11" s="7" t="s">
        <v>1053</v>
      </c>
      <c r="E11" s="7" t="s">
        <v>1054</v>
      </c>
      <c r="F11" s="7" t="s">
        <v>1068</v>
      </c>
    </row>
    <row r="12" spans="1:6" x14ac:dyDescent="0.25">
      <c r="A12" s="7" t="s">
        <v>1069</v>
      </c>
      <c r="B12" s="7" t="s">
        <v>1051</v>
      </c>
      <c r="C12" s="7" t="s">
        <v>1052</v>
      </c>
      <c r="D12" s="7" t="s">
        <v>1053</v>
      </c>
      <c r="E12" s="7" t="s">
        <v>1054</v>
      </c>
      <c r="F12" s="7" t="s">
        <v>1065</v>
      </c>
    </row>
    <row r="13" spans="1:6" x14ac:dyDescent="0.25">
      <c r="A13" s="7" t="s">
        <v>1070</v>
      </c>
      <c r="B13" s="7" t="s">
        <v>1051</v>
      </c>
      <c r="C13" s="7" t="s">
        <v>1052</v>
      </c>
      <c r="D13" s="7" t="s">
        <v>1053</v>
      </c>
      <c r="E13" s="7" t="s">
        <v>1054</v>
      </c>
      <c r="F13" s="7" t="s">
        <v>1068</v>
      </c>
    </row>
    <row r="14" spans="1:6" x14ac:dyDescent="0.25">
      <c r="A14" s="7" t="s">
        <v>1071</v>
      </c>
      <c r="B14" s="7" t="s">
        <v>1051</v>
      </c>
      <c r="C14" s="7" t="s">
        <v>1052</v>
      </c>
      <c r="D14" s="7" t="s">
        <v>1053</v>
      </c>
      <c r="E14" s="7" t="s">
        <v>1054</v>
      </c>
      <c r="F14" s="7" t="s">
        <v>1072</v>
      </c>
    </row>
    <row r="15" spans="1:6" x14ac:dyDescent="0.25">
      <c r="A15" s="7" t="s">
        <v>1073</v>
      </c>
      <c r="B15" s="7" t="s">
        <v>1051</v>
      </c>
      <c r="C15" s="7" t="s">
        <v>1052</v>
      </c>
      <c r="D15" s="7" t="s">
        <v>1061</v>
      </c>
      <c r="E15" s="7" t="s">
        <v>1054</v>
      </c>
      <c r="F15" s="7" t="s">
        <v>1074</v>
      </c>
    </row>
    <row r="16" spans="1:6" x14ac:dyDescent="0.25">
      <c r="A16" s="7" t="s">
        <v>949</v>
      </c>
      <c r="B16" s="7" t="s">
        <v>1051</v>
      </c>
      <c r="C16" s="7" t="s">
        <v>1052</v>
      </c>
      <c r="D16" s="7" t="s">
        <v>1061</v>
      </c>
      <c r="E16" s="7" t="s">
        <v>1054</v>
      </c>
      <c r="F16" s="7" t="s">
        <v>1060</v>
      </c>
    </row>
    <row r="17" spans="1:6" x14ac:dyDescent="0.25">
      <c r="A17" s="7" t="s">
        <v>94</v>
      </c>
      <c r="B17" s="7" t="s">
        <v>1051</v>
      </c>
      <c r="C17" s="7" t="s">
        <v>1052</v>
      </c>
      <c r="D17" s="7" t="s">
        <v>1061</v>
      </c>
      <c r="E17" s="7" t="s">
        <v>1054</v>
      </c>
      <c r="F17" s="7" t="s">
        <v>1075</v>
      </c>
    </row>
    <row r="18" spans="1:6" x14ac:dyDescent="0.25">
      <c r="A18" s="7" t="s">
        <v>1076</v>
      </c>
      <c r="B18" s="7" t="s">
        <v>1051</v>
      </c>
      <c r="C18" s="7" t="s">
        <v>1052</v>
      </c>
      <c r="D18" s="7" t="s">
        <v>1061</v>
      </c>
      <c r="E18" s="7" t="s">
        <v>1054</v>
      </c>
      <c r="F18" s="7" t="s">
        <v>1077</v>
      </c>
    </row>
    <row r="19" spans="1:6" x14ac:dyDescent="0.25">
      <c r="A19" s="7" t="s">
        <v>1078</v>
      </c>
      <c r="B19" s="7" t="s">
        <v>1051</v>
      </c>
      <c r="C19" s="7" t="s">
        <v>1052</v>
      </c>
      <c r="D19" s="7" t="s">
        <v>1061</v>
      </c>
      <c r="E19" s="7" t="s">
        <v>1054</v>
      </c>
      <c r="F19" s="7" t="s">
        <v>1079</v>
      </c>
    </row>
    <row r="20" spans="1:6" x14ac:dyDescent="0.25">
      <c r="A20" s="7" t="s">
        <v>1080</v>
      </c>
      <c r="B20" s="7" t="s">
        <v>1051</v>
      </c>
      <c r="C20" s="7" t="s">
        <v>1052</v>
      </c>
      <c r="D20" s="7" t="s">
        <v>1061</v>
      </c>
      <c r="E20" s="7" t="s">
        <v>1054</v>
      </c>
      <c r="F20" s="7" t="s">
        <v>1081</v>
      </c>
    </row>
    <row r="21" spans="1:6" x14ac:dyDescent="0.25">
      <c r="A21" s="7" t="s">
        <v>1082</v>
      </c>
      <c r="B21" s="7" t="s">
        <v>1051</v>
      </c>
      <c r="C21" s="7" t="s">
        <v>1052</v>
      </c>
      <c r="D21" s="7" t="s">
        <v>1061</v>
      </c>
      <c r="E21" s="7" t="s">
        <v>1054</v>
      </c>
      <c r="F21" s="7" t="s">
        <v>1079</v>
      </c>
    </row>
    <row r="22" spans="1:6" x14ac:dyDescent="0.25">
      <c r="A22" s="7" t="s">
        <v>1083</v>
      </c>
      <c r="B22" s="7" t="s">
        <v>1051</v>
      </c>
      <c r="C22" s="7" t="s">
        <v>1052</v>
      </c>
      <c r="D22" s="7" t="s">
        <v>1053</v>
      </c>
      <c r="E22" s="7" t="s">
        <v>1054</v>
      </c>
      <c r="F22" s="7" t="s">
        <v>1084</v>
      </c>
    </row>
    <row r="23" spans="1:6" x14ac:dyDescent="0.25">
      <c r="A23" s="7" t="s">
        <v>1085</v>
      </c>
      <c r="B23" s="7" t="s">
        <v>1051</v>
      </c>
      <c r="C23" s="7" t="s">
        <v>1086</v>
      </c>
      <c r="D23" s="7" t="s">
        <v>1061</v>
      </c>
      <c r="E23" s="7" t="s">
        <v>1054</v>
      </c>
      <c r="F23" s="7" t="s">
        <v>1087</v>
      </c>
    </row>
    <row r="24" spans="1:6" x14ac:dyDescent="0.25">
      <c r="A24" s="7" t="s">
        <v>1088</v>
      </c>
      <c r="B24" s="7" t="s">
        <v>1051</v>
      </c>
      <c r="C24" s="7" t="s">
        <v>1089</v>
      </c>
      <c r="D24" s="7" t="s">
        <v>1090</v>
      </c>
      <c r="E24" s="7" t="s">
        <v>1091</v>
      </c>
      <c r="F24" s="7" t="s">
        <v>1092</v>
      </c>
    </row>
    <row r="25" spans="1:6" x14ac:dyDescent="0.25">
      <c r="A25" s="7" t="s">
        <v>952</v>
      </c>
      <c r="B25" s="7" t="s">
        <v>1051</v>
      </c>
      <c r="C25" s="7" t="s">
        <v>1093</v>
      </c>
      <c r="D25" s="7" t="s">
        <v>1090</v>
      </c>
      <c r="E25" s="7" t="s">
        <v>1091</v>
      </c>
      <c r="F25" s="7" t="s">
        <v>1094</v>
      </c>
    </row>
    <row r="26" spans="1:6" x14ac:dyDescent="0.25">
      <c r="A26" s="7" t="s">
        <v>1095</v>
      </c>
      <c r="B26" s="7" t="s">
        <v>1051</v>
      </c>
      <c r="C26" s="7" t="s">
        <v>1086</v>
      </c>
      <c r="D26" s="7" t="s">
        <v>1090</v>
      </c>
      <c r="E26" s="7" t="s">
        <v>1091</v>
      </c>
      <c r="F26" s="7" t="s">
        <v>1096</v>
      </c>
    </row>
    <row r="27" spans="1:6" x14ac:dyDescent="0.25">
      <c r="A27" s="7" t="s">
        <v>934</v>
      </c>
      <c r="B27" s="7" t="s">
        <v>1051</v>
      </c>
      <c r="C27" s="7" t="s">
        <v>1086</v>
      </c>
      <c r="D27" s="7" t="s">
        <v>1090</v>
      </c>
      <c r="E27" s="7" t="s">
        <v>1091</v>
      </c>
      <c r="F27" s="7" t="s">
        <v>1096</v>
      </c>
    </row>
    <row r="28" spans="1:6" x14ac:dyDescent="0.25">
      <c r="A28" s="7" t="s">
        <v>1097</v>
      </c>
      <c r="B28" s="7" t="s">
        <v>1098</v>
      </c>
      <c r="C28" s="7" t="s">
        <v>1086</v>
      </c>
      <c r="D28" s="7" t="s">
        <v>1099</v>
      </c>
      <c r="E28" s="7" t="s">
        <v>1100</v>
      </c>
      <c r="F28" s="7" t="s">
        <v>1101</v>
      </c>
    </row>
    <row r="29" spans="1:6" x14ac:dyDescent="0.25">
      <c r="A29" s="7" t="s">
        <v>1102</v>
      </c>
      <c r="B29" s="7" t="s">
        <v>1098</v>
      </c>
      <c r="C29" s="7" t="s">
        <v>1052</v>
      </c>
      <c r="D29" s="7" t="s">
        <v>1099</v>
      </c>
      <c r="E29" s="7" t="s">
        <v>1100</v>
      </c>
      <c r="F29" s="7" t="s">
        <v>1103</v>
      </c>
    </row>
    <row r="30" spans="1:6" x14ac:dyDescent="0.25">
      <c r="A30" s="7" t="s">
        <v>940</v>
      </c>
      <c r="B30" s="7" t="s">
        <v>1098</v>
      </c>
      <c r="C30" s="7" t="s">
        <v>1086</v>
      </c>
      <c r="D30" s="7" t="s">
        <v>1099</v>
      </c>
      <c r="E30" s="7" t="s">
        <v>1100</v>
      </c>
      <c r="F30" s="7" t="s">
        <v>1104</v>
      </c>
    </row>
    <row r="31" spans="1:6" x14ac:dyDescent="0.25">
      <c r="A31" s="7" t="s">
        <v>1105</v>
      </c>
      <c r="B31" s="7" t="s">
        <v>1098</v>
      </c>
      <c r="C31" s="7" t="s">
        <v>1052</v>
      </c>
      <c r="D31" s="7" t="s">
        <v>1099</v>
      </c>
      <c r="E31" s="7" t="s">
        <v>1100</v>
      </c>
      <c r="F31" s="7" t="s">
        <v>1106</v>
      </c>
    </row>
    <row r="32" spans="1:6" x14ac:dyDescent="0.25">
      <c r="A32" s="7" t="s">
        <v>1107</v>
      </c>
      <c r="B32" s="7" t="s">
        <v>1098</v>
      </c>
      <c r="C32" s="7" t="s">
        <v>1052</v>
      </c>
      <c r="D32" s="7" t="s">
        <v>1099</v>
      </c>
      <c r="E32" s="7" t="s">
        <v>1100</v>
      </c>
      <c r="F32" s="7" t="s">
        <v>1108</v>
      </c>
    </row>
    <row r="33" spans="1:6" x14ac:dyDescent="0.25">
      <c r="A33" s="7" t="s">
        <v>943</v>
      </c>
      <c r="B33" s="7" t="s">
        <v>1098</v>
      </c>
      <c r="C33" s="7" t="s">
        <v>1052</v>
      </c>
      <c r="D33" s="7" t="s">
        <v>1099</v>
      </c>
      <c r="E33" s="7" t="s">
        <v>1100</v>
      </c>
      <c r="F33" s="7" t="s">
        <v>1109</v>
      </c>
    </row>
    <row r="34" spans="1:6" x14ac:dyDescent="0.25">
      <c r="A34" s="7" t="s">
        <v>1110</v>
      </c>
      <c r="B34" s="7" t="s">
        <v>1098</v>
      </c>
      <c r="C34" s="7" t="s">
        <v>1052</v>
      </c>
      <c r="D34" s="7" t="s">
        <v>1099</v>
      </c>
      <c r="E34" s="7" t="s">
        <v>1100</v>
      </c>
      <c r="F34" s="7" t="s">
        <v>1111</v>
      </c>
    </row>
    <row r="35" spans="1:6" x14ac:dyDescent="0.25">
      <c r="A35" s="7" t="s">
        <v>1112</v>
      </c>
      <c r="B35" s="7" t="s">
        <v>1098</v>
      </c>
      <c r="C35" s="7" t="s">
        <v>1113</v>
      </c>
      <c r="D35" s="7" t="s">
        <v>1099</v>
      </c>
      <c r="E35" s="7" t="s">
        <v>1100</v>
      </c>
      <c r="F35" s="7" t="s">
        <v>1114</v>
      </c>
    </row>
    <row r="36" spans="1:6" x14ac:dyDescent="0.25">
      <c r="A36" s="7" t="s">
        <v>1115</v>
      </c>
      <c r="B36" s="7" t="s">
        <v>1098</v>
      </c>
      <c r="C36" s="7" t="s">
        <v>1052</v>
      </c>
      <c r="D36" s="7" t="s">
        <v>1099</v>
      </c>
      <c r="E36" s="7" t="s">
        <v>1100</v>
      </c>
      <c r="F36" s="7" t="s">
        <v>1106</v>
      </c>
    </row>
    <row r="37" spans="1:6" x14ac:dyDescent="0.25">
      <c r="A37" s="7" t="s">
        <v>1116</v>
      </c>
      <c r="B37" s="7" t="s">
        <v>1098</v>
      </c>
      <c r="C37" s="7" t="s">
        <v>1052</v>
      </c>
      <c r="D37" s="7" t="s">
        <v>1099</v>
      </c>
      <c r="E37" s="7" t="s">
        <v>1100</v>
      </c>
      <c r="F37" s="7" t="s">
        <v>1108</v>
      </c>
    </row>
    <row r="38" spans="1:6" x14ac:dyDescent="0.25">
      <c r="A38" s="7" t="s">
        <v>1117</v>
      </c>
      <c r="B38" s="7" t="s">
        <v>1098</v>
      </c>
      <c r="C38" s="7" t="s">
        <v>1052</v>
      </c>
      <c r="D38" s="7" t="s">
        <v>1099</v>
      </c>
      <c r="E38" s="7" t="s">
        <v>1100</v>
      </c>
      <c r="F38" s="7" t="s">
        <v>1108</v>
      </c>
    </row>
    <row r="39" spans="1:6" x14ac:dyDescent="0.25">
      <c r="A39" s="7" t="s">
        <v>1118</v>
      </c>
      <c r="B39" s="7" t="s">
        <v>1098</v>
      </c>
      <c r="C39" s="7" t="s">
        <v>1052</v>
      </c>
      <c r="D39" s="7" t="s">
        <v>1099</v>
      </c>
      <c r="E39" s="7" t="s">
        <v>1100</v>
      </c>
      <c r="F39" s="7" t="s">
        <v>1119</v>
      </c>
    </row>
    <row r="40" spans="1:6" x14ac:dyDescent="0.25">
      <c r="A40" s="7" t="s">
        <v>1120</v>
      </c>
      <c r="B40" s="7" t="s">
        <v>1098</v>
      </c>
      <c r="C40" s="7" t="s">
        <v>1121</v>
      </c>
      <c r="D40" s="7" t="s">
        <v>1099</v>
      </c>
      <c r="E40" s="7" t="s">
        <v>1100</v>
      </c>
      <c r="F40" s="7" t="s">
        <v>1111</v>
      </c>
    </row>
    <row r="41" spans="1:6" x14ac:dyDescent="0.25">
      <c r="A41" s="7" t="s">
        <v>1122</v>
      </c>
      <c r="B41" s="7" t="s">
        <v>1098</v>
      </c>
      <c r="C41" s="7" t="s">
        <v>1052</v>
      </c>
      <c r="D41" s="7" t="s">
        <v>1099</v>
      </c>
      <c r="E41" s="7" t="s">
        <v>1100</v>
      </c>
      <c r="F41" s="7" t="s">
        <v>1103</v>
      </c>
    </row>
    <row r="42" spans="1:6" x14ac:dyDescent="0.25">
      <c r="A42" s="7" t="s">
        <v>1123</v>
      </c>
      <c r="B42" s="7" t="s">
        <v>1124</v>
      </c>
      <c r="C42" s="7" t="s">
        <v>1052</v>
      </c>
      <c r="D42" s="7" t="s">
        <v>1099</v>
      </c>
      <c r="E42" s="7" t="s">
        <v>1125</v>
      </c>
      <c r="F42" s="7" t="s">
        <v>1109</v>
      </c>
    </row>
    <row r="43" spans="1:6" x14ac:dyDescent="0.25">
      <c r="A43" s="7" t="s">
        <v>1126</v>
      </c>
      <c r="B43" s="7" t="s">
        <v>1124</v>
      </c>
      <c r="C43" s="7" t="s">
        <v>1052</v>
      </c>
      <c r="D43" s="7" t="s">
        <v>1099</v>
      </c>
      <c r="E43" s="7" t="s">
        <v>1125</v>
      </c>
      <c r="F43" s="7" t="s">
        <v>1101</v>
      </c>
    </row>
    <row r="44" spans="1:6" x14ac:dyDescent="0.25">
      <c r="A44" s="7" t="s">
        <v>1127</v>
      </c>
      <c r="B44" s="7" t="s">
        <v>1124</v>
      </c>
      <c r="C44" s="7" t="s">
        <v>1052</v>
      </c>
      <c r="D44" s="7" t="s">
        <v>1099</v>
      </c>
      <c r="E44" s="7" t="s">
        <v>1125</v>
      </c>
      <c r="F44" s="7" t="s">
        <v>1108</v>
      </c>
    </row>
    <row r="45" spans="1:6" x14ac:dyDescent="0.25">
      <c r="A45" s="7" t="s">
        <v>1128</v>
      </c>
      <c r="B45" s="7" t="s">
        <v>1124</v>
      </c>
      <c r="C45" s="7" t="s">
        <v>1052</v>
      </c>
      <c r="D45" s="7" t="s">
        <v>1099</v>
      </c>
      <c r="E45" s="7" t="s">
        <v>1125</v>
      </c>
      <c r="F45" s="7" t="s">
        <v>1111</v>
      </c>
    </row>
    <row r="46" spans="1:6" x14ac:dyDescent="0.25">
      <c r="A46" s="7" t="s">
        <v>1129</v>
      </c>
      <c r="B46" s="7" t="s">
        <v>1124</v>
      </c>
      <c r="C46" s="7" t="s">
        <v>1052</v>
      </c>
      <c r="D46" s="7" t="s">
        <v>1099</v>
      </c>
      <c r="E46" s="7" t="s">
        <v>1125</v>
      </c>
      <c r="F46" s="7" t="s">
        <v>1109</v>
      </c>
    </row>
    <row r="47" spans="1:6" x14ac:dyDescent="0.25">
      <c r="A47" s="7" t="s">
        <v>1130</v>
      </c>
      <c r="B47" s="7" t="s">
        <v>1124</v>
      </c>
      <c r="C47" s="7" t="s">
        <v>1052</v>
      </c>
      <c r="D47" s="7" t="s">
        <v>1099</v>
      </c>
      <c r="E47" s="7" t="s">
        <v>1125</v>
      </c>
      <c r="F47" s="7" t="s">
        <v>1131</v>
      </c>
    </row>
    <row r="48" spans="1:6" x14ac:dyDescent="0.25">
      <c r="A48" s="7" t="s">
        <v>1132</v>
      </c>
      <c r="B48" s="7" t="s">
        <v>1124</v>
      </c>
      <c r="C48" s="7" t="s">
        <v>1052</v>
      </c>
      <c r="D48" s="7" t="s">
        <v>1099</v>
      </c>
      <c r="E48" s="7" t="s">
        <v>1125</v>
      </c>
      <c r="F48" s="7" t="s">
        <v>1101</v>
      </c>
    </row>
    <row r="49" spans="1:6" x14ac:dyDescent="0.25">
      <c r="A49" s="7" t="s">
        <v>1133</v>
      </c>
      <c r="B49" s="7" t="s">
        <v>1124</v>
      </c>
      <c r="C49" s="7" t="s">
        <v>1052</v>
      </c>
      <c r="D49" s="7" t="s">
        <v>1099</v>
      </c>
      <c r="E49" s="7" t="s">
        <v>1125</v>
      </c>
      <c r="F49" s="7" t="s">
        <v>1109</v>
      </c>
    </row>
    <row r="50" spans="1:6" x14ac:dyDescent="0.25">
      <c r="A50" s="7" t="s">
        <v>1134</v>
      </c>
      <c r="B50" s="7" t="s">
        <v>1124</v>
      </c>
      <c r="C50" s="7" t="s">
        <v>1052</v>
      </c>
      <c r="D50" s="7" t="s">
        <v>1099</v>
      </c>
      <c r="E50" s="7" t="s">
        <v>1125</v>
      </c>
      <c r="F50" s="7" t="s">
        <v>1111</v>
      </c>
    </row>
    <row r="51" spans="1:6" x14ac:dyDescent="0.25">
      <c r="A51" s="7" t="s">
        <v>1135</v>
      </c>
      <c r="B51" s="7" t="s">
        <v>1124</v>
      </c>
      <c r="C51" s="7" t="s">
        <v>1052</v>
      </c>
      <c r="D51" s="7" t="s">
        <v>1099</v>
      </c>
      <c r="E51" s="7" t="s">
        <v>1125</v>
      </c>
      <c r="F51" s="7" t="s">
        <v>1109</v>
      </c>
    </row>
    <row r="52" spans="1:6" x14ac:dyDescent="0.25">
      <c r="A52" s="7" t="s">
        <v>1136</v>
      </c>
      <c r="B52" s="7" t="s">
        <v>1124</v>
      </c>
      <c r="C52" s="7" t="s">
        <v>1052</v>
      </c>
      <c r="D52" s="7" t="s">
        <v>1099</v>
      </c>
      <c r="E52" s="7" t="s">
        <v>1125</v>
      </c>
      <c r="F52" s="7" t="s">
        <v>1109</v>
      </c>
    </row>
    <row r="53" spans="1:6" x14ac:dyDescent="0.25">
      <c r="A53" s="7" t="s">
        <v>1137</v>
      </c>
      <c r="B53" s="7" t="s">
        <v>1124</v>
      </c>
      <c r="C53" s="7" t="s">
        <v>1052</v>
      </c>
      <c r="D53" s="7" t="s">
        <v>1099</v>
      </c>
      <c r="E53" s="7" t="s">
        <v>1125</v>
      </c>
      <c r="F53" s="7" t="s">
        <v>1109</v>
      </c>
    </row>
    <row r="54" spans="1:6" x14ac:dyDescent="0.25">
      <c r="A54" s="7" t="s">
        <v>1138</v>
      </c>
      <c r="B54" s="7" t="s">
        <v>1124</v>
      </c>
      <c r="C54" s="7" t="s">
        <v>1052</v>
      </c>
      <c r="D54" s="7" t="s">
        <v>1099</v>
      </c>
      <c r="E54" s="7" t="s">
        <v>1125</v>
      </c>
      <c r="F54" s="7" t="s">
        <v>1101</v>
      </c>
    </row>
    <row r="55" spans="1:6" x14ac:dyDescent="0.25">
      <c r="A55" s="7" t="s">
        <v>1139</v>
      </c>
      <c r="B55" s="7" t="s">
        <v>1124</v>
      </c>
      <c r="C55" s="7" t="s">
        <v>1052</v>
      </c>
      <c r="D55" s="7" t="s">
        <v>1099</v>
      </c>
      <c r="E55" s="7" t="s">
        <v>1125</v>
      </c>
      <c r="F55" s="7" t="s">
        <v>1108</v>
      </c>
    </row>
    <row r="56" spans="1:6" x14ac:dyDescent="0.25">
      <c r="A56" s="7" t="s">
        <v>1140</v>
      </c>
      <c r="B56" s="7" t="s">
        <v>1124</v>
      </c>
      <c r="C56" s="7" t="s">
        <v>1052</v>
      </c>
      <c r="D56" s="7" t="s">
        <v>1099</v>
      </c>
      <c r="E56" s="7" t="s">
        <v>1125</v>
      </c>
      <c r="F56" s="7" t="s">
        <v>1141</v>
      </c>
    </row>
    <row r="57" spans="1:6" x14ac:dyDescent="0.25">
      <c r="A57" s="7" t="s">
        <v>1142</v>
      </c>
      <c r="B57" s="7" t="s">
        <v>1124</v>
      </c>
      <c r="C57" s="7" t="s">
        <v>1052</v>
      </c>
      <c r="D57" s="7" t="s">
        <v>1099</v>
      </c>
      <c r="E57" s="7" t="s">
        <v>1125</v>
      </c>
      <c r="F57" s="7" t="s">
        <v>1101</v>
      </c>
    </row>
    <row r="58" spans="1:6" x14ac:dyDescent="0.25">
      <c r="A58" s="7" t="s">
        <v>1143</v>
      </c>
      <c r="B58" s="7" t="s">
        <v>1124</v>
      </c>
      <c r="C58" s="7" t="s">
        <v>1052</v>
      </c>
      <c r="D58" s="7" t="s">
        <v>1099</v>
      </c>
      <c r="E58" s="7" t="s">
        <v>1125</v>
      </c>
      <c r="F58" s="7" t="s">
        <v>1108</v>
      </c>
    </row>
    <row r="59" spans="1:6" x14ac:dyDescent="0.25">
      <c r="A59" s="7" t="s">
        <v>1144</v>
      </c>
      <c r="B59" s="7" t="s">
        <v>1124</v>
      </c>
      <c r="C59" s="7" t="s">
        <v>1052</v>
      </c>
      <c r="D59" s="7" t="s">
        <v>1099</v>
      </c>
      <c r="E59" s="7" t="s">
        <v>1125</v>
      </c>
      <c r="F59" s="7" t="s">
        <v>1101</v>
      </c>
    </row>
    <row r="60" spans="1:6" x14ac:dyDescent="0.25">
      <c r="A60" s="7" t="s">
        <v>1145</v>
      </c>
      <c r="B60" s="7" t="s">
        <v>1124</v>
      </c>
      <c r="C60" s="7" t="s">
        <v>1052</v>
      </c>
      <c r="D60" s="7" t="s">
        <v>1099</v>
      </c>
      <c r="E60" s="7" t="s">
        <v>1125</v>
      </c>
      <c r="F60" s="7" t="s">
        <v>1106</v>
      </c>
    </row>
    <row r="61" spans="1:6" x14ac:dyDescent="0.25">
      <c r="A61" s="7" t="s">
        <v>1146</v>
      </c>
      <c r="B61" s="7" t="s">
        <v>1124</v>
      </c>
      <c r="C61" s="7" t="s">
        <v>1052</v>
      </c>
      <c r="D61" s="7" t="s">
        <v>1099</v>
      </c>
      <c r="E61" s="7" t="s">
        <v>1125</v>
      </c>
      <c r="F61" s="7" t="s">
        <v>1101</v>
      </c>
    </row>
    <row r="62" spans="1:6" x14ac:dyDescent="0.25">
      <c r="A62" s="7" t="s">
        <v>1147</v>
      </c>
      <c r="B62" s="7" t="s">
        <v>1124</v>
      </c>
      <c r="C62" s="7" t="s">
        <v>1052</v>
      </c>
      <c r="D62" s="7" t="s">
        <v>1099</v>
      </c>
      <c r="E62" s="7" t="s">
        <v>1125</v>
      </c>
      <c r="F62" s="7" t="s">
        <v>1108</v>
      </c>
    </row>
    <row r="63" spans="1:6" x14ac:dyDescent="0.25">
      <c r="A63" s="7" t="s">
        <v>1148</v>
      </c>
      <c r="B63" s="7" t="s">
        <v>1124</v>
      </c>
      <c r="C63" s="7" t="s">
        <v>1052</v>
      </c>
      <c r="D63" s="7" t="s">
        <v>1099</v>
      </c>
      <c r="E63" s="7" t="s">
        <v>1125</v>
      </c>
      <c r="F63" s="7" t="s">
        <v>1109</v>
      </c>
    </row>
    <row r="64" spans="1:6" x14ac:dyDescent="0.25">
      <c r="A64" s="7" t="s">
        <v>1149</v>
      </c>
      <c r="B64" s="7" t="s">
        <v>1124</v>
      </c>
      <c r="C64" s="7" t="s">
        <v>1052</v>
      </c>
      <c r="D64" s="7" t="s">
        <v>1099</v>
      </c>
      <c r="E64" s="7" t="s">
        <v>1125</v>
      </c>
      <c r="F64" s="7" t="s">
        <v>1106</v>
      </c>
    </row>
    <row r="65" spans="1:6" x14ac:dyDescent="0.25">
      <c r="A65" s="7" t="s">
        <v>1150</v>
      </c>
      <c r="B65" s="7" t="s">
        <v>1124</v>
      </c>
      <c r="C65" s="7" t="s">
        <v>1052</v>
      </c>
      <c r="D65" s="7" t="s">
        <v>1099</v>
      </c>
      <c r="E65" s="7" t="s">
        <v>1125</v>
      </c>
      <c r="F65" s="7" t="s">
        <v>1106</v>
      </c>
    </row>
    <row r="66" spans="1:6" x14ac:dyDescent="0.25">
      <c r="A66" s="7" t="s">
        <v>1151</v>
      </c>
      <c r="B66" s="7" t="s">
        <v>1124</v>
      </c>
      <c r="C66" s="7" t="s">
        <v>1052</v>
      </c>
      <c r="D66" s="7" t="s">
        <v>1099</v>
      </c>
      <c r="E66" s="7" t="s">
        <v>1125</v>
      </c>
      <c r="F66" s="7" t="s">
        <v>1111</v>
      </c>
    </row>
    <row r="68" spans="1:6" x14ac:dyDescent="0.25">
      <c r="A68" s="2" t="s">
        <v>1152</v>
      </c>
    </row>
    <row r="69" spans="1:6" x14ac:dyDescent="0.25">
      <c r="A69" s="2" t="s">
        <v>1153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H213"/>
  <sheetViews>
    <sheetView zoomScaleNormal="100" workbookViewId="0">
      <pane xSplit="6" ySplit="5" topLeftCell="G6" activePane="bottomRight" state="frozen"/>
      <selection pane="topRight"/>
      <selection pane="bottomLeft"/>
      <selection pane="bottomRight"/>
    </sheetView>
  </sheetViews>
  <sheetFormatPr baseColWidth="10" defaultColWidth="8.7109375" defaultRowHeight="15" x14ac:dyDescent="0.25"/>
  <cols>
    <col min="1" max="1" width="5" customWidth="1"/>
    <col min="2" max="2" width="11" customWidth="1"/>
    <col min="3" max="3" width="48" customWidth="1"/>
    <col min="4" max="4" width="13" hidden="1" customWidth="1"/>
    <col min="5" max="5" width="16" customWidth="1"/>
    <col min="6" max="6" width="26" customWidth="1"/>
    <col min="7" max="7" width="5" customWidth="1"/>
    <col min="8" max="9" width="6" customWidth="1"/>
    <col min="10" max="11" width="9" customWidth="1"/>
    <col min="12" max="12" width="5" customWidth="1"/>
    <col min="13" max="33" width="5.5703125" customWidth="1"/>
    <col min="34" max="34" width="13" hidden="1" customWidth="1"/>
  </cols>
  <sheetData>
    <row r="1" spans="1:34" ht="16.5" x14ac:dyDescent="0.25">
      <c r="A1" s="1" t="s">
        <v>1154</v>
      </c>
    </row>
    <row r="2" spans="1:34" x14ac:dyDescent="0.25">
      <c r="A2" s="2" t="s">
        <v>1155</v>
      </c>
    </row>
    <row r="3" spans="1:34" x14ac:dyDescent="0.25">
      <c r="A3" s="2" t="s">
        <v>1156</v>
      </c>
      <c r="M3" s="22" t="str">
        <f t="shared" ref="M3:AG3" si="0">"M"&amp;(COLUMN()-12)</f>
        <v>M1</v>
      </c>
      <c r="N3" s="22" t="str">
        <f t="shared" si="0"/>
        <v>M2</v>
      </c>
      <c r="O3" s="22" t="str">
        <f t="shared" si="0"/>
        <v>M3</v>
      </c>
      <c r="P3" s="22" t="str">
        <f t="shared" si="0"/>
        <v>M4</v>
      </c>
      <c r="Q3" s="22" t="str">
        <f t="shared" si="0"/>
        <v>M5</v>
      </c>
      <c r="R3" s="22" t="str">
        <f t="shared" si="0"/>
        <v>M6</v>
      </c>
      <c r="S3" s="22" t="str">
        <f t="shared" si="0"/>
        <v>M7</v>
      </c>
      <c r="T3" s="22" t="str">
        <f t="shared" si="0"/>
        <v>M8</v>
      </c>
      <c r="U3" s="22" t="str">
        <f t="shared" si="0"/>
        <v>M9</v>
      </c>
      <c r="V3" s="22" t="str">
        <f t="shared" si="0"/>
        <v>M10</v>
      </c>
      <c r="W3" s="22" t="str">
        <f t="shared" si="0"/>
        <v>M11</v>
      </c>
      <c r="X3" s="22" t="str">
        <f t="shared" si="0"/>
        <v>M12</v>
      </c>
      <c r="Y3" s="22" t="str">
        <f t="shared" si="0"/>
        <v>M13</v>
      </c>
      <c r="Z3" s="22" t="str">
        <f t="shared" si="0"/>
        <v>M14</v>
      </c>
      <c r="AA3" s="22" t="str">
        <f t="shared" si="0"/>
        <v>M15</v>
      </c>
      <c r="AB3" s="22" t="str">
        <f t="shared" si="0"/>
        <v>M16</v>
      </c>
      <c r="AC3" s="22" t="str">
        <f t="shared" si="0"/>
        <v>M17</v>
      </c>
      <c r="AD3" s="22" t="str">
        <f t="shared" si="0"/>
        <v>M18</v>
      </c>
      <c r="AE3" s="22" t="str">
        <f t="shared" si="0"/>
        <v>M19</v>
      </c>
      <c r="AF3" s="22" t="str">
        <f t="shared" si="0"/>
        <v>M20</v>
      </c>
      <c r="AG3" s="22" t="str">
        <f t="shared" si="0"/>
        <v>M21</v>
      </c>
    </row>
    <row r="4" spans="1:34" ht="25.5" x14ac:dyDescent="0.25">
      <c r="A4" s="6" t="s">
        <v>1157</v>
      </c>
      <c r="B4" s="6" t="s">
        <v>32</v>
      </c>
      <c r="C4" s="6" t="s">
        <v>34</v>
      </c>
      <c r="D4" s="6" t="s">
        <v>33</v>
      </c>
      <c r="E4" s="6" t="s">
        <v>5</v>
      </c>
      <c r="F4" s="6" t="s">
        <v>47</v>
      </c>
      <c r="G4" s="6" t="s">
        <v>875</v>
      </c>
      <c r="H4" s="6" t="s">
        <v>1158</v>
      </c>
      <c r="I4" s="6" t="s">
        <v>9</v>
      </c>
      <c r="J4" s="6" t="s">
        <v>883</v>
      </c>
      <c r="K4" s="6" t="s">
        <v>884</v>
      </c>
      <c r="L4" s="6" t="s">
        <v>1159</v>
      </c>
      <c r="M4" s="22">
        <f t="shared" ref="M4:AG4" si="1">COLUMN()-12</f>
        <v>1</v>
      </c>
      <c r="N4" s="22">
        <f t="shared" si="1"/>
        <v>2</v>
      </c>
      <c r="O4" s="22">
        <f t="shared" si="1"/>
        <v>3</v>
      </c>
      <c r="P4" s="22">
        <f t="shared" si="1"/>
        <v>4</v>
      </c>
      <c r="Q4" s="22">
        <f t="shared" si="1"/>
        <v>5</v>
      </c>
      <c r="R4" s="22">
        <f t="shared" si="1"/>
        <v>6</v>
      </c>
      <c r="S4" s="22">
        <f t="shared" si="1"/>
        <v>7</v>
      </c>
      <c r="T4" s="22">
        <f t="shared" si="1"/>
        <v>8</v>
      </c>
      <c r="U4" s="22">
        <f t="shared" si="1"/>
        <v>9</v>
      </c>
      <c r="V4" s="22">
        <f t="shared" si="1"/>
        <v>10</v>
      </c>
      <c r="W4" s="22">
        <f t="shared" si="1"/>
        <v>11</v>
      </c>
      <c r="X4" s="22">
        <f t="shared" si="1"/>
        <v>12</v>
      </c>
      <c r="Y4" s="22">
        <f t="shared" si="1"/>
        <v>13</v>
      </c>
      <c r="Z4" s="22">
        <f t="shared" si="1"/>
        <v>14</v>
      </c>
      <c r="AA4" s="22">
        <f t="shared" si="1"/>
        <v>15</v>
      </c>
      <c r="AB4" s="22">
        <f t="shared" si="1"/>
        <v>16</v>
      </c>
      <c r="AC4" s="22">
        <f t="shared" si="1"/>
        <v>17</v>
      </c>
      <c r="AD4" s="22">
        <f t="shared" si="1"/>
        <v>18</v>
      </c>
      <c r="AE4" s="22">
        <f t="shared" si="1"/>
        <v>19</v>
      </c>
      <c r="AF4" s="22">
        <f t="shared" si="1"/>
        <v>20</v>
      </c>
      <c r="AG4" s="22">
        <f t="shared" si="1"/>
        <v>21</v>
      </c>
    </row>
    <row r="5" spans="1:34" x14ac:dyDescent="0.25">
      <c r="M5" s="22" t="str">
        <f>TEXT('0. Parametros'!$B$3+(COLUMN()-13)*30,"mmm-yy")</f>
        <v>ene-25</v>
      </c>
      <c r="N5" s="22" t="str">
        <f>TEXT('0. Parametros'!$B$3+(COLUMN()-13)*30,"mmm-yy")</f>
        <v>feb-25</v>
      </c>
      <c r="O5" s="22" t="str">
        <f>TEXT('0. Parametros'!$B$3+(COLUMN()-13)*30,"mmm-yy")</f>
        <v>mar-25</v>
      </c>
      <c r="P5" s="22" t="str">
        <f>TEXT('0. Parametros'!$B$3+(COLUMN()-13)*30,"mmm-yy")</f>
        <v>abr-25</v>
      </c>
      <c r="Q5" s="22" t="str">
        <f>TEXT('0. Parametros'!$B$3+(COLUMN()-13)*30,"mmm-yy")</f>
        <v>may-25</v>
      </c>
      <c r="R5" s="22" t="str">
        <f>TEXT('0. Parametros'!$B$3+(COLUMN()-13)*30,"mmm-yy")</f>
        <v>jun-25</v>
      </c>
      <c r="S5" s="22" t="str">
        <f>TEXT('0. Parametros'!$B$3+(COLUMN()-13)*30,"mmm-yy")</f>
        <v>jul-25</v>
      </c>
      <c r="T5" s="22" t="str">
        <f>TEXT('0. Parametros'!$B$3+(COLUMN()-13)*30,"mmm-yy")</f>
        <v>ago-25</v>
      </c>
      <c r="U5" s="22" t="str">
        <f>TEXT('0. Parametros'!$B$3+(COLUMN()-13)*30,"mmm-yy")</f>
        <v>sep-25</v>
      </c>
      <c r="V5" s="22" t="str">
        <f>TEXT('0. Parametros'!$B$3+(COLUMN()-13)*30,"mmm-yy")</f>
        <v>oct-25</v>
      </c>
      <c r="W5" s="22" t="str">
        <f>TEXT('0. Parametros'!$B$3+(COLUMN()-13)*30,"mmm-yy")</f>
        <v>nov-25</v>
      </c>
      <c r="X5" s="22" t="str">
        <f>TEXT('0. Parametros'!$B$3+(COLUMN()-13)*30,"mmm-yy")</f>
        <v>dic-25</v>
      </c>
      <c r="Y5" s="22" t="str">
        <f>TEXT('0. Parametros'!$B$3+(COLUMN()-13)*30,"mmm-yy")</f>
        <v>ene-26</v>
      </c>
      <c r="Z5" s="22" t="str">
        <f>TEXT('0. Parametros'!$B$3+(COLUMN()-13)*30,"mmm-yy")</f>
        <v>feb-26</v>
      </c>
      <c r="AA5" s="22" t="str">
        <f>TEXT('0. Parametros'!$B$3+(COLUMN()-13)*30,"mmm-yy")</f>
        <v>mar-26</v>
      </c>
      <c r="AB5" s="22" t="str">
        <f>TEXT('0. Parametros'!$B$3+(COLUMN()-13)*30,"mmm-yy")</f>
        <v>abr-26</v>
      </c>
      <c r="AC5" s="22" t="str">
        <f>TEXT('0. Parametros'!$B$3+(COLUMN()-13)*30,"mmm-yy")</f>
        <v>may-26</v>
      </c>
      <c r="AD5" s="22" t="str">
        <f>TEXT('0. Parametros'!$B$3+(COLUMN()-13)*30,"mmm-yy")</f>
        <v>jun-26</v>
      </c>
      <c r="AE5" s="22" t="str">
        <f>TEXT('0. Parametros'!$B$3+(COLUMN()-13)*30,"mmm-yy")</f>
        <v>jul-26</v>
      </c>
      <c r="AF5" s="22" t="str">
        <f>TEXT('0. Parametros'!$B$3+(COLUMN()-13)*30,"mmm-yy")</f>
        <v>ago-26</v>
      </c>
      <c r="AG5" s="22" t="str">
        <f>TEXT('0. Parametros'!$B$3+(COLUMN()-13)*30,"mmm-yy")</f>
        <v>sep-26</v>
      </c>
    </row>
    <row r="6" spans="1:34" x14ac:dyDescent="0.25">
      <c r="A6" s="11">
        <f t="shared" ref="A6:A69" si="2">ROW()-5</f>
        <v>1</v>
      </c>
      <c r="B6" s="23" t="str">
        <f>'1. Calculo PERT'!A5</f>
        <v>1</v>
      </c>
      <c r="C6" s="24" t="str">
        <f>'1. Calculo PERT'!C5</f>
        <v>Empalme Vial Avenida Mutis - Transversal 112B Bis A (IDU-2412-2024)</v>
      </c>
      <c r="D6" s="23">
        <f>'1. Calculo PERT'!B5</f>
        <v>1</v>
      </c>
      <c r="E6" s="23">
        <f>'1. Calculo PERT'!D5</f>
        <v>0</v>
      </c>
      <c r="F6" s="25"/>
      <c r="G6" s="11">
        <f>I6-H6</f>
        <v>630</v>
      </c>
      <c r="H6" s="11">
        <f t="array" ref="H6">MIN(IF(LEFT('2. Red CPM-Ruta Critica'!$A$5:$A$167,LEN($B6)+1)=$B6&amp;".",'2. Red CPM-Ruta Critica'!$H$5:$H$167))</f>
        <v>0</v>
      </c>
      <c r="I6" s="11">
        <f t="array" ref="I6">MAX(IF(LEFT('2. Red CPM-Ruta Critica'!$A$5:$A$167,LEN($B6)+1)=$B6&amp;".",'2. Red CPM-Ruta Critica'!$I$5:$I$167))</f>
        <v>630</v>
      </c>
      <c r="J6" s="26">
        <f>'0. Parametros'!$B$3+H6</f>
        <v>45670</v>
      </c>
      <c r="K6" s="26">
        <f>'0. Parametros'!$B$3+I6-1</f>
        <v>46299</v>
      </c>
      <c r="L6" s="11"/>
      <c r="AH6" s="7" t="b">
        <f>ISNUMBER(MATCH($B6,'2. Red CPM-Ruta Critica'!$A:$A,0))</f>
        <v>0</v>
      </c>
    </row>
    <row r="7" spans="1:34" x14ac:dyDescent="0.25">
      <c r="A7" s="11">
        <f t="shared" si="2"/>
        <v>2</v>
      </c>
      <c r="B7" s="23" t="str">
        <f>'1. Calculo PERT'!A6</f>
        <v>1.1</v>
      </c>
      <c r="C7" s="24" t="str">
        <f>'1. Calculo PERT'!C6</f>
        <v>Fase: Requisitos y Gestion Administrativa</v>
      </c>
      <c r="D7" s="23">
        <f>'1. Calculo PERT'!B6</f>
        <v>2</v>
      </c>
      <c r="E7" s="23" t="str">
        <f>'1. Calculo PERT'!D6</f>
        <v>1-Requisitos/Gestion</v>
      </c>
      <c r="F7" s="25"/>
      <c r="G7" s="11">
        <f>I7-H7</f>
        <v>90</v>
      </c>
      <c r="H7" s="11">
        <f t="array" ref="H7">MIN(IF(LEFT('2. Red CPM-Ruta Critica'!$A$5:$A$167,LEN($B7)+1)=$B7&amp;".",'2. Red CPM-Ruta Critica'!$H$5:$H$167))</f>
        <v>0</v>
      </c>
      <c r="I7" s="11">
        <f t="array" ref="I7">MAX(IF(LEFT('2. Red CPM-Ruta Critica'!$A$5:$A$167,LEN($B7)+1)=$B7&amp;".",'2. Red CPM-Ruta Critica'!$I$5:$I$167))</f>
        <v>90</v>
      </c>
      <c r="J7" s="26">
        <f>'0. Parametros'!$B$3+H7</f>
        <v>45670</v>
      </c>
      <c r="K7" s="26">
        <f>'0. Parametros'!$B$3+I7-1</f>
        <v>45759</v>
      </c>
      <c r="L7" s="11"/>
      <c r="AH7" s="7" t="b">
        <f>ISNUMBER(MATCH($B7,'2. Red CPM-Ruta Critica'!$A:$A,0))</f>
        <v>0</v>
      </c>
    </row>
    <row r="8" spans="1:34" x14ac:dyDescent="0.25">
      <c r="A8" s="7">
        <f t="shared" si="2"/>
        <v>3</v>
      </c>
      <c r="B8" s="14" t="str">
        <f>'1. Calculo PERT'!A7</f>
        <v>1.1.0</v>
      </c>
      <c r="C8" s="14" t="str">
        <f>'1. Calculo PERT'!C7</f>
        <v>Suscribir el acta de inicio del contrato</v>
      </c>
      <c r="D8" s="14">
        <f>'1. Calculo PERT'!B7</f>
        <v>3</v>
      </c>
      <c r="E8" s="14" t="str">
        <f>'1. Calculo PERT'!D7</f>
        <v>1-Requisitos/Gestion</v>
      </c>
      <c r="F8" s="5"/>
      <c r="G8" s="14">
        <f>VLOOKUP($B8,'2. Red CPM-Ruta Critica'!$A:$F,6,FALSE())</f>
        <v>3</v>
      </c>
      <c r="H8" s="14">
        <f>VLOOKUP($B8,'2. Red CPM-Ruta Critica'!$A:$H,8,FALSE())</f>
        <v>0</v>
      </c>
      <c r="I8" s="14">
        <f>VLOOKUP($B8,'2. Red CPM-Ruta Critica'!$A:$I,9,FALSE())</f>
        <v>3</v>
      </c>
      <c r="J8" s="27">
        <f>'0. Parametros'!$B$3+H8</f>
        <v>45670</v>
      </c>
      <c r="K8" s="27">
        <f>'0. Parametros'!$B$3+I8-1</f>
        <v>45672</v>
      </c>
      <c r="L8" s="14" t="str">
        <f>VLOOKUP($B8,'2. Red CPM-Ruta Critica'!$A:$M,13,FALSE())</f>
        <v>SI</v>
      </c>
      <c r="AH8" s="7" t="b">
        <f>ISNUMBER(MATCH($B8,'2. Red CPM-Ruta Critica'!$A:$A,0))</f>
        <v>1</v>
      </c>
    </row>
    <row r="9" spans="1:34" x14ac:dyDescent="0.25">
      <c r="A9" s="13">
        <f t="shared" si="2"/>
        <v>4</v>
      </c>
      <c r="B9" s="28" t="str">
        <f>'1. Calculo PERT'!A8</f>
        <v>1.1.1</v>
      </c>
      <c r="C9" s="29" t="str">
        <f>'1. Calculo PERT'!C8</f>
        <v>Cuenta de control: Gestion de Predios y Legal</v>
      </c>
      <c r="D9" s="28">
        <f>'1. Calculo PERT'!B8</f>
        <v>3</v>
      </c>
      <c r="E9" s="28" t="str">
        <f>'1. Calculo PERT'!D8</f>
        <v>1-Requisitos/Gestion</v>
      </c>
      <c r="F9" s="30"/>
      <c r="G9" s="13">
        <f>I9-H9</f>
        <v>87</v>
      </c>
      <c r="H9" s="13">
        <f t="array" ref="H9">MIN(IF(LEFT('2. Red CPM-Ruta Critica'!$A$5:$A$167,LEN($B9)+1)=$B9&amp;".",'2. Red CPM-Ruta Critica'!$H$5:$H$167))</f>
        <v>3</v>
      </c>
      <c r="I9" s="13">
        <f t="array" ref="I9">MAX(IF(LEFT('2. Red CPM-Ruta Critica'!$A$5:$A$167,LEN($B9)+1)=$B9&amp;".",'2. Red CPM-Ruta Critica'!$I$5:$I$167))</f>
        <v>90</v>
      </c>
      <c r="J9" s="31">
        <f>'0. Parametros'!$B$3+H9</f>
        <v>45673</v>
      </c>
      <c r="K9" s="31">
        <f>'0. Parametros'!$B$3+I9-1</f>
        <v>45759</v>
      </c>
      <c r="L9" s="13"/>
      <c r="AH9" s="7" t="b">
        <f>ISNUMBER(MATCH($B9,'2. Red CPM-Ruta Critica'!$A:$A,0))</f>
        <v>0</v>
      </c>
    </row>
    <row r="10" spans="1:34" x14ac:dyDescent="0.25">
      <c r="A10" s="13">
        <f t="shared" si="2"/>
        <v>5</v>
      </c>
      <c r="B10" s="28" t="str">
        <f>'1. Calculo PERT'!A9</f>
        <v>1.1.1.1</v>
      </c>
      <c r="C10" s="29" t="str">
        <f>'1. Calculo PERT'!C9</f>
        <v>Titulos de propiedad de predios adquiridos</v>
      </c>
      <c r="D10" s="28">
        <f>'1. Calculo PERT'!B9</f>
        <v>4</v>
      </c>
      <c r="E10" s="28" t="str">
        <f>'1. Calculo PERT'!D9</f>
        <v>1-Requisitos/Gestion</v>
      </c>
      <c r="F10" s="30"/>
      <c r="G10" s="13">
        <f>I10-H10</f>
        <v>87</v>
      </c>
      <c r="H10" s="13">
        <f t="array" ref="H10">MIN(IF(LEFT('2. Red CPM-Ruta Critica'!$A$5:$A$167,LEN($B10)+1)=$B10&amp;".",'2. Red CPM-Ruta Critica'!$H$5:$H$167))</f>
        <v>3</v>
      </c>
      <c r="I10" s="13">
        <f t="array" ref="I10">MAX(IF(LEFT('2. Red CPM-Ruta Critica'!$A$5:$A$167,LEN($B10)+1)=$B10&amp;".",'2. Red CPM-Ruta Critica'!$I$5:$I$167))</f>
        <v>90</v>
      </c>
      <c r="J10" s="31">
        <f>'0. Parametros'!$B$3+H10</f>
        <v>45673</v>
      </c>
      <c r="K10" s="31">
        <f>'0. Parametros'!$B$3+I10-1</f>
        <v>45759</v>
      </c>
      <c r="L10" s="13"/>
      <c r="AH10" s="7" t="b">
        <f>ISNUMBER(MATCH($B10,'2. Red CPM-Ruta Critica'!$A:$A,0))</f>
        <v>0</v>
      </c>
    </row>
    <row r="11" spans="1:34" x14ac:dyDescent="0.25">
      <c r="A11" s="7">
        <f t="shared" si="2"/>
        <v>6</v>
      </c>
      <c r="B11" s="14" t="str">
        <f>'1. Calculo PERT'!A10</f>
        <v>1.1.1.1.1</v>
      </c>
      <c r="C11" s="14" t="str">
        <f>'1. Calculo PERT'!C10</f>
        <v>Identificar predios, elaborar ficha predial y avaluo comercial</v>
      </c>
      <c r="D11" s="14">
        <f>'1. Calculo PERT'!B10</f>
        <v>5</v>
      </c>
      <c r="E11" s="14" t="str">
        <f>'1. Calculo PERT'!D10</f>
        <v>1-Requisitos/Gestion</v>
      </c>
      <c r="F11" s="5" t="s">
        <v>67</v>
      </c>
      <c r="G11" s="14">
        <f>VLOOKUP($B11,'2. Red CPM-Ruta Critica'!$A:$F,6,FALSE())</f>
        <v>23</v>
      </c>
      <c r="H11" s="14">
        <f>VLOOKUP($B11,'2. Red CPM-Ruta Critica'!$A:$H,8,FALSE())</f>
        <v>3</v>
      </c>
      <c r="I11" s="14">
        <f>VLOOKUP($B11,'2. Red CPM-Ruta Critica'!$A:$I,9,FALSE())</f>
        <v>26</v>
      </c>
      <c r="J11" s="27">
        <f>'0. Parametros'!$B$3+H11</f>
        <v>45673</v>
      </c>
      <c r="K11" s="27">
        <f>'0. Parametros'!$B$3+I11-1</f>
        <v>45695</v>
      </c>
      <c r="L11" s="14" t="str">
        <f>VLOOKUP($B11,'2. Red CPM-Ruta Critica'!$A:$M,13,FALSE())</f>
        <v>SI</v>
      </c>
      <c r="AH11" s="7" t="b">
        <f>ISNUMBER(MATCH($B11,'2. Red CPM-Ruta Critica'!$A:$A,0))</f>
        <v>1</v>
      </c>
    </row>
    <row r="12" spans="1:34" x14ac:dyDescent="0.25">
      <c r="A12" s="7">
        <f t="shared" si="2"/>
        <v>7</v>
      </c>
      <c r="B12" s="14" t="str">
        <f>'1. Calculo PERT'!A11</f>
        <v>1.1.1.1.2</v>
      </c>
      <c r="C12" s="14" t="str">
        <f>'1. Calculo PERT'!C11</f>
        <v>Negociar y suscribir promesas de compraventa</v>
      </c>
      <c r="D12" s="14">
        <f>'1. Calculo PERT'!B11</f>
        <v>5</v>
      </c>
      <c r="E12" s="14" t="str">
        <f>'1. Calculo PERT'!D11</f>
        <v>1-Requisitos/Gestion</v>
      </c>
      <c r="F12" s="5" t="s">
        <v>72</v>
      </c>
      <c r="G12" s="14">
        <f>VLOOKUP($B12,'2. Red CPM-Ruta Critica'!$A:$F,6,FALSE())</f>
        <v>34</v>
      </c>
      <c r="H12" s="14">
        <f>VLOOKUP($B12,'2. Red CPM-Ruta Critica'!$A:$H,8,FALSE())</f>
        <v>26</v>
      </c>
      <c r="I12" s="14">
        <f>VLOOKUP($B12,'2. Red CPM-Ruta Critica'!$A:$I,9,FALSE())</f>
        <v>60</v>
      </c>
      <c r="J12" s="27">
        <f>'0. Parametros'!$B$3+H12</f>
        <v>45696</v>
      </c>
      <c r="K12" s="27">
        <f>'0. Parametros'!$B$3+I12-1</f>
        <v>45729</v>
      </c>
      <c r="L12" s="14" t="str">
        <f>VLOOKUP($B12,'2. Red CPM-Ruta Critica'!$A:$M,13,FALSE())</f>
        <v>SI</v>
      </c>
      <c r="AH12" s="7" t="b">
        <f>ISNUMBER(MATCH($B12,'2. Red CPM-Ruta Critica'!$A:$A,0))</f>
        <v>1</v>
      </c>
    </row>
    <row r="13" spans="1:34" x14ac:dyDescent="0.25">
      <c r="A13" s="7">
        <f t="shared" si="2"/>
        <v>8</v>
      </c>
      <c r="B13" s="14" t="str">
        <f>'1. Calculo PERT'!A12</f>
        <v>1.1.1.1.3</v>
      </c>
      <c r="C13" s="14" t="str">
        <f>'1. Calculo PERT'!C12</f>
        <v>Escriturar y registrar los titulos de propiedad</v>
      </c>
      <c r="D13" s="14">
        <f>'1. Calculo PERT'!B12</f>
        <v>5</v>
      </c>
      <c r="E13" s="14" t="str">
        <f>'1. Calculo PERT'!D12</f>
        <v>1-Requisitos/Gestion</v>
      </c>
      <c r="F13" s="5" t="s">
        <v>77</v>
      </c>
      <c r="G13" s="14">
        <f>VLOOKUP($B13,'2. Red CPM-Ruta Critica'!$A:$F,6,FALSE())</f>
        <v>24</v>
      </c>
      <c r="H13" s="14">
        <f>VLOOKUP($B13,'2. Red CPM-Ruta Critica'!$A:$H,8,FALSE())</f>
        <v>60</v>
      </c>
      <c r="I13" s="14">
        <f>VLOOKUP($B13,'2. Red CPM-Ruta Critica'!$A:$I,9,FALSE())</f>
        <v>84</v>
      </c>
      <c r="J13" s="27">
        <f>'0. Parametros'!$B$3+H13</f>
        <v>45730</v>
      </c>
      <c r="K13" s="27">
        <f>'0. Parametros'!$B$3+I13-1</f>
        <v>45753</v>
      </c>
      <c r="L13" s="14" t="str">
        <f>VLOOKUP($B13,'2. Red CPM-Ruta Critica'!$A:$M,13,FALSE())</f>
        <v>SI</v>
      </c>
      <c r="AH13" s="7" t="b">
        <f>ISNUMBER(MATCH($B13,'2. Red CPM-Ruta Critica'!$A:$A,0))</f>
        <v>1</v>
      </c>
    </row>
    <row r="14" spans="1:34" x14ac:dyDescent="0.25">
      <c r="A14" s="7">
        <f t="shared" si="2"/>
        <v>9</v>
      </c>
      <c r="B14" s="14" t="str">
        <f>'1. Calculo PERT'!A13</f>
        <v>1.1.1.1.4</v>
      </c>
      <c r="C14" s="14" t="str">
        <f>'1. Calculo PERT'!C13</f>
        <v>Gestionar servidumbres y reubicaciones</v>
      </c>
      <c r="D14" s="14">
        <f>'1. Calculo PERT'!B13</f>
        <v>5</v>
      </c>
      <c r="E14" s="14" t="str">
        <f>'1. Calculo PERT'!D13</f>
        <v>1-Requisitos/Gestion</v>
      </c>
      <c r="F14" s="5" t="s">
        <v>77</v>
      </c>
      <c r="G14" s="14">
        <f>VLOOKUP($B14,'2. Red CPM-Ruta Critica'!$A:$F,6,FALSE())</f>
        <v>15</v>
      </c>
      <c r="H14" s="14">
        <f>VLOOKUP($B14,'2. Red CPM-Ruta Critica'!$A:$H,8,FALSE())</f>
        <v>60</v>
      </c>
      <c r="I14" s="14">
        <f>VLOOKUP($B14,'2. Red CPM-Ruta Critica'!$A:$I,9,FALSE())</f>
        <v>75</v>
      </c>
      <c r="J14" s="27">
        <f>'0. Parametros'!$B$3+H14</f>
        <v>45730</v>
      </c>
      <c r="K14" s="27">
        <f>'0. Parametros'!$B$3+I14-1</f>
        <v>45744</v>
      </c>
      <c r="L14" s="14" t="str">
        <f>VLOOKUP($B14,'2. Red CPM-Ruta Critica'!$A:$M,13,FALSE())</f>
        <v>no</v>
      </c>
      <c r="AH14" s="7" t="b">
        <f>ISNUMBER(MATCH($B14,'2. Red CPM-Ruta Critica'!$A:$A,0))</f>
        <v>1</v>
      </c>
    </row>
    <row r="15" spans="1:34" x14ac:dyDescent="0.25">
      <c r="A15" s="7">
        <f t="shared" si="2"/>
        <v>10</v>
      </c>
      <c r="B15" s="14" t="str">
        <f>'1. Calculo PERT'!A14</f>
        <v>1.1.1.1.5</v>
      </c>
      <c r="C15" s="14" t="str">
        <f>'1. Calculo PERT'!C14</f>
        <v>Suscribir acta de disponibilidad y entrega de predios</v>
      </c>
      <c r="D15" s="14">
        <f>'1. Calculo PERT'!B14</f>
        <v>5</v>
      </c>
      <c r="E15" s="14" t="str">
        <f>'1. Calculo PERT'!D14</f>
        <v>1-Requisitos/Gestion</v>
      </c>
      <c r="F15" s="5" t="s">
        <v>85</v>
      </c>
      <c r="G15" s="14">
        <f>VLOOKUP($B15,'2. Red CPM-Ruta Critica'!$A:$F,6,FALSE())</f>
        <v>6</v>
      </c>
      <c r="H15" s="14">
        <f>VLOOKUP($B15,'2. Red CPM-Ruta Critica'!$A:$H,8,FALSE())</f>
        <v>84</v>
      </c>
      <c r="I15" s="14">
        <f>VLOOKUP($B15,'2. Red CPM-Ruta Critica'!$A:$I,9,FALSE())</f>
        <v>90</v>
      </c>
      <c r="J15" s="27">
        <f>'0. Parametros'!$B$3+H15</f>
        <v>45754</v>
      </c>
      <c r="K15" s="27">
        <f>'0. Parametros'!$B$3+I15-1</f>
        <v>45759</v>
      </c>
      <c r="L15" s="14" t="str">
        <f>VLOOKUP($B15,'2. Red CPM-Ruta Critica'!$A:$M,13,FALSE())</f>
        <v>SI</v>
      </c>
      <c r="AH15" s="7" t="b">
        <f>ISNUMBER(MATCH($B15,'2. Red CPM-Ruta Critica'!$A:$A,0))</f>
        <v>1</v>
      </c>
    </row>
    <row r="16" spans="1:34" x14ac:dyDescent="0.25">
      <c r="A16" s="13">
        <f t="shared" si="2"/>
        <v>11</v>
      </c>
      <c r="B16" s="28" t="str">
        <f>'1. Calculo PERT'!A15</f>
        <v>1.1.1.2</v>
      </c>
      <c r="C16" s="29" t="str">
        <f>'1. Calculo PERT'!C15</f>
        <v>Actas de vecindad formalizadas</v>
      </c>
      <c r="D16" s="28">
        <f>'1. Calculo PERT'!B15</f>
        <v>4</v>
      </c>
      <c r="E16" s="28" t="str">
        <f>'1. Calculo PERT'!D15</f>
        <v>1-Requisitos/Gestion</v>
      </c>
      <c r="F16" s="30"/>
      <c r="G16" s="13">
        <f>I16-H16</f>
        <v>34</v>
      </c>
      <c r="H16" s="13">
        <f t="array" ref="H16">MIN(IF(LEFT('2. Red CPM-Ruta Critica'!$A$5:$A$167,LEN($B16)+1)=$B16&amp;".",'2. Red CPM-Ruta Critica'!$H$5:$H$167))</f>
        <v>26</v>
      </c>
      <c r="I16" s="13">
        <f t="array" ref="I16">MAX(IF(LEFT('2. Red CPM-Ruta Critica'!$A$5:$A$167,LEN($B16)+1)=$B16&amp;".",'2. Red CPM-Ruta Critica'!$I$5:$I$167))</f>
        <v>60</v>
      </c>
      <c r="J16" s="31">
        <f>'0. Parametros'!$B$3+H16</f>
        <v>45696</v>
      </c>
      <c r="K16" s="31">
        <f>'0. Parametros'!$B$3+I16-1</f>
        <v>45729</v>
      </c>
      <c r="L16" s="13"/>
      <c r="AH16" s="7" t="b">
        <f>ISNUMBER(MATCH($B16,'2. Red CPM-Ruta Critica'!$A:$A,0))</f>
        <v>0</v>
      </c>
    </row>
    <row r="17" spans="1:34" x14ac:dyDescent="0.25">
      <c r="A17" s="7">
        <f t="shared" si="2"/>
        <v>12</v>
      </c>
      <c r="B17" s="14" t="str">
        <f>'1. Calculo PERT'!A16</f>
        <v>1.1.1.2.1</v>
      </c>
      <c r="C17" s="14" t="str">
        <f>'1. Calculo PERT'!C16</f>
        <v>Convocar y levantar registro tecnico-fotografico de colindantes</v>
      </c>
      <c r="D17" s="14">
        <f>'1. Calculo PERT'!B16</f>
        <v>5</v>
      </c>
      <c r="E17" s="14" t="str">
        <f>'1. Calculo PERT'!D16</f>
        <v>1-Requisitos/Gestion</v>
      </c>
      <c r="F17" s="5" t="s">
        <v>72</v>
      </c>
      <c r="G17" s="14">
        <f>VLOOKUP($B17,'2. Red CPM-Ruta Critica'!$A:$F,6,FALSE())</f>
        <v>17</v>
      </c>
      <c r="H17" s="14">
        <f>VLOOKUP($B17,'2. Red CPM-Ruta Critica'!$A:$H,8,FALSE())</f>
        <v>26</v>
      </c>
      <c r="I17" s="14">
        <f>VLOOKUP($B17,'2. Red CPM-Ruta Critica'!$A:$I,9,FALSE())</f>
        <v>43</v>
      </c>
      <c r="J17" s="27">
        <f>'0. Parametros'!$B$3+H17</f>
        <v>45696</v>
      </c>
      <c r="K17" s="27">
        <f>'0. Parametros'!$B$3+I17-1</f>
        <v>45712</v>
      </c>
      <c r="L17" s="14" t="str">
        <f>VLOOKUP($B17,'2. Red CPM-Ruta Critica'!$A:$M,13,FALSE())</f>
        <v>no</v>
      </c>
      <c r="AH17" s="7" t="b">
        <f>ISNUMBER(MATCH($B17,'2. Red CPM-Ruta Critica'!$A:$A,0))</f>
        <v>1</v>
      </c>
    </row>
    <row r="18" spans="1:34" x14ac:dyDescent="0.25">
      <c r="A18" s="7">
        <f t="shared" si="2"/>
        <v>13</v>
      </c>
      <c r="B18" s="14" t="str">
        <f>'1. Calculo PERT'!A17</f>
        <v>1.1.1.2.2</v>
      </c>
      <c r="C18" s="14" t="str">
        <f>'1. Calculo PERT'!C17</f>
        <v>Suscribir y protocolizar las actas de vecindad</v>
      </c>
      <c r="D18" s="14">
        <f>'1. Calculo PERT'!B17</f>
        <v>5</v>
      </c>
      <c r="E18" s="14" t="str">
        <f>'1. Calculo PERT'!D17</f>
        <v>1-Requisitos/Gestion</v>
      </c>
      <c r="F18" s="5" t="s">
        <v>97</v>
      </c>
      <c r="G18" s="14">
        <f>VLOOKUP($B18,'2. Red CPM-Ruta Critica'!$A:$F,6,FALSE())</f>
        <v>12</v>
      </c>
      <c r="H18" s="14">
        <f>VLOOKUP($B18,'2. Red CPM-Ruta Critica'!$A:$H,8,FALSE())</f>
        <v>43</v>
      </c>
      <c r="I18" s="14">
        <f>VLOOKUP($B18,'2. Red CPM-Ruta Critica'!$A:$I,9,FALSE())</f>
        <v>55</v>
      </c>
      <c r="J18" s="27">
        <f>'0. Parametros'!$B$3+H18</f>
        <v>45713</v>
      </c>
      <c r="K18" s="27">
        <f>'0. Parametros'!$B$3+I18-1</f>
        <v>45724</v>
      </c>
      <c r="L18" s="14" t="str">
        <f>VLOOKUP($B18,'2. Red CPM-Ruta Critica'!$A:$M,13,FALSE())</f>
        <v>no</v>
      </c>
      <c r="AH18" s="7" t="b">
        <f>ISNUMBER(MATCH($B18,'2. Red CPM-Ruta Critica'!$A:$A,0))</f>
        <v>1</v>
      </c>
    </row>
    <row r="19" spans="1:34" x14ac:dyDescent="0.25">
      <c r="A19" s="7">
        <f t="shared" si="2"/>
        <v>14</v>
      </c>
      <c r="B19" s="14" t="str">
        <f>'1. Calculo PERT'!A18</f>
        <v>1.1.1.2.3</v>
      </c>
      <c r="C19" s="14" t="str">
        <f>'1. Calculo PERT'!C18</f>
        <v>Archivar soportes y registro fotografico</v>
      </c>
      <c r="D19" s="14">
        <f>'1. Calculo PERT'!B18</f>
        <v>5</v>
      </c>
      <c r="E19" s="14" t="str">
        <f>'1. Calculo PERT'!D18</f>
        <v>1-Requisitos/Gestion</v>
      </c>
      <c r="F19" s="5" t="s">
        <v>102</v>
      </c>
      <c r="G19" s="14">
        <f>VLOOKUP($B19,'2. Red CPM-Ruta Critica'!$A:$F,6,FALSE())</f>
        <v>5</v>
      </c>
      <c r="H19" s="14">
        <f>VLOOKUP($B19,'2. Red CPM-Ruta Critica'!$A:$H,8,FALSE())</f>
        <v>55</v>
      </c>
      <c r="I19" s="14">
        <f>VLOOKUP($B19,'2. Red CPM-Ruta Critica'!$A:$I,9,FALSE())</f>
        <v>60</v>
      </c>
      <c r="J19" s="27">
        <f>'0. Parametros'!$B$3+H19</f>
        <v>45725</v>
      </c>
      <c r="K19" s="27">
        <f>'0. Parametros'!$B$3+I19-1</f>
        <v>45729</v>
      </c>
      <c r="L19" s="14" t="str">
        <f>VLOOKUP($B19,'2. Red CPM-Ruta Critica'!$A:$M,13,FALSE())</f>
        <v>no</v>
      </c>
      <c r="AH19" s="7" t="b">
        <f>ISNUMBER(MATCH($B19,'2. Red CPM-Ruta Critica'!$A:$A,0))</f>
        <v>1</v>
      </c>
    </row>
    <row r="20" spans="1:34" x14ac:dyDescent="0.25">
      <c r="A20" s="7">
        <f t="shared" si="2"/>
        <v>15</v>
      </c>
      <c r="B20" s="14" t="str">
        <f>'1. Calculo PERT'!A19</f>
        <v>1.1.1.2.4</v>
      </c>
      <c r="C20" s="14" t="str">
        <f>'1. Calculo PERT'!C19</f>
        <v>Atender reclamaciones por afectaciones a vecinos</v>
      </c>
      <c r="D20" s="14">
        <f>'1. Calculo PERT'!B19</f>
        <v>5</v>
      </c>
      <c r="E20" s="14" t="str">
        <f>'1. Calculo PERT'!D19</f>
        <v>1-Requisitos/Gestion</v>
      </c>
      <c r="F20" s="5" t="s">
        <v>107</v>
      </c>
      <c r="G20" s="14">
        <f>VLOOKUP($B20,'2. Red CPM-Ruta Critica'!$A:$F,6,FALSE())</f>
        <v>12</v>
      </c>
      <c r="H20" s="14">
        <f>VLOOKUP($B20,'2. Red CPM-Ruta Critica'!$A:$H,8,FALSE())</f>
        <v>45</v>
      </c>
      <c r="I20" s="14">
        <f>VLOOKUP($B20,'2. Red CPM-Ruta Critica'!$A:$I,9,FALSE())</f>
        <v>57</v>
      </c>
      <c r="J20" s="27">
        <f>'0. Parametros'!$B$3+H20</f>
        <v>45715</v>
      </c>
      <c r="K20" s="27">
        <f>'0. Parametros'!$B$3+I20-1</f>
        <v>45726</v>
      </c>
      <c r="L20" s="14" t="str">
        <f>VLOOKUP($B20,'2. Red CPM-Ruta Critica'!$A:$M,13,FALSE())</f>
        <v>no</v>
      </c>
      <c r="AH20" s="7" t="b">
        <f>ISNUMBER(MATCH($B20,'2. Red CPM-Ruta Critica'!$A:$A,0))</f>
        <v>1</v>
      </c>
    </row>
    <row r="21" spans="1:34" x14ac:dyDescent="0.25">
      <c r="A21" s="13">
        <f t="shared" si="2"/>
        <v>16</v>
      </c>
      <c r="B21" s="28" t="str">
        <f>'1. Calculo PERT'!A20</f>
        <v>1.1.1.3</v>
      </c>
      <c r="C21" s="29" t="str">
        <f>'1. Calculo PERT'!C20</f>
        <v>Contratos y acuerdos legales suscritos</v>
      </c>
      <c r="D21" s="28">
        <f>'1. Calculo PERT'!B20</f>
        <v>4</v>
      </c>
      <c r="E21" s="28" t="str">
        <f>'1. Calculo PERT'!D20</f>
        <v>1-Requisitos/Gestion</v>
      </c>
      <c r="F21" s="30"/>
      <c r="G21" s="13">
        <f>I21-H21</f>
        <v>48</v>
      </c>
      <c r="H21" s="13">
        <f t="array" ref="H21">MIN(IF(LEFT('2. Red CPM-Ruta Critica'!$A$5:$A$167,LEN($B21)+1)=$B21&amp;".",'2. Red CPM-Ruta Critica'!$H$5:$H$167))</f>
        <v>3</v>
      </c>
      <c r="I21" s="13">
        <f t="array" ref="I21">MAX(IF(LEFT('2. Red CPM-Ruta Critica'!$A$5:$A$167,LEN($B21)+1)=$B21&amp;".",'2. Red CPM-Ruta Critica'!$I$5:$I$167))</f>
        <v>51</v>
      </c>
      <c r="J21" s="31">
        <f>'0. Parametros'!$B$3+H21</f>
        <v>45673</v>
      </c>
      <c r="K21" s="31">
        <f>'0. Parametros'!$B$3+I21-1</f>
        <v>45720</v>
      </c>
      <c r="L21" s="13"/>
      <c r="AH21" s="7" t="b">
        <f>ISNUMBER(MATCH($B21,'2. Red CPM-Ruta Critica'!$A:$A,0))</f>
        <v>0</v>
      </c>
    </row>
    <row r="22" spans="1:34" x14ac:dyDescent="0.25">
      <c r="A22" s="7">
        <f t="shared" si="2"/>
        <v>17</v>
      </c>
      <c r="B22" s="14" t="str">
        <f>'1. Calculo PERT'!A21</f>
        <v>1.1.1.3.1</v>
      </c>
      <c r="C22" s="14" t="str">
        <f>'1. Calculo PERT'!C21</f>
        <v>Elaborar minutas y estudios previos</v>
      </c>
      <c r="D22" s="14">
        <f>'1. Calculo PERT'!B21</f>
        <v>5</v>
      </c>
      <c r="E22" s="14" t="str">
        <f>'1. Calculo PERT'!D21</f>
        <v>1-Requisitos/Gestion</v>
      </c>
      <c r="F22" s="5" t="s">
        <v>67</v>
      </c>
      <c r="G22" s="14">
        <f>VLOOKUP($B22,'2. Red CPM-Ruta Critica'!$A:$F,6,FALSE())</f>
        <v>12</v>
      </c>
      <c r="H22" s="14">
        <f>VLOOKUP($B22,'2. Red CPM-Ruta Critica'!$A:$H,8,FALSE())</f>
        <v>3</v>
      </c>
      <c r="I22" s="14">
        <f>VLOOKUP($B22,'2. Red CPM-Ruta Critica'!$A:$I,9,FALSE())</f>
        <v>15</v>
      </c>
      <c r="J22" s="27">
        <f>'0. Parametros'!$B$3+H22</f>
        <v>45673</v>
      </c>
      <c r="K22" s="27">
        <f>'0. Parametros'!$B$3+I22-1</f>
        <v>45684</v>
      </c>
      <c r="L22" s="14" t="str">
        <f>VLOOKUP($B22,'2. Red CPM-Ruta Critica'!$A:$M,13,FALSE())</f>
        <v>no</v>
      </c>
      <c r="AH22" s="7" t="b">
        <f>ISNUMBER(MATCH($B22,'2. Red CPM-Ruta Critica'!$A:$A,0))</f>
        <v>1</v>
      </c>
    </row>
    <row r="23" spans="1:34" x14ac:dyDescent="0.25">
      <c r="A23" s="7">
        <f t="shared" si="2"/>
        <v>18</v>
      </c>
      <c r="B23" s="14" t="str">
        <f>'1. Calculo PERT'!A22</f>
        <v>1.1.1.3.2</v>
      </c>
      <c r="C23" s="14" t="str">
        <f>'1. Calculo PERT'!C22</f>
        <v>Revisar juridicamente y aprobar los contratos</v>
      </c>
      <c r="D23" s="14">
        <f>'1. Calculo PERT'!B22</f>
        <v>5</v>
      </c>
      <c r="E23" s="14" t="str">
        <f>'1. Calculo PERT'!D22</f>
        <v>1-Requisitos/Gestion</v>
      </c>
      <c r="F23" s="5" t="s">
        <v>117</v>
      </c>
      <c r="G23" s="14">
        <f>VLOOKUP($B23,'2. Red CPM-Ruta Critica'!$A:$F,6,FALSE())</f>
        <v>12</v>
      </c>
      <c r="H23" s="14">
        <f>VLOOKUP($B23,'2. Red CPM-Ruta Critica'!$A:$H,8,FALSE())</f>
        <v>15</v>
      </c>
      <c r="I23" s="14">
        <f>VLOOKUP($B23,'2. Red CPM-Ruta Critica'!$A:$I,9,FALSE())</f>
        <v>27</v>
      </c>
      <c r="J23" s="27">
        <f>'0. Parametros'!$B$3+H23</f>
        <v>45685</v>
      </c>
      <c r="K23" s="27">
        <f>'0. Parametros'!$B$3+I23-1</f>
        <v>45696</v>
      </c>
      <c r="L23" s="14" t="str">
        <f>VLOOKUP($B23,'2. Red CPM-Ruta Critica'!$A:$M,13,FALSE())</f>
        <v>no</v>
      </c>
      <c r="AH23" s="7" t="b">
        <f>ISNUMBER(MATCH($B23,'2. Red CPM-Ruta Critica'!$A:$A,0))</f>
        <v>1</v>
      </c>
    </row>
    <row r="24" spans="1:34" x14ac:dyDescent="0.25">
      <c r="A24" s="7">
        <f t="shared" si="2"/>
        <v>19</v>
      </c>
      <c r="B24" s="14" t="str">
        <f>'1. Calculo PERT'!A23</f>
        <v>1.1.1.3.3</v>
      </c>
      <c r="C24" s="14" t="str">
        <f>'1. Calculo PERT'!C23</f>
        <v>Firmar y legalizar contratos y acuerdos con ESP</v>
      </c>
      <c r="D24" s="14">
        <f>'1. Calculo PERT'!B23</f>
        <v>5</v>
      </c>
      <c r="E24" s="14" t="str">
        <f>'1. Calculo PERT'!D23</f>
        <v>1-Requisitos/Gestion</v>
      </c>
      <c r="F24" s="5" t="s">
        <v>122</v>
      </c>
      <c r="G24" s="14">
        <f>VLOOKUP($B24,'2. Red CPM-Ruta Critica'!$A:$F,6,FALSE())</f>
        <v>12</v>
      </c>
      <c r="H24" s="14">
        <f>VLOOKUP($B24,'2. Red CPM-Ruta Critica'!$A:$H,8,FALSE())</f>
        <v>27</v>
      </c>
      <c r="I24" s="14">
        <f>VLOOKUP($B24,'2. Red CPM-Ruta Critica'!$A:$I,9,FALSE())</f>
        <v>39</v>
      </c>
      <c r="J24" s="27">
        <f>'0. Parametros'!$B$3+H24</f>
        <v>45697</v>
      </c>
      <c r="K24" s="27">
        <f>'0. Parametros'!$B$3+I24-1</f>
        <v>45708</v>
      </c>
      <c r="L24" s="14" t="str">
        <f>VLOOKUP($B24,'2. Red CPM-Ruta Critica'!$A:$M,13,FALSE())</f>
        <v>no</v>
      </c>
      <c r="AH24" s="7" t="b">
        <f>ISNUMBER(MATCH($B24,'2. Red CPM-Ruta Critica'!$A:$A,0))</f>
        <v>1</v>
      </c>
    </row>
    <row r="25" spans="1:34" x14ac:dyDescent="0.25">
      <c r="A25" s="7">
        <f t="shared" si="2"/>
        <v>20</v>
      </c>
      <c r="B25" s="14" t="str">
        <f>'1. Calculo PERT'!A24</f>
        <v>1.1.1.3.4</v>
      </c>
      <c r="C25" s="14" t="str">
        <f>'1. Calculo PERT'!C24</f>
        <v>Designar supervisores e interventoria</v>
      </c>
      <c r="D25" s="14">
        <f>'1. Calculo PERT'!B24</f>
        <v>5</v>
      </c>
      <c r="E25" s="14" t="str">
        <f>'1. Calculo PERT'!D24</f>
        <v>1-Requisitos/Gestion</v>
      </c>
      <c r="F25" s="5" t="s">
        <v>127</v>
      </c>
      <c r="G25" s="14">
        <f>VLOOKUP($B25,'2. Red CPM-Ruta Critica'!$A:$F,6,FALSE())</f>
        <v>5</v>
      </c>
      <c r="H25" s="14">
        <f>VLOOKUP($B25,'2. Red CPM-Ruta Critica'!$A:$H,8,FALSE())</f>
        <v>39</v>
      </c>
      <c r="I25" s="14">
        <f>VLOOKUP($B25,'2. Red CPM-Ruta Critica'!$A:$I,9,FALSE())</f>
        <v>44</v>
      </c>
      <c r="J25" s="27">
        <f>'0. Parametros'!$B$3+H25</f>
        <v>45709</v>
      </c>
      <c r="K25" s="27">
        <f>'0. Parametros'!$B$3+I25-1</f>
        <v>45713</v>
      </c>
      <c r="L25" s="14" t="str">
        <f>VLOOKUP($B25,'2. Red CPM-Ruta Critica'!$A:$M,13,FALSE())</f>
        <v>no</v>
      </c>
      <c r="AH25" s="7" t="b">
        <f>ISNUMBER(MATCH($B25,'2. Red CPM-Ruta Critica'!$A:$A,0))</f>
        <v>1</v>
      </c>
    </row>
    <row r="26" spans="1:34" x14ac:dyDescent="0.25">
      <c r="A26" s="7">
        <f t="shared" si="2"/>
        <v>21</v>
      </c>
      <c r="B26" s="14" t="str">
        <f>'1. Calculo PERT'!A25</f>
        <v>1.1.1.3.5</v>
      </c>
      <c r="C26" s="14" t="str">
        <f>'1. Calculo PERT'!C25</f>
        <v>Legalizar subcontratos criticos (asfalto y concreto)</v>
      </c>
      <c r="D26" s="14">
        <f>'1. Calculo PERT'!B25</f>
        <v>5</v>
      </c>
      <c r="E26" s="14" t="str">
        <f>'1. Calculo PERT'!D25</f>
        <v>1-Requisitos/Gestion</v>
      </c>
      <c r="F26" s="5" t="s">
        <v>127</v>
      </c>
      <c r="G26" s="14">
        <f>VLOOKUP($B26,'2. Red CPM-Ruta Critica'!$A:$F,6,FALSE())</f>
        <v>12</v>
      </c>
      <c r="H26" s="14">
        <f>VLOOKUP($B26,'2. Red CPM-Ruta Critica'!$A:$H,8,FALSE())</f>
        <v>39</v>
      </c>
      <c r="I26" s="14">
        <f>VLOOKUP($B26,'2. Red CPM-Ruta Critica'!$A:$I,9,FALSE())</f>
        <v>51</v>
      </c>
      <c r="J26" s="27">
        <f>'0. Parametros'!$B$3+H26</f>
        <v>45709</v>
      </c>
      <c r="K26" s="27">
        <f>'0. Parametros'!$B$3+I26-1</f>
        <v>45720</v>
      </c>
      <c r="L26" s="14" t="str">
        <f>VLOOKUP($B26,'2. Red CPM-Ruta Critica'!$A:$M,13,FALSE())</f>
        <v>no</v>
      </c>
      <c r="AH26" s="7" t="b">
        <f>ISNUMBER(MATCH($B26,'2. Red CPM-Ruta Critica'!$A:$A,0))</f>
        <v>1</v>
      </c>
    </row>
    <row r="27" spans="1:34" x14ac:dyDescent="0.25">
      <c r="A27" s="13">
        <f t="shared" si="2"/>
        <v>22</v>
      </c>
      <c r="B27" s="28" t="str">
        <f>'1. Calculo PERT'!A26</f>
        <v>1.1.2</v>
      </c>
      <c r="C27" s="29" t="str">
        <f>'1. Calculo PERT'!C26</f>
        <v>Cuenta de control: Tramites, Licencias y Gestion de Riesgos</v>
      </c>
      <c r="D27" s="28">
        <f>'1. Calculo PERT'!B26</f>
        <v>3</v>
      </c>
      <c r="E27" s="28" t="str">
        <f>'1. Calculo PERT'!D26</f>
        <v>1-Requisitos/Gestion</v>
      </c>
      <c r="F27" s="30"/>
      <c r="G27" s="13">
        <f>I27-H27</f>
        <v>73</v>
      </c>
      <c r="H27" s="13">
        <f t="array" ref="H27">MIN(IF(LEFT('2. Red CPM-Ruta Critica'!$A$5:$A$167,LEN($B27)+1)=$B27&amp;".",'2. Red CPM-Ruta Critica'!$H$5:$H$167))</f>
        <v>3</v>
      </c>
      <c r="I27" s="13">
        <f t="array" ref="I27">MAX(IF(LEFT('2. Red CPM-Ruta Critica'!$A$5:$A$167,LEN($B27)+1)=$B27&amp;".",'2. Red CPM-Ruta Critica'!$I$5:$I$167))</f>
        <v>76</v>
      </c>
      <c r="J27" s="31">
        <f>'0. Parametros'!$B$3+H27</f>
        <v>45673</v>
      </c>
      <c r="K27" s="31">
        <f>'0. Parametros'!$B$3+I27-1</f>
        <v>45745</v>
      </c>
      <c r="L27" s="13"/>
      <c r="AH27" s="7" t="b">
        <f>ISNUMBER(MATCH($B27,'2. Red CPM-Ruta Critica'!$A:$A,0))</f>
        <v>0</v>
      </c>
    </row>
    <row r="28" spans="1:34" x14ac:dyDescent="0.25">
      <c r="A28" s="13">
        <f t="shared" si="2"/>
        <v>23</v>
      </c>
      <c r="B28" s="28" t="str">
        <f>'1. Calculo PERT'!A27</f>
        <v>1.1.2.1</v>
      </c>
      <c r="C28" s="29" t="str">
        <f>'1. Calculo PERT'!C27</f>
        <v>Licencias ambientales y de construccion vigentes</v>
      </c>
      <c r="D28" s="28">
        <f>'1. Calculo PERT'!B27</f>
        <v>4</v>
      </c>
      <c r="E28" s="28" t="str">
        <f>'1. Calculo PERT'!D27</f>
        <v>1-Requisitos/Gestion</v>
      </c>
      <c r="F28" s="30"/>
      <c r="G28" s="13">
        <f>I28-H28</f>
        <v>62</v>
      </c>
      <c r="H28" s="13">
        <f t="array" ref="H28">MIN(IF(LEFT('2. Red CPM-Ruta Critica'!$A$5:$A$167,LEN($B28)+1)=$B28&amp;".",'2. Red CPM-Ruta Critica'!$H$5:$H$167))</f>
        <v>3</v>
      </c>
      <c r="I28" s="13">
        <f t="array" ref="I28">MAX(IF(LEFT('2. Red CPM-Ruta Critica'!$A$5:$A$167,LEN($B28)+1)=$B28&amp;".",'2. Red CPM-Ruta Critica'!$I$5:$I$167))</f>
        <v>65</v>
      </c>
      <c r="J28" s="31">
        <f>'0. Parametros'!$B$3+H28</f>
        <v>45673</v>
      </c>
      <c r="K28" s="31">
        <f>'0. Parametros'!$B$3+I28-1</f>
        <v>45734</v>
      </c>
      <c r="L28" s="13"/>
      <c r="AH28" s="7" t="b">
        <f>ISNUMBER(MATCH($B28,'2. Red CPM-Ruta Critica'!$A:$A,0))</f>
        <v>0</v>
      </c>
    </row>
    <row r="29" spans="1:34" x14ac:dyDescent="0.25">
      <c r="A29" s="7">
        <f t="shared" si="2"/>
        <v>24</v>
      </c>
      <c r="B29" s="14" t="str">
        <f>'1. Calculo PERT'!A28</f>
        <v>1.1.2.1.1</v>
      </c>
      <c r="C29" s="14" t="str">
        <f>'1. Calculo PERT'!C28</f>
        <v>Radicar solicitudes de licencias (SDA / Curaduria)</v>
      </c>
      <c r="D29" s="14">
        <f>'1. Calculo PERT'!B28</f>
        <v>5</v>
      </c>
      <c r="E29" s="14" t="str">
        <f>'1. Calculo PERT'!D28</f>
        <v>1-Requisitos/Gestion</v>
      </c>
      <c r="F29" s="5" t="s">
        <v>67</v>
      </c>
      <c r="G29" s="14">
        <f>VLOOKUP($B29,'2. Red CPM-Ruta Critica'!$A:$F,6,FALSE())</f>
        <v>19</v>
      </c>
      <c r="H29" s="14">
        <f>VLOOKUP($B29,'2. Red CPM-Ruta Critica'!$A:$H,8,FALSE())</f>
        <v>3</v>
      </c>
      <c r="I29" s="14">
        <f>VLOOKUP($B29,'2. Red CPM-Ruta Critica'!$A:$I,9,FALSE())</f>
        <v>22</v>
      </c>
      <c r="J29" s="27">
        <f>'0. Parametros'!$B$3+H29</f>
        <v>45673</v>
      </c>
      <c r="K29" s="27">
        <f>'0. Parametros'!$B$3+I29-1</f>
        <v>45691</v>
      </c>
      <c r="L29" s="14" t="str">
        <f>VLOOKUP($B29,'2. Red CPM-Ruta Critica'!$A:$M,13,FALSE())</f>
        <v>no</v>
      </c>
      <c r="AH29" s="7" t="b">
        <f>ISNUMBER(MATCH($B29,'2. Red CPM-Ruta Critica'!$A:$A,0))</f>
        <v>1</v>
      </c>
    </row>
    <row r="30" spans="1:34" x14ac:dyDescent="0.25">
      <c r="A30" s="7">
        <f t="shared" si="2"/>
        <v>25</v>
      </c>
      <c r="B30" s="14" t="str">
        <f>'1. Calculo PERT'!A29</f>
        <v>1.1.2.1.2</v>
      </c>
      <c r="C30" s="14" t="str">
        <f>'1. Calculo PERT'!C29</f>
        <v>Subsanar requerimientos de la autoridad</v>
      </c>
      <c r="D30" s="14">
        <f>'1. Calculo PERT'!B29</f>
        <v>5</v>
      </c>
      <c r="E30" s="14" t="str">
        <f>'1. Calculo PERT'!D29</f>
        <v>1-Requisitos/Gestion</v>
      </c>
      <c r="F30" s="5" t="s">
        <v>142</v>
      </c>
      <c r="G30" s="14">
        <f>VLOOKUP($B30,'2. Red CPM-Ruta Critica'!$A:$F,6,FALSE())</f>
        <v>24</v>
      </c>
      <c r="H30" s="14">
        <f>VLOOKUP($B30,'2. Red CPM-Ruta Critica'!$A:$H,8,FALSE())</f>
        <v>22</v>
      </c>
      <c r="I30" s="14">
        <f>VLOOKUP($B30,'2. Red CPM-Ruta Critica'!$A:$I,9,FALSE())</f>
        <v>46</v>
      </c>
      <c r="J30" s="27">
        <f>'0. Parametros'!$B$3+H30</f>
        <v>45692</v>
      </c>
      <c r="K30" s="27">
        <f>'0. Parametros'!$B$3+I30-1</f>
        <v>45715</v>
      </c>
      <c r="L30" s="14" t="str">
        <f>VLOOKUP($B30,'2. Red CPM-Ruta Critica'!$A:$M,13,FALSE())</f>
        <v>no</v>
      </c>
      <c r="AH30" s="7" t="b">
        <f>ISNUMBER(MATCH($B30,'2. Red CPM-Ruta Critica'!$A:$A,0))</f>
        <v>1</v>
      </c>
    </row>
    <row r="31" spans="1:34" x14ac:dyDescent="0.25">
      <c r="A31" s="7">
        <f t="shared" si="2"/>
        <v>26</v>
      </c>
      <c r="B31" s="14" t="str">
        <f>'1. Calculo PERT'!A30</f>
        <v>1.1.2.1.3</v>
      </c>
      <c r="C31" s="14" t="str">
        <f>'1. Calculo PERT'!C30</f>
        <v>Expedir y verificar la vigencia de las licencias</v>
      </c>
      <c r="D31" s="14">
        <f>'1. Calculo PERT'!B30</f>
        <v>5</v>
      </c>
      <c r="E31" s="14" t="str">
        <f>'1. Calculo PERT'!D30</f>
        <v>1-Requisitos/Gestion</v>
      </c>
      <c r="F31" s="5" t="s">
        <v>147</v>
      </c>
      <c r="G31" s="14">
        <f>VLOOKUP($B31,'2. Red CPM-Ruta Critica'!$A:$F,6,FALSE())</f>
        <v>17</v>
      </c>
      <c r="H31" s="14">
        <f>VLOOKUP($B31,'2. Red CPM-Ruta Critica'!$A:$H,8,FALSE())</f>
        <v>46</v>
      </c>
      <c r="I31" s="14">
        <f>VLOOKUP($B31,'2. Red CPM-Ruta Critica'!$A:$I,9,FALSE())</f>
        <v>63</v>
      </c>
      <c r="J31" s="27">
        <f>'0. Parametros'!$B$3+H31</f>
        <v>45716</v>
      </c>
      <c r="K31" s="27">
        <f>'0. Parametros'!$B$3+I31-1</f>
        <v>45732</v>
      </c>
      <c r="L31" s="14" t="str">
        <f>VLOOKUP($B31,'2. Red CPM-Ruta Critica'!$A:$M,13,FALSE())</f>
        <v>no</v>
      </c>
      <c r="AH31" s="7" t="b">
        <f>ISNUMBER(MATCH($B31,'2. Red CPM-Ruta Critica'!$A:$A,0))</f>
        <v>1</v>
      </c>
    </row>
    <row r="32" spans="1:34" x14ac:dyDescent="0.25">
      <c r="A32" s="7">
        <f t="shared" si="2"/>
        <v>27</v>
      </c>
      <c r="B32" s="14" t="str">
        <f>'1. Calculo PERT'!A31</f>
        <v>1.1.2.1.4</v>
      </c>
      <c r="C32" s="14" t="str">
        <f>'1. Calculo PERT'!C31</f>
        <v>Tramitar permiso de ocupacion de cauce y aprovechamiento forestal</v>
      </c>
      <c r="D32" s="14">
        <f>'1. Calculo PERT'!B31</f>
        <v>5</v>
      </c>
      <c r="E32" s="14" t="str">
        <f>'1. Calculo PERT'!D31</f>
        <v>1-Requisitos/Gestion</v>
      </c>
      <c r="F32" s="5" t="s">
        <v>147</v>
      </c>
      <c r="G32" s="14">
        <f>VLOOKUP($B32,'2. Red CPM-Ruta Critica'!$A:$F,6,FALSE())</f>
        <v>19</v>
      </c>
      <c r="H32" s="14">
        <f>VLOOKUP($B32,'2. Red CPM-Ruta Critica'!$A:$H,8,FALSE())</f>
        <v>46</v>
      </c>
      <c r="I32" s="14">
        <f>VLOOKUP($B32,'2. Red CPM-Ruta Critica'!$A:$I,9,FALSE())</f>
        <v>65</v>
      </c>
      <c r="J32" s="27">
        <f>'0. Parametros'!$B$3+H32</f>
        <v>45716</v>
      </c>
      <c r="K32" s="27">
        <f>'0. Parametros'!$B$3+I32-1</f>
        <v>45734</v>
      </c>
      <c r="L32" s="14" t="str">
        <f>VLOOKUP($B32,'2. Red CPM-Ruta Critica'!$A:$M,13,FALSE())</f>
        <v>no</v>
      </c>
      <c r="AH32" s="7" t="b">
        <f>ISNUMBER(MATCH($B32,'2. Red CPM-Ruta Critica'!$A:$A,0))</f>
        <v>1</v>
      </c>
    </row>
    <row r="33" spans="1:34" x14ac:dyDescent="0.25">
      <c r="A33" s="13">
        <f t="shared" si="2"/>
        <v>28</v>
      </c>
      <c r="B33" s="28" t="str">
        <f>'1. Calculo PERT'!A32</f>
        <v>1.1.2.2</v>
      </c>
      <c r="C33" s="29" t="str">
        <f>'1. Calculo PERT'!C32</f>
        <v>Permisos de Manejo de Trafico (PMT) aprobados</v>
      </c>
      <c r="D33" s="28">
        <f>'1. Calculo PERT'!B32</f>
        <v>4</v>
      </c>
      <c r="E33" s="28" t="str">
        <f>'1. Calculo PERT'!D32</f>
        <v>1-Requisitos/Gestion</v>
      </c>
      <c r="F33" s="30"/>
      <c r="G33" s="13">
        <f>I33-H33</f>
        <v>73</v>
      </c>
      <c r="H33" s="13">
        <f t="array" ref="H33">MIN(IF(LEFT('2. Red CPM-Ruta Critica'!$A$5:$A$167,LEN($B33)+1)=$B33&amp;".",'2. Red CPM-Ruta Critica'!$H$5:$H$167))</f>
        <v>3</v>
      </c>
      <c r="I33" s="13">
        <f t="array" ref="I33">MAX(IF(LEFT('2. Red CPM-Ruta Critica'!$A$5:$A$167,LEN($B33)+1)=$B33&amp;".",'2. Red CPM-Ruta Critica'!$I$5:$I$167))</f>
        <v>76</v>
      </c>
      <c r="J33" s="31">
        <f>'0. Parametros'!$B$3+H33</f>
        <v>45673</v>
      </c>
      <c r="K33" s="31">
        <f>'0. Parametros'!$B$3+I33-1</f>
        <v>45745</v>
      </c>
      <c r="L33" s="13"/>
      <c r="AH33" s="7" t="b">
        <f>ISNUMBER(MATCH($B33,'2. Red CPM-Ruta Critica'!$A:$A,0))</f>
        <v>0</v>
      </c>
    </row>
    <row r="34" spans="1:34" x14ac:dyDescent="0.25">
      <c r="A34" s="7">
        <f t="shared" si="2"/>
        <v>29</v>
      </c>
      <c r="B34" s="14" t="str">
        <f>'1. Calculo PERT'!A33</f>
        <v>1.1.2.2.1</v>
      </c>
      <c r="C34" s="14" t="str">
        <f>'1. Calculo PERT'!C33</f>
        <v>Elaborar el Plan de Manejo de Trafico (desvios y senalizacion)</v>
      </c>
      <c r="D34" s="14">
        <f>'1. Calculo PERT'!B33</f>
        <v>5</v>
      </c>
      <c r="E34" s="14" t="str">
        <f>'1. Calculo PERT'!D33</f>
        <v>1-Requisitos/Gestion</v>
      </c>
      <c r="F34" s="5" t="s">
        <v>67</v>
      </c>
      <c r="G34" s="14">
        <f>VLOOKUP($B34,'2. Red CPM-Ruta Critica'!$A:$F,6,FALSE())</f>
        <v>33</v>
      </c>
      <c r="H34" s="14">
        <f>VLOOKUP($B34,'2. Red CPM-Ruta Critica'!$A:$H,8,FALSE())</f>
        <v>3</v>
      </c>
      <c r="I34" s="14">
        <f>VLOOKUP($B34,'2. Red CPM-Ruta Critica'!$A:$I,9,FALSE())</f>
        <v>36</v>
      </c>
      <c r="J34" s="27">
        <f>'0. Parametros'!$B$3+H34</f>
        <v>45673</v>
      </c>
      <c r="K34" s="27">
        <f>'0. Parametros'!$B$3+I34-1</f>
        <v>45705</v>
      </c>
      <c r="L34" s="14" t="str">
        <f>VLOOKUP($B34,'2. Red CPM-Ruta Critica'!$A:$M,13,FALSE())</f>
        <v>no</v>
      </c>
      <c r="AH34" s="7" t="b">
        <f>ISNUMBER(MATCH($B34,'2. Red CPM-Ruta Critica'!$A:$A,0))</f>
        <v>1</v>
      </c>
    </row>
    <row r="35" spans="1:34" x14ac:dyDescent="0.25">
      <c r="A35" s="7">
        <f t="shared" si="2"/>
        <v>30</v>
      </c>
      <c r="B35" s="14" t="str">
        <f>'1. Calculo PERT'!A34</f>
        <v>1.1.2.2.2</v>
      </c>
      <c r="C35" s="14" t="str">
        <f>'1. Calculo PERT'!C34</f>
        <v>Radicar y ajustar el PMT ante la SDM</v>
      </c>
      <c r="D35" s="14">
        <f>'1. Calculo PERT'!B34</f>
        <v>5</v>
      </c>
      <c r="E35" s="14" t="str">
        <f>'1. Calculo PERT'!D34</f>
        <v>1-Requisitos/Gestion</v>
      </c>
      <c r="F35" s="5" t="s">
        <v>161</v>
      </c>
      <c r="G35" s="14">
        <f>VLOOKUP($B35,'2. Red CPM-Ruta Critica'!$A:$F,6,FALSE())</f>
        <v>26</v>
      </c>
      <c r="H35" s="14">
        <f>VLOOKUP($B35,'2. Red CPM-Ruta Critica'!$A:$H,8,FALSE())</f>
        <v>36</v>
      </c>
      <c r="I35" s="14">
        <f>VLOOKUP($B35,'2. Red CPM-Ruta Critica'!$A:$I,9,FALSE())</f>
        <v>62</v>
      </c>
      <c r="J35" s="27">
        <f>'0. Parametros'!$B$3+H35</f>
        <v>45706</v>
      </c>
      <c r="K35" s="27">
        <f>'0. Parametros'!$B$3+I35-1</f>
        <v>45731</v>
      </c>
      <c r="L35" s="14" t="str">
        <f>VLOOKUP($B35,'2. Red CPM-Ruta Critica'!$A:$M,13,FALSE())</f>
        <v>no</v>
      </c>
      <c r="AH35" s="7" t="b">
        <f>ISNUMBER(MATCH($B35,'2. Red CPM-Ruta Critica'!$A:$A,0))</f>
        <v>1</v>
      </c>
    </row>
    <row r="36" spans="1:34" x14ac:dyDescent="0.25">
      <c r="A36" s="7">
        <f t="shared" si="2"/>
        <v>31</v>
      </c>
      <c r="B36" s="14" t="str">
        <f>'1. Calculo PERT'!A35</f>
        <v>1.1.2.2.3</v>
      </c>
      <c r="C36" s="14" t="str">
        <f>'1. Calculo PERT'!C35</f>
        <v>Aprobar e implementar el PMT en sitio</v>
      </c>
      <c r="D36" s="14">
        <f>'1. Calculo PERT'!B35</f>
        <v>5</v>
      </c>
      <c r="E36" s="14" t="str">
        <f>'1. Calculo PERT'!D35</f>
        <v>1-Requisitos/Gestion</v>
      </c>
      <c r="F36" s="5" t="s">
        <v>166</v>
      </c>
      <c r="G36" s="14">
        <f>VLOOKUP($B36,'2. Red CPM-Ruta Critica'!$A:$F,6,FALSE())</f>
        <v>12</v>
      </c>
      <c r="H36" s="14">
        <f>VLOOKUP($B36,'2. Red CPM-Ruta Critica'!$A:$H,8,FALSE())</f>
        <v>62</v>
      </c>
      <c r="I36" s="14">
        <f>VLOOKUP($B36,'2. Red CPM-Ruta Critica'!$A:$I,9,FALSE())</f>
        <v>74</v>
      </c>
      <c r="J36" s="27">
        <f>'0. Parametros'!$B$3+H36</f>
        <v>45732</v>
      </c>
      <c r="K36" s="27">
        <f>'0. Parametros'!$B$3+I36-1</f>
        <v>45743</v>
      </c>
      <c r="L36" s="14" t="str">
        <f>VLOOKUP($B36,'2. Red CPM-Ruta Critica'!$A:$M,13,FALSE())</f>
        <v>no</v>
      </c>
      <c r="AH36" s="7" t="b">
        <f>ISNUMBER(MATCH($B36,'2. Red CPM-Ruta Critica'!$A:$A,0))</f>
        <v>1</v>
      </c>
    </row>
    <row r="37" spans="1:34" x14ac:dyDescent="0.25">
      <c r="A37" s="7">
        <f t="shared" si="2"/>
        <v>32</v>
      </c>
      <c r="B37" s="14" t="str">
        <f>'1. Calculo PERT'!A36</f>
        <v>1.1.2.2.4</v>
      </c>
      <c r="C37" s="14" t="str">
        <f>'1. Calculo PERT'!C36</f>
        <v>Comunicar desvios y plan de cierres a la comunidad</v>
      </c>
      <c r="D37" s="14">
        <f>'1. Calculo PERT'!B36</f>
        <v>5</v>
      </c>
      <c r="E37" s="14" t="str">
        <f>'1. Calculo PERT'!D36</f>
        <v>1-Requisitos/Gestion</v>
      </c>
      <c r="F37" s="5" t="s">
        <v>171</v>
      </c>
      <c r="G37" s="14">
        <f>VLOOKUP($B37,'2. Red CPM-Ruta Critica'!$A:$F,6,FALSE())</f>
        <v>12</v>
      </c>
      <c r="H37" s="14">
        <f>VLOOKUP($B37,'2. Red CPM-Ruta Critica'!$A:$H,8,FALSE())</f>
        <v>64</v>
      </c>
      <c r="I37" s="14">
        <f>VLOOKUP($B37,'2. Red CPM-Ruta Critica'!$A:$I,9,FALSE())</f>
        <v>76</v>
      </c>
      <c r="J37" s="27">
        <f>'0. Parametros'!$B$3+H37</f>
        <v>45734</v>
      </c>
      <c r="K37" s="27">
        <f>'0. Parametros'!$B$3+I37-1</f>
        <v>45745</v>
      </c>
      <c r="L37" s="14" t="str">
        <f>VLOOKUP($B37,'2. Red CPM-Ruta Critica'!$A:$M,13,FALSE())</f>
        <v>no</v>
      </c>
      <c r="AH37" s="7" t="b">
        <f>ISNUMBER(MATCH($B37,'2. Red CPM-Ruta Critica'!$A:$A,0))</f>
        <v>1</v>
      </c>
    </row>
    <row r="38" spans="1:34" x14ac:dyDescent="0.25">
      <c r="A38" s="13">
        <f t="shared" si="2"/>
        <v>33</v>
      </c>
      <c r="B38" s="28" t="str">
        <f>'1. Calculo PERT'!A37</f>
        <v>1.1.2.3</v>
      </c>
      <c r="C38" s="29" t="str">
        <f>'1. Calculo PERT'!C37</f>
        <v>Plan de Manejo Arqueologico aprobado y ejecutado</v>
      </c>
      <c r="D38" s="28">
        <f>'1. Calculo PERT'!B37</f>
        <v>4</v>
      </c>
      <c r="E38" s="28" t="str">
        <f>'1. Calculo PERT'!D37</f>
        <v>1-Requisitos/Gestion</v>
      </c>
      <c r="F38" s="30"/>
      <c r="G38" s="13">
        <f>I38-H38</f>
        <v>62</v>
      </c>
      <c r="H38" s="13">
        <f t="array" ref="H38">MIN(IF(LEFT('2. Red CPM-Ruta Critica'!$A$5:$A$167,LEN($B38)+1)=$B38&amp;".",'2. Red CPM-Ruta Critica'!$H$5:$H$167))</f>
        <v>3</v>
      </c>
      <c r="I38" s="13">
        <f t="array" ref="I38">MAX(IF(LEFT('2. Red CPM-Ruta Critica'!$A$5:$A$167,LEN($B38)+1)=$B38&amp;".",'2. Red CPM-Ruta Critica'!$I$5:$I$167))</f>
        <v>65</v>
      </c>
      <c r="J38" s="31">
        <f>'0. Parametros'!$B$3+H38</f>
        <v>45673</v>
      </c>
      <c r="K38" s="31">
        <f>'0. Parametros'!$B$3+I38-1</f>
        <v>45734</v>
      </c>
      <c r="L38" s="13"/>
      <c r="AH38" s="7" t="b">
        <f>ISNUMBER(MATCH($B38,'2. Red CPM-Ruta Critica'!$A:$A,0))</f>
        <v>0</v>
      </c>
    </row>
    <row r="39" spans="1:34" x14ac:dyDescent="0.25">
      <c r="A39" s="7">
        <f t="shared" si="2"/>
        <v>34</v>
      </c>
      <c r="B39" s="14" t="str">
        <f>'1. Calculo PERT'!A38</f>
        <v>1.1.2.3.1</v>
      </c>
      <c r="C39" s="14" t="str">
        <f>'1. Calculo PERT'!C38</f>
        <v>Formular el Plan de Manejo Arqueologico ante el ICANH</v>
      </c>
      <c r="D39" s="14">
        <f>'1. Calculo PERT'!B38</f>
        <v>5</v>
      </c>
      <c r="E39" s="14" t="str">
        <f>'1. Calculo PERT'!D38</f>
        <v>1-Requisitos/Gestion</v>
      </c>
      <c r="F39" s="5" t="s">
        <v>67</v>
      </c>
      <c r="G39" s="14">
        <f>VLOOKUP($B39,'2. Red CPM-Ruta Critica'!$A:$F,6,FALSE())</f>
        <v>15</v>
      </c>
      <c r="H39" s="14">
        <f>VLOOKUP($B39,'2. Red CPM-Ruta Critica'!$A:$H,8,FALSE())</f>
        <v>3</v>
      </c>
      <c r="I39" s="14">
        <f>VLOOKUP($B39,'2. Red CPM-Ruta Critica'!$A:$I,9,FALSE())</f>
        <v>18</v>
      </c>
      <c r="J39" s="27">
        <f>'0. Parametros'!$B$3+H39</f>
        <v>45673</v>
      </c>
      <c r="K39" s="27">
        <f>'0. Parametros'!$B$3+I39-1</f>
        <v>45687</v>
      </c>
      <c r="L39" s="14" t="str">
        <f>VLOOKUP($B39,'2. Red CPM-Ruta Critica'!$A:$M,13,FALSE())</f>
        <v>no</v>
      </c>
      <c r="AH39" s="7" t="b">
        <f>ISNUMBER(MATCH($B39,'2. Red CPM-Ruta Critica'!$A:$A,0))</f>
        <v>1</v>
      </c>
    </row>
    <row r="40" spans="1:34" x14ac:dyDescent="0.25">
      <c r="A40" s="7">
        <f t="shared" si="2"/>
        <v>35</v>
      </c>
      <c r="B40" s="14" t="str">
        <f>'1. Calculo PERT'!A39</f>
        <v>1.1.2.3.2</v>
      </c>
      <c r="C40" s="14" t="str">
        <f>'1. Calculo PERT'!C39</f>
        <v>Aprobar el plan ante el ICANH</v>
      </c>
      <c r="D40" s="14">
        <f>'1. Calculo PERT'!B39</f>
        <v>5</v>
      </c>
      <c r="E40" s="14" t="str">
        <f>'1. Calculo PERT'!D39</f>
        <v>1-Requisitos/Gestion</v>
      </c>
      <c r="F40" s="5" t="s">
        <v>183</v>
      </c>
      <c r="G40" s="14">
        <f>VLOOKUP($B40,'2. Red CPM-Ruta Critica'!$A:$F,6,FALSE())</f>
        <v>12</v>
      </c>
      <c r="H40" s="14">
        <f>VLOOKUP($B40,'2. Red CPM-Ruta Critica'!$A:$H,8,FALSE())</f>
        <v>18</v>
      </c>
      <c r="I40" s="14">
        <f>VLOOKUP($B40,'2. Red CPM-Ruta Critica'!$A:$I,9,FALSE())</f>
        <v>30</v>
      </c>
      <c r="J40" s="27">
        <f>'0. Parametros'!$B$3+H40</f>
        <v>45688</v>
      </c>
      <c r="K40" s="27">
        <f>'0. Parametros'!$B$3+I40-1</f>
        <v>45699</v>
      </c>
      <c r="L40" s="14" t="str">
        <f>VLOOKUP($B40,'2. Red CPM-Ruta Critica'!$A:$M,13,FALSE())</f>
        <v>no</v>
      </c>
      <c r="AH40" s="7" t="b">
        <f>ISNUMBER(MATCH($B40,'2. Red CPM-Ruta Critica'!$A:$A,0))</f>
        <v>1</v>
      </c>
    </row>
    <row r="41" spans="1:34" x14ac:dyDescent="0.25">
      <c r="A41" s="7">
        <f t="shared" si="2"/>
        <v>36</v>
      </c>
      <c r="B41" s="14" t="str">
        <f>'1. Calculo PERT'!A40</f>
        <v>1.1.2.3.3</v>
      </c>
      <c r="C41" s="14" t="str">
        <f>'1. Calculo PERT'!C40</f>
        <v>Monitorear arqueologicamente durante las excavaciones</v>
      </c>
      <c r="D41" s="14">
        <f>'1. Calculo PERT'!B40</f>
        <v>5</v>
      </c>
      <c r="E41" s="14" t="str">
        <f>'1. Calculo PERT'!D40</f>
        <v>1-Requisitos/Gestion</v>
      </c>
      <c r="F41" s="5" t="s">
        <v>188</v>
      </c>
      <c r="G41" s="14">
        <f>VLOOKUP($B41,'2. Red CPM-Ruta Critica'!$A:$F,6,FALSE())</f>
        <v>23</v>
      </c>
      <c r="H41" s="14">
        <f>VLOOKUP($B41,'2. Red CPM-Ruta Critica'!$A:$H,8,FALSE())</f>
        <v>30</v>
      </c>
      <c r="I41" s="14">
        <f>VLOOKUP($B41,'2. Red CPM-Ruta Critica'!$A:$I,9,FALSE())</f>
        <v>53</v>
      </c>
      <c r="J41" s="27">
        <f>'0. Parametros'!$B$3+H41</f>
        <v>45700</v>
      </c>
      <c r="K41" s="27">
        <f>'0. Parametros'!$B$3+I41-1</f>
        <v>45722</v>
      </c>
      <c r="L41" s="14" t="str">
        <f>VLOOKUP($B41,'2. Red CPM-Ruta Critica'!$A:$M,13,FALSE())</f>
        <v>no</v>
      </c>
      <c r="AH41" s="7" t="b">
        <f>ISNUMBER(MATCH($B41,'2. Red CPM-Ruta Critica'!$A:$A,0))</f>
        <v>1</v>
      </c>
    </row>
    <row r="42" spans="1:34" x14ac:dyDescent="0.25">
      <c r="A42" s="7">
        <f t="shared" si="2"/>
        <v>37</v>
      </c>
      <c r="B42" s="14" t="str">
        <f>'1. Calculo PERT'!A41</f>
        <v>1.1.2.3.4</v>
      </c>
      <c r="C42" s="14" t="str">
        <f>'1. Calculo PERT'!C41</f>
        <v>Elaborar informe final de monitoreo y entregar al ICANH</v>
      </c>
      <c r="D42" s="14">
        <f>'1. Calculo PERT'!B41</f>
        <v>5</v>
      </c>
      <c r="E42" s="14" t="str">
        <f>'1. Calculo PERT'!D41</f>
        <v>1-Requisitos/Gestion</v>
      </c>
      <c r="F42" s="5" t="s">
        <v>193</v>
      </c>
      <c r="G42" s="14">
        <f>VLOOKUP($B42,'2. Red CPM-Ruta Critica'!$A:$F,6,FALSE())</f>
        <v>12</v>
      </c>
      <c r="H42" s="14">
        <f>VLOOKUP($B42,'2. Red CPM-Ruta Critica'!$A:$H,8,FALSE())</f>
        <v>53</v>
      </c>
      <c r="I42" s="14">
        <f>VLOOKUP($B42,'2. Red CPM-Ruta Critica'!$A:$I,9,FALSE())</f>
        <v>65</v>
      </c>
      <c r="J42" s="27">
        <f>'0. Parametros'!$B$3+H42</f>
        <v>45723</v>
      </c>
      <c r="K42" s="27">
        <f>'0. Parametros'!$B$3+I42-1</f>
        <v>45734</v>
      </c>
      <c r="L42" s="14" t="str">
        <f>VLOOKUP($B42,'2. Red CPM-Ruta Critica'!$A:$M,13,FALSE())</f>
        <v>no</v>
      </c>
      <c r="AH42" s="7" t="b">
        <f>ISNUMBER(MATCH($B42,'2. Red CPM-Ruta Critica'!$A:$A,0))</f>
        <v>1</v>
      </c>
    </row>
    <row r="43" spans="1:34" x14ac:dyDescent="0.25">
      <c r="A43" s="13">
        <f t="shared" si="2"/>
        <v>38</v>
      </c>
      <c r="B43" s="28" t="str">
        <f>'1. Calculo PERT'!A42</f>
        <v>1.1.2.4</v>
      </c>
      <c r="C43" s="29" t="str">
        <f>'1. Calculo PERT'!C42</f>
        <v>Politicas de estabilidad de obra constituidas</v>
      </c>
      <c r="D43" s="28">
        <f>'1. Calculo PERT'!B42</f>
        <v>4</v>
      </c>
      <c r="E43" s="28" t="str">
        <f>'1. Calculo PERT'!D42</f>
        <v>1-Requisitos/Gestion</v>
      </c>
      <c r="F43" s="30"/>
      <c r="G43" s="13">
        <f>I43-H43</f>
        <v>28</v>
      </c>
      <c r="H43" s="13">
        <f t="array" ref="H43">MIN(IF(LEFT('2. Red CPM-Ruta Critica'!$A$5:$A$167,LEN($B43)+1)=$B43&amp;".",'2. Red CPM-Ruta Critica'!$H$5:$H$167))</f>
        <v>3</v>
      </c>
      <c r="I43" s="13">
        <f t="array" ref="I43">MAX(IF(LEFT('2. Red CPM-Ruta Critica'!$A$5:$A$167,LEN($B43)+1)=$B43&amp;".",'2. Red CPM-Ruta Critica'!$I$5:$I$167))</f>
        <v>31</v>
      </c>
      <c r="J43" s="31">
        <f>'0. Parametros'!$B$3+H43</f>
        <v>45673</v>
      </c>
      <c r="K43" s="31">
        <f>'0. Parametros'!$B$3+I43-1</f>
        <v>45700</v>
      </c>
      <c r="L43" s="13"/>
      <c r="AH43" s="7" t="b">
        <f>ISNUMBER(MATCH($B43,'2. Red CPM-Ruta Critica'!$A:$A,0))</f>
        <v>0</v>
      </c>
    </row>
    <row r="44" spans="1:34" x14ac:dyDescent="0.25">
      <c r="A44" s="7">
        <f t="shared" si="2"/>
        <v>39</v>
      </c>
      <c r="B44" s="14" t="str">
        <f>'1. Calculo PERT'!A43</f>
        <v>1.1.2.4.1</v>
      </c>
      <c r="C44" s="14" t="str">
        <f>'1. Calculo PERT'!C43</f>
        <v>Solicitar, cotizar y constituir las polizas</v>
      </c>
      <c r="D44" s="14">
        <f>'1. Calculo PERT'!B43</f>
        <v>5</v>
      </c>
      <c r="E44" s="14" t="str">
        <f>'1. Calculo PERT'!D43</f>
        <v>1-Requisitos/Gestion</v>
      </c>
      <c r="F44" s="5" t="s">
        <v>67</v>
      </c>
      <c r="G44" s="14">
        <f>VLOOKUP($B44,'2. Red CPM-Ruta Critica'!$A:$F,6,FALSE())</f>
        <v>12</v>
      </c>
      <c r="H44" s="14">
        <f>VLOOKUP($B44,'2. Red CPM-Ruta Critica'!$A:$H,8,FALSE())</f>
        <v>3</v>
      </c>
      <c r="I44" s="14">
        <f>VLOOKUP($B44,'2. Red CPM-Ruta Critica'!$A:$I,9,FALSE())</f>
        <v>15</v>
      </c>
      <c r="J44" s="27">
        <f>'0. Parametros'!$B$3+H44</f>
        <v>45673</v>
      </c>
      <c r="K44" s="27">
        <f>'0. Parametros'!$B$3+I44-1</f>
        <v>45684</v>
      </c>
      <c r="L44" s="14" t="str">
        <f>VLOOKUP($B44,'2. Red CPM-Ruta Critica'!$A:$M,13,FALSE())</f>
        <v>no</v>
      </c>
      <c r="AH44" s="7" t="b">
        <f>ISNUMBER(MATCH($B44,'2. Red CPM-Ruta Critica'!$A:$A,0))</f>
        <v>1</v>
      </c>
    </row>
    <row r="45" spans="1:34" x14ac:dyDescent="0.25">
      <c r="A45" s="7">
        <f t="shared" si="2"/>
        <v>40</v>
      </c>
      <c r="B45" s="14" t="str">
        <f>'1. Calculo PERT'!A44</f>
        <v>1.1.2.4.2</v>
      </c>
      <c r="C45" s="14" t="str">
        <f>'1. Calculo PERT'!C44</f>
        <v>Aprobar las polizas por interventoria</v>
      </c>
      <c r="D45" s="14">
        <f>'1. Calculo PERT'!B44</f>
        <v>5</v>
      </c>
      <c r="E45" s="14" t="str">
        <f>'1. Calculo PERT'!D44</f>
        <v>1-Requisitos/Gestion</v>
      </c>
      <c r="F45" s="5" t="s">
        <v>203</v>
      </c>
      <c r="G45" s="14">
        <f>VLOOKUP($B45,'2. Red CPM-Ruta Critica'!$A:$F,6,FALSE())</f>
        <v>6</v>
      </c>
      <c r="H45" s="14">
        <f>VLOOKUP($B45,'2. Red CPM-Ruta Critica'!$A:$H,8,FALSE())</f>
        <v>15</v>
      </c>
      <c r="I45" s="14">
        <f>VLOOKUP($B45,'2. Red CPM-Ruta Critica'!$A:$I,9,FALSE())</f>
        <v>21</v>
      </c>
      <c r="J45" s="27">
        <f>'0. Parametros'!$B$3+H45</f>
        <v>45685</v>
      </c>
      <c r="K45" s="27">
        <f>'0. Parametros'!$B$3+I45-1</f>
        <v>45690</v>
      </c>
      <c r="L45" s="14" t="str">
        <f>VLOOKUP($B45,'2. Red CPM-Ruta Critica'!$A:$M,13,FALSE())</f>
        <v>no</v>
      </c>
      <c r="AH45" s="7" t="b">
        <f>ISNUMBER(MATCH($B45,'2. Red CPM-Ruta Critica'!$A:$A,0))</f>
        <v>1</v>
      </c>
    </row>
    <row r="46" spans="1:34" x14ac:dyDescent="0.25">
      <c r="A46" s="7">
        <f t="shared" si="2"/>
        <v>41</v>
      </c>
      <c r="B46" s="14" t="str">
        <f>'1. Calculo PERT'!A45</f>
        <v>1.1.2.4.3</v>
      </c>
      <c r="C46" s="14" t="str">
        <f>'1. Calculo PERT'!C45</f>
        <v>Verificar vigencias y endosos de polizas</v>
      </c>
      <c r="D46" s="14">
        <f>'1. Calculo PERT'!B45</f>
        <v>5</v>
      </c>
      <c r="E46" s="14" t="str">
        <f>'1. Calculo PERT'!D45</f>
        <v>1-Requisitos/Gestion</v>
      </c>
      <c r="F46" s="5" t="s">
        <v>208</v>
      </c>
      <c r="G46" s="14">
        <f>VLOOKUP($B46,'2. Red CPM-Ruta Critica'!$A:$F,6,FALSE())</f>
        <v>5</v>
      </c>
      <c r="H46" s="14">
        <f>VLOOKUP($B46,'2. Red CPM-Ruta Critica'!$A:$H,8,FALSE())</f>
        <v>21</v>
      </c>
      <c r="I46" s="14">
        <f>VLOOKUP($B46,'2. Red CPM-Ruta Critica'!$A:$I,9,FALSE())</f>
        <v>26</v>
      </c>
      <c r="J46" s="27">
        <f>'0. Parametros'!$B$3+H46</f>
        <v>45691</v>
      </c>
      <c r="K46" s="27">
        <f>'0. Parametros'!$B$3+I46-1</f>
        <v>45695</v>
      </c>
      <c r="L46" s="14" t="str">
        <f>VLOOKUP($B46,'2. Red CPM-Ruta Critica'!$A:$M,13,FALSE())</f>
        <v>no</v>
      </c>
      <c r="AH46" s="7" t="b">
        <f>ISNUMBER(MATCH($B46,'2. Red CPM-Ruta Critica'!$A:$A,0))</f>
        <v>1</v>
      </c>
    </row>
    <row r="47" spans="1:34" x14ac:dyDescent="0.25">
      <c r="A47" s="7">
        <f t="shared" si="2"/>
        <v>42</v>
      </c>
      <c r="B47" s="14" t="str">
        <f>'1. Calculo PERT'!A46</f>
        <v>1.1.2.4.4</v>
      </c>
      <c r="C47" s="14" t="str">
        <f>'1. Calculo PERT'!C46</f>
        <v>Endosar las polizas a favor del IDU</v>
      </c>
      <c r="D47" s="14">
        <f>'1. Calculo PERT'!B46</f>
        <v>5</v>
      </c>
      <c r="E47" s="14" t="str">
        <f>'1. Calculo PERT'!D46</f>
        <v>1-Requisitos/Gestion</v>
      </c>
      <c r="F47" s="5" t="s">
        <v>213</v>
      </c>
      <c r="G47" s="14">
        <f>VLOOKUP($B47,'2. Red CPM-Ruta Critica'!$A:$F,6,FALSE())</f>
        <v>5</v>
      </c>
      <c r="H47" s="14">
        <f>VLOOKUP($B47,'2. Red CPM-Ruta Critica'!$A:$H,8,FALSE())</f>
        <v>26</v>
      </c>
      <c r="I47" s="14">
        <f>VLOOKUP($B47,'2. Red CPM-Ruta Critica'!$A:$I,9,FALSE())</f>
        <v>31</v>
      </c>
      <c r="J47" s="27">
        <f>'0. Parametros'!$B$3+H47</f>
        <v>45696</v>
      </c>
      <c r="K47" s="27">
        <f>'0. Parametros'!$B$3+I47-1</f>
        <v>45700</v>
      </c>
      <c r="L47" s="14" t="str">
        <f>VLOOKUP($B47,'2. Red CPM-Ruta Critica'!$A:$M,13,FALSE())</f>
        <v>no</v>
      </c>
      <c r="AH47" s="7" t="b">
        <f>ISNUMBER(MATCH($B47,'2. Red CPM-Ruta Critica'!$A:$A,0))</f>
        <v>1</v>
      </c>
    </row>
    <row r="48" spans="1:34" x14ac:dyDescent="0.25">
      <c r="A48" s="7">
        <f t="shared" si="2"/>
        <v>43</v>
      </c>
      <c r="B48" s="14" t="str">
        <f>'1. Calculo PERT'!A47</f>
        <v>1.1.9</v>
      </c>
      <c r="C48" s="14" t="str">
        <f>'1. Calculo PERT'!C47</f>
        <v>Hito: Acta de inicio firmada</v>
      </c>
      <c r="D48" s="14">
        <f>'1. Calculo PERT'!B47</f>
        <v>3</v>
      </c>
      <c r="E48" s="14" t="str">
        <f>'1. Calculo PERT'!D47</f>
        <v>1-Requisitos/Gestion</v>
      </c>
      <c r="F48" s="5" t="s">
        <v>67</v>
      </c>
      <c r="G48" s="14">
        <f>VLOOKUP($B48,'2. Red CPM-Ruta Critica'!$A:$F,6,FALSE())</f>
        <v>0</v>
      </c>
      <c r="H48" s="14">
        <f>VLOOKUP($B48,'2. Red CPM-Ruta Critica'!$A:$H,8,FALSE())</f>
        <v>3</v>
      </c>
      <c r="I48" s="14">
        <f>VLOOKUP($B48,'2. Red CPM-Ruta Critica'!$A:$I,9,FALSE())</f>
        <v>3</v>
      </c>
      <c r="J48" s="27">
        <f>'0. Parametros'!$B$3+I48-1</f>
        <v>45672</v>
      </c>
      <c r="K48" s="27">
        <f>'0. Parametros'!$B$3+I48-1</f>
        <v>45672</v>
      </c>
      <c r="L48" s="14" t="str">
        <f>VLOOKUP($B48,'2. Red CPM-Ruta Critica'!$A:$M,13,FALSE())</f>
        <v>no</v>
      </c>
      <c r="M48" s="32" t="str">
        <f t="shared" ref="M48:AG48" si="3">IF(AND($I48&gt;(M$4-1)*30,$I48&lt;=M$4*30),"X","")</f>
        <v>X</v>
      </c>
      <c r="N48" s="32" t="str">
        <f t="shared" si="3"/>
        <v/>
      </c>
      <c r="O48" s="32" t="str">
        <f t="shared" si="3"/>
        <v/>
      </c>
      <c r="P48" s="32" t="str">
        <f t="shared" si="3"/>
        <v/>
      </c>
      <c r="Q48" s="32" t="str">
        <f t="shared" si="3"/>
        <v/>
      </c>
      <c r="R48" s="32" t="str">
        <f t="shared" si="3"/>
        <v/>
      </c>
      <c r="S48" s="32" t="str">
        <f t="shared" si="3"/>
        <v/>
      </c>
      <c r="T48" s="32" t="str">
        <f t="shared" si="3"/>
        <v/>
      </c>
      <c r="U48" s="32" t="str">
        <f t="shared" si="3"/>
        <v/>
      </c>
      <c r="V48" s="32" t="str">
        <f t="shared" si="3"/>
        <v/>
      </c>
      <c r="W48" s="32" t="str">
        <f t="shared" si="3"/>
        <v/>
      </c>
      <c r="X48" s="32" t="str">
        <f t="shared" si="3"/>
        <v/>
      </c>
      <c r="Y48" s="32" t="str">
        <f t="shared" si="3"/>
        <v/>
      </c>
      <c r="Z48" s="32" t="str">
        <f t="shared" si="3"/>
        <v/>
      </c>
      <c r="AA48" s="32" t="str">
        <f t="shared" si="3"/>
        <v/>
      </c>
      <c r="AB48" s="32" t="str">
        <f t="shared" si="3"/>
        <v/>
      </c>
      <c r="AC48" s="32" t="str">
        <f t="shared" si="3"/>
        <v/>
      </c>
      <c r="AD48" s="32" t="str">
        <f t="shared" si="3"/>
        <v/>
      </c>
      <c r="AE48" s="32" t="str">
        <f t="shared" si="3"/>
        <v/>
      </c>
      <c r="AF48" s="32" t="str">
        <f t="shared" si="3"/>
        <v/>
      </c>
      <c r="AG48" s="32" t="str">
        <f t="shared" si="3"/>
        <v/>
      </c>
      <c r="AH48" s="7" t="b">
        <f>ISNUMBER(MATCH($B48,'2. Red CPM-Ruta Critica'!$A:$A,0))</f>
        <v>1</v>
      </c>
    </row>
    <row r="49" spans="1:34" x14ac:dyDescent="0.25">
      <c r="A49" s="11">
        <f t="shared" si="2"/>
        <v>44</v>
      </c>
      <c r="B49" s="23" t="str">
        <f>'1. Calculo PERT'!A48</f>
        <v>1.2</v>
      </c>
      <c r="C49" s="24" t="str">
        <f>'1. Calculo PERT'!C48</f>
        <v>Fase: Estudios y Disenos (Fase III)</v>
      </c>
      <c r="D49" s="23">
        <f>'1. Calculo PERT'!B48</f>
        <v>2</v>
      </c>
      <c r="E49" s="23" t="str">
        <f>'1. Calculo PERT'!D48</f>
        <v>2-Estudios y Disenos</v>
      </c>
      <c r="F49" s="25"/>
      <c r="G49" s="11">
        <f>I49-H49</f>
        <v>180</v>
      </c>
      <c r="H49" s="11">
        <f t="array" ref="H49">MIN(IF(LEFT('2. Red CPM-Ruta Critica'!$A$5:$A$167,LEN($B49)+1)=$B49&amp;".",'2. Red CPM-Ruta Critica'!$H$5:$H$167))</f>
        <v>90</v>
      </c>
      <c r="I49" s="11">
        <f t="array" ref="I49">MAX(IF(LEFT('2. Red CPM-Ruta Critica'!$A$5:$A$167,LEN($B49)+1)=$B49&amp;".",'2. Red CPM-Ruta Critica'!$I$5:$I$167))</f>
        <v>270</v>
      </c>
      <c r="J49" s="26">
        <f>'0. Parametros'!$B$3+H49</f>
        <v>45760</v>
      </c>
      <c r="K49" s="26">
        <f>'0. Parametros'!$B$3+I49-1</f>
        <v>45939</v>
      </c>
      <c r="L49" s="11"/>
      <c r="AH49" s="7" t="b">
        <f>ISNUMBER(MATCH($B49,'2. Red CPM-Ruta Critica'!$A:$A,0))</f>
        <v>0</v>
      </c>
    </row>
    <row r="50" spans="1:34" x14ac:dyDescent="0.25">
      <c r="A50" s="13">
        <f t="shared" si="2"/>
        <v>45</v>
      </c>
      <c r="B50" s="28" t="str">
        <f>'1. Calculo PERT'!A49</f>
        <v>1.2.1</v>
      </c>
      <c r="C50" s="29" t="str">
        <f>'1. Calculo PERT'!C49</f>
        <v>Cuenta de control: Estudios Tecnicos de Detalle</v>
      </c>
      <c r="D50" s="28">
        <f>'1. Calculo PERT'!B49</f>
        <v>3</v>
      </c>
      <c r="E50" s="28" t="str">
        <f>'1. Calculo PERT'!D49</f>
        <v>2-Estudios y Disenos</v>
      </c>
      <c r="F50" s="30"/>
      <c r="G50" s="13">
        <f>I50-H50</f>
        <v>120</v>
      </c>
      <c r="H50" s="13">
        <f t="array" ref="H50">MIN(IF(LEFT('2. Red CPM-Ruta Critica'!$A$5:$A$167,LEN($B50)+1)=$B50&amp;".",'2. Red CPM-Ruta Critica'!$H$5:$H$167))</f>
        <v>90</v>
      </c>
      <c r="I50" s="13">
        <f t="array" ref="I50">MAX(IF(LEFT('2. Red CPM-Ruta Critica'!$A$5:$A$167,LEN($B50)+1)=$B50&amp;".",'2. Red CPM-Ruta Critica'!$I$5:$I$167))</f>
        <v>210</v>
      </c>
      <c r="J50" s="31">
        <f>'0. Parametros'!$B$3+H50</f>
        <v>45760</v>
      </c>
      <c r="K50" s="31">
        <f>'0. Parametros'!$B$3+I50-1</f>
        <v>45879</v>
      </c>
      <c r="L50" s="13"/>
      <c r="AH50" s="7" t="b">
        <f>ISNUMBER(MATCH($B50,'2. Red CPM-Ruta Critica'!$A:$A,0))</f>
        <v>0</v>
      </c>
    </row>
    <row r="51" spans="1:34" x14ac:dyDescent="0.25">
      <c r="A51" s="13">
        <f t="shared" si="2"/>
        <v>46</v>
      </c>
      <c r="B51" s="28" t="str">
        <f>'1. Calculo PERT'!A50</f>
        <v>1.2.1.1</v>
      </c>
      <c r="C51" s="29" t="str">
        <f>'1. Calculo PERT'!C50</f>
        <v>Levantamientos topograficos y estudios geotecnicos finales</v>
      </c>
      <c r="D51" s="28">
        <f>'1. Calculo PERT'!B50</f>
        <v>4</v>
      </c>
      <c r="E51" s="28" t="str">
        <f>'1. Calculo PERT'!D50</f>
        <v>2-Estudios y Disenos</v>
      </c>
      <c r="F51" s="30"/>
      <c r="G51" s="13">
        <f>I51-H51</f>
        <v>59</v>
      </c>
      <c r="H51" s="13">
        <f t="array" ref="H51">MIN(IF(LEFT('2. Red CPM-Ruta Critica'!$A$5:$A$167,LEN($B51)+1)=$B51&amp;".",'2. Red CPM-Ruta Critica'!$H$5:$H$167))</f>
        <v>90</v>
      </c>
      <c r="I51" s="13">
        <f t="array" ref="I51">MAX(IF(LEFT('2. Red CPM-Ruta Critica'!$A$5:$A$167,LEN($B51)+1)=$B51&amp;".",'2. Red CPM-Ruta Critica'!$I$5:$I$167))</f>
        <v>149</v>
      </c>
      <c r="J51" s="31">
        <f>'0. Parametros'!$B$3+H51</f>
        <v>45760</v>
      </c>
      <c r="K51" s="31">
        <f>'0. Parametros'!$B$3+I51-1</f>
        <v>45818</v>
      </c>
      <c r="L51" s="13"/>
      <c r="AH51" s="7" t="b">
        <f>ISNUMBER(MATCH($B51,'2. Red CPM-Ruta Critica'!$A:$A,0))</f>
        <v>0</v>
      </c>
    </row>
    <row r="52" spans="1:34" x14ac:dyDescent="0.25">
      <c r="A52" s="7">
        <f t="shared" si="2"/>
        <v>47</v>
      </c>
      <c r="B52" s="14" t="str">
        <f>'1. Calculo PERT'!A51</f>
        <v>1.2.1.1.1</v>
      </c>
      <c r="C52" s="14" t="str">
        <f>'1. Calculo PERT'!C51</f>
        <v>Realizar comision topografica y levantamiento de detalle</v>
      </c>
      <c r="D52" s="14">
        <f>'1. Calculo PERT'!B51</f>
        <v>5</v>
      </c>
      <c r="E52" s="14" t="str">
        <f>'1. Calculo PERT'!D51</f>
        <v>2-Estudios y Disenos</v>
      </c>
      <c r="F52" s="5" t="s">
        <v>228</v>
      </c>
      <c r="G52" s="14">
        <f>VLOOKUP($B52,'2. Red CPM-Ruta Critica'!$A:$F,6,FALSE())</f>
        <v>21</v>
      </c>
      <c r="H52" s="14">
        <f>VLOOKUP($B52,'2. Red CPM-Ruta Critica'!$A:$H,8,FALSE())</f>
        <v>90</v>
      </c>
      <c r="I52" s="14">
        <f>VLOOKUP($B52,'2. Red CPM-Ruta Critica'!$A:$I,9,FALSE())</f>
        <v>111</v>
      </c>
      <c r="J52" s="27">
        <f>'0. Parametros'!$B$3+H52</f>
        <v>45760</v>
      </c>
      <c r="K52" s="27">
        <f>'0. Parametros'!$B$3+I52-1</f>
        <v>45780</v>
      </c>
      <c r="L52" s="14" t="str">
        <f>VLOOKUP($B52,'2. Red CPM-Ruta Critica'!$A:$M,13,FALSE())</f>
        <v>SI</v>
      </c>
      <c r="AH52" s="7" t="b">
        <f>ISNUMBER(MATCH($B52,'2. Red CPM-Ruta Critica'!$A:$A,0))</f>
        <v>1</v>
      </c>
    </row>
    <row r="53" spans="1:34" x14ac:dyDescent="0.25">
      <c r="A53" s="7">
        <f t="shared" si="2"/>
        <v>48</v>
      </c>
      <c r="B53" s="14" t="str">
        <f>'1. Calculo PERT'!A52</f>
        <v>1.2.1.1.2</v>
      </c>
      <c r="C53" s="14" t="str">
        <f>'1. Calculo PERT'!C52</f>
        <v>Explorar el subsuelo (sondeos y apiques)</v>
      </c>
      <c r="D53" s="14">
        <f>'1. Calculo PERT'!B52</f>
        <v>5</v>
      </c>
      <c r="E53" s="14" t="str">
        <f>'1. Calculo PERT'!D52</f>
        <v>2-Estudios y Disenos</v>
      </c>
      <c r="F53" s="5" t="s">
        <v>233</v>
      </c>
      <c r="G53" s="14">
        <f>VLOOKUP($B53,'2. Red CPM-Ruta Critica'!$A:$F,6,FALSE())</f>
        <v>19</v>
      </c>
      <c r="H53" s="14">
        <f>VLOOKUP($B53,'2. Red CPM-Ruta Critica'!$A:$H,8,FALSE())</f>
        <v>111</v>
      </c>
      <c r="I53" s="14">
        <f>VLOOKUP($B53,'2. Red CPM-Ruta Critica'!$A:$I,9,FALSE())</f>
        <v>130</v>
      </c>
      <c r="J53" s="27">
        <f>'0. Parametros'!$B$3+H53</f>
        <v>45781</v>
      </c>
      <c r="K53" s="27">
        <f>'0. Parametros'!$B$3+I53-1</f>
        <v>45799</v>
      </c>
      <c r="L53" s="14" t="str">
        <f>VLOOKUP($B53,'2. Red CPM-Ruta Critica'!$A:$M,13,FALSE())</f>
        <v>SI</v>
      </c>
      <c r="AH53" s="7" t="b">
        <f>ISNUMBER(MATCH($B53,'2. Red CPM-Ruta Critica'!$A:$A,0))</f>
        <v>1</v>
      </c>
    </row>
    <row r="54" spans="1:34" x14ac:dyDescent="0.25">
      <c r="A54" s="7">
        <f t="shared" si="2"/>
        <v>49</v>
      </c>
      <c r="B54" s="14" t="str">
        <f>'1. Calculo PERT'!A53</f>
        <v>1.2.1.1.3</v>
      </c>
      <c r="C54" s="14" t="str">
        <f>'1. Calculo PERT'!C53</f>
        <v>Ejecutar ensayos de laboratorio y elaborar informe geotecnico</v>
      </c>
      <c r="D54" s="14">
        <f>'1. Calculo PERT'!B53</f>
        <v>5</v>
      </c>
      <c r="E54" s="14" t="str">
        <f>'1. Calculo PERT'!D53</f>
        <v>2-Estudios y Disenos</v>
      </c>
      <c r="F54" s="5" t="s">
        <v>238</v>
      </c>
      <c r="G54" s="14">
        <f>VLOOKUP($B54,'2. Red CPM-Ruta Critica'!$A:$F,6,FALSE())</f>
        <v>19</v>
      </c>
      <c r="H54" s="14">
        <f>VLOOKUP($B54,'2. Red CPM-Ruta Critica'!$A:$H,8,FALSE())</f>
        <v>130</v>
      </c>
      <c r="I54" s="14">
        <f>VLOOKUP($B54,'2. Red CPM-Ruta Critica'!$A:$I,9,FALSE())</f>
        <v>149</v>
      </c>
      <c r="J54" s="27">
        <f>'0. Parametros'!$B$3+H54</f>
        <v>45800</v>
      </c>
      <c r="K54" s="27">
        <f>'0. Parametros'!$B$3+I54-1</f>
        <v>45818</v>
      </c>
      <c r="L54" s="14" t="str">
        <f>VLOOKUP($B54,'2. Red CPM-Ruta Critica'!$A:$M,13,FALSE())</f>
        <v>SI</v>
      </c>
      <c r="AH54" s="7" t="b">
        <f>ISNUMBER(MATCH($B54,'2. Red CPM-Ruta Critica'!$A:$A,0))</f>
        <v>1</v>
      </c>
    </row>
    <row r="55" spans="1:34" x14ac:dyDescent="0.25">
      <c r="A55" s="7">
        <f t="shared" si="2"/>
        <v>50</v>
      </c>
      <c r="B55" s="14" t="str">
        <f>'1. Calculo PERT'!A54</f>
        <v>1.2.1.1.4</v>
      </c>
      <c r="C55" s="14" t="str">
        <f>'1. Calculo PERT'!C54</f>
        <v>Elaborar estudio hidrologico e hidraulico del corredor</v>
      </c>
      <c r="D55" s="14">
        <f>'1. Calculo PERT'!B54</f>
        <v>5</v>
      </c>
      <c r="E55" s="14" t="str">
        <f>'1. Calculo PERT'!D54</f>
        <v>2-Estudios y Disenos</v>
      </c>
      <c r="F55" s="5" t="s">
        <v>238</v>
      </c>
      <c r="G55" s="14">
        <f>VLOOKUP($B55,'2. Red CPM-Ruta Critica'!$A:$F,6,FALSE())</f>
        <v>13</v>
      </c>
      <c r="H55" s="14">
        <f>VLOOKUP($B55,'2. Red CPM-Ruta Critica'!$A:$H,8,FALSE())</f>
        <v>130</v>
      </c>
      <c r="I55" s="14">
        <f>VLOOKUP($B55,'2. Red CPM-Ruta Critica'!$A:$I,9,FALSE())</f>
        <v>143</v>
      </c>
      <c r="J55" s="27">
        <f>'0. Parametros'!$B$3+H55</f>
        <v>45800</v>
      </c>
      <c r="K55" s="27">
        <f>'0. Parametros'!$B$3+I55-1</f>
        <v>45812</v>
      </c>
      <c r="L55" s="14" t="str">
        <f>VLOOKUP($B55,'2. Red CPM-Ruta Critica'!$A:$M,13,FALSE())</f>
        <v>no</v>
      </c>
      <c r="AH55" s="7" t="b">
        <f>ISNUMBER(MATCH($B55,'2. Red CPM-Ruta Critica'!$A:$A,0))</f>
        <v>1</v>
      </c>
    </row>
    <row r="56" spans="1:34" x14ac:dyDescent="0.25">
      <c r="A56" s="7">
        <f t="shared" si="2"/>
        <v>51</v>
      </c>
      <c r="B56" s="14" t="str">
        <f>'1. Calculo PERT'!A55</f>
        <v>1.2.1.1.5</v>
      </c>
      <c r="C56" s="14" t="str">
        <f>'1. Calculo PERT'!C55</f>
        <v>Elaborar estudio de transito y capacidad de la interseccion</v>
      </c>
      <c r="D56" s="14">
        <f>'1. Calculo PERT'!B55</f>
        <v>5</v>
      </c>
      <c r="E56" s="14" t="str">
        <f>'1. Calculo PERT'!D55</f>
        <v>2-Estudios y Disenos</v>
      </c>
      <c r="F56" s="5" t="s">
        <v>233</v>
      </c>
      <c r="G56" s="14">
        <f>VLOOKUP($B56,'2. Red CPM-Ruta Critica'!$A:$F,6,FALSE())</f>
        <v>13</v>
      </c>
      <c r="H56" s="14">
        <f>VLOOKUP($B56,'2. Red CPM-Ruta Critica'!$A:$H,8,FALSE())</f>
        <v>111</v>
      </c>
      <c r="I56" s="14">
        <f>VLOOKUP($B56,'2. Red CPM-Ruta Critica'!$A:$I,9,FALSE())</f>
        <v>124</v>
      </c>
      <c r="J56" s="27">
        <f>'0. Parametros'!$B$3+H56</f>
        <v>45781</v>
      </c>
      <c r="K56" s="27">
        <f>'0. Parametros'!$B$3+I56-1</f>
        <v>45793</v>
      </c>
      <c r="L56" s="14" t="str">
        <f>VLOOKUP($B56,'2. Red CPM-Ruta Critica'!$A:$M,13,FALSE())</f>
        <v>no</v>
      </c>
      <c r="AH56" s="7" t="b">
        <f>ISNUMBER(MATCH($B56,'2. Red CPM-Ruta Critica'!$A:$A,0))</f>
        <v>1</v>
      </c>
    </row>
    <row r="57" spans="1:34" x14ac:dyDescent="0.25">
      <c r="A57" s="13">
        <f t="shared" si="2"/>
        <v>52</v>
      </c>
      <c r="B57" s="28" t="str">
        <f>'1. Calculo PERT'!A56</f>
        <v>1.2.1.2</v>
      </c>
      <c r="C57" s="29" t="str">
        <f>'1. Calculo PERT'!C56</f>
        <v>Informe de maduracion tecnica del proyecto (IDU)</v>
      </c>
      <c r="D57" s="28">
        <f>'1. Calculo PERT'!B56</f>
        <v>4</v>
      </c>
      <c r="E57" s="28" t="str">
        <f>'1. Calculo PERT'!D56</f>
        <v>2-Estudios y Disenos</v>
      </c>
      <c r="F57" s="30"/>
      <c r="G57" s="13">
        <f>I57-H57</f>
        <v>61</v>
      </c>
      <c r="H57" s="13">
        <f t="array" ref="H57">MIN(IF(LEFT('2. Red CPM-Ruta Critica'!$A$5:$A$167,LEN($B57)+1)=$B57&amp;".",'2. Red CPM-Ruta Critica'!$H$5:$H$167))</f>
        <v>149</v>
      </c>
      <c r="I57" s="13">
        <f t="array" ref="I57">MAX(IF(LEFT('2. Red CPM-Ruta Critica'!$A$5:$A$167,LEN($B57)+1)=$B57&amp;".",'2. Red CPM-Ruta Critica'!$I$5:$I$167))</f>
        <v>210</v>
      </c>
      <c r="J57" s="31">
        <f>'0. Parametros'!$B$3+H57</f>
        <v>45819</v>
      </c>
      <c r="K57" s="31">
        <f>'0. Parametros'!$B$3+I57-1</f>
        <v>45879</v>
      </c>
      <c r="L57" s="13"/>
      <c r="AH57" s="7" t="b">
        <f>ISNUMBER(MATCH($B57,'2. Red CPM-Ruta Critica'!$A:$A,0))</f>
        <v>0</v>
      </c>
    </row>
    <row r="58" spans="1:34" x14ac:dyDescent="0.25">
      <c r="A58" s="7">
        <f t="shared" si="2"/>
        <v>53</v>
      </c>
      <c r="B58" s="14" t="str">
        <f>'1. Calculo PERT'!A57</f>
        <v>1.2.1.2.1</v>
      </c>
      <c r="C58" s="14" t="str">
        <f>'1. Calculo PERT'!C57</f>
        <v>Consolidar la informacion tecnica y de costos</v>
      </c>
      <c r="D58" s="14">
        <f>'1. Calculo PERT'!B57</f>
        <v>5</v>
      </c>
      <c r="E58" s="14" t="str">
        <f>'1. Calculo PERT'!D57</f>
        <v>2-Estudios y Disenos</v>
      </c>
      <c r="F58" s="5" t="s">
        <v>251</v>
      </c>
      <c r="G58" s="14">
        <f>VLOOKUP($B58,'2. Red CPM-Ruta Critica'!$A:$F,6,FALSE())</f>
        <v>17</v>
      </c>
      <c r="H58" s="14">
        <f>VLOOKUP($B58,'2. Red CPM-Ruta Critica'!$A:$H,8,FALSE())</f>
        <v>149</v>
      </c>
      <c r="I58" s="14">
        <f>VLOOKUP($B58,'2. Red CPM-Ruta Critica'!$A:$I,9,FALSE())</f>
        <v>166</v>
      </c>
      <c r="J58" s="27">
        <f>'0. Parametros'!$B$3+H58</f>
        <v>45819</v>
      </c>
      <c r="K58" s="27">
        <f>'0. Parametros'!$B$3+I58-1</f>
        <v>45835</v>
      </c>
      <c r="L58" s="14" t="str">
        <f>VLOOKUP($B58,'2. Red CPM-Ruta Critica'!$A:$M,13,FALSE())</f>
        <v>SI</v>
      </c>
      <c r="AH58" s="7" t="b">
        <f>ISNUMBER(MATCH($B58,'2. Red CPM-Ruta Critica'!$A:$A,0))</f>
        <v>1</v>
      </c>
    </row>
    <row r="59" spans="1:34" x14ac:dyDescent="0.25">
      <c r="A59" s="7">
        <f t="shared" si="2"/>
        <v>54</v>
      </c>
      <c r="B59" s="14" t="str">
        <f>'1. Calculo PERT'!A58</f>
        <v>1.2.1.2.2</v>
      </c>
      <c r="C59" s="14" t="str">
        <f>'1. Calculo PERT'!C58</f>
        <v>Elaborar el informe de maduracion (GU-FP-04)</v>
      </c>
      <c r="D59" s="14">
        <f>'1. Calculo PERT'!B58</f>
        <v>5</v>
      </c>
      <c r="E59" s="14" t="str">
        <f>'1. Calculo PERT'!D58</f>
        <v>2-Estudios y Disenos</v>
      </c>
      <c r="F59" s="5" t="s">
        <v>256</v>
      </c>
      <c r="G59" s="14">
        <f>VLOOKUP($B59,'2. Red CPM-Ruta Critica'!$A:$F,6,FALSE())</f>
        <v>16</v>
      </c>
      <c r="H59" s="14">
        <f>VLOOKUP($B59,'2. Red CPM-Ruta Critica'!$A:$H,8,FALSE())</f>
        <v>166</v>
      </c>
      <c r="I59" s="14">
        <f>VLOOKUP($B59,'2. Red CPM-Ruta Critica'!$A:$I,9,FALSE())</f>
        <v>182</v>
      </c>
      <c r="J59" s="27">
        <f>'0. Parametros'!$B$3+H59</f>
        <v>45836</v>
      </c>
      <c r="K59" s="27">
        <f>'0. Parametros'!$B$3+I59-1</f>
        <v>45851</v>
      </c>
      <c r="L59" s="14" t="str">
        <f>VLOOKUP($B59,'2. Red CPM-Ruta Critica'!$A:$M,13,FALSE())</f>
        <v>SI</v>
      </c>
      <c r="AH59" s="7" t="b">
        <f>ISNUMBER(MATCH($B59,'2. Red CPM-Ruta Critica'!$A:$A,0))</f>
        <v>1</v>
      </c>
    </row>
    <row r="60" spans="1:34" x14ac:dyDescent="0.25">
      <c r="A60" s="7">
        <f t="shared" si="2"/>
        <v>55</v>
      </c>
      <c r="B60" s="14" t="str">
        <f>'1. Calculo PERT'!A59</f>
        <v>1.2.1.2.3</v>
      </c>
      <c r="C60" s="14" t="str">
        <f>'1. Calculo PERT'!C59</f>
        <v>Revisar y avalar la maduracion por el IDU</v>
      </c>
      <c r="D60" s="14">
        <f>'1. Calculo PERT'!B59</f>
        <v>5</v>
      </c>
      <c r="E60" s="14" t="str">
        <f>'1. Calculo PERT'!D59</f>
        <v>2-Estudios y Disenos</v>
      </c>
      <c r="F60" s="5" t="s">
        <v>261</v>
      </c>
      <c r="G60" s="14">
        <f>VLOOKUP($B60,'2. Red CPM-Ruta Critica'!$A:$F,6,FALSE())</f>
        <v>15</v>
      </c>
      <c r="H60" s="14">
        <f>VLOOKUP($B60,'2. Red CPM-Ruta Critica'!$A:$H,8,FALSE())</f>
        <v>182</v>
      </c>
      <c r="I60" s="14">
        <f>VLOOKUP($B60,'2. Red CPM-Ruta Critica'!$A:$I,9,FALSE())</f>
        <v>197</v>
      </c>
      <c r="J60" s="27">
        <f>'0. Parametros'!$B$3+H60</f>
        <v>45852</v>
      </c>
      <c r="K60" s="27">
        <f>'0. Parametros'!$B$3+I60-1</f>
        <v>45866</v>
      </c>
      <c r="L60" s="14" t="str">
        <f>VLOOKUP($B60,'2. Red CPM-Ruta Critica'!$A:$M,13,FALSE())</f>
        <v>SI</v>
      </c>
      <c r="AH60" s="7" t="b">
        <f>ISNUMBER(MATCH($B60,'2. Red CPM-Ruta Critica'!$A:$A,0))</f>
        <v>1</v>
      </c>
    </row>
    <row r="61" spans="1:34" x14ac:dyDescent="0.25">
      <c r="A61" s="7">
        <f t="shared" si="2"/>
        <v>56</v>
      </c>
      <c r="B61" s="14" t="str">
        <f>'1. Calculo PERT'!A60</f>
        <v>1.2.1.2.4</v>
      </c>
      <c r="C61" s="14" t="str">
        <f>'1. Calculo PERT'!C60</f>
        <v>Actualizar el presupuesto y los APU</v>
      </c>
      <c r="D61" s="14">
        <f>'1. Calculo PERT'!B60</f>
        <v>5</v>
      </c>
      <c r="E61" s="14" t="str">
        <f>'1. Calculo PERT'!D60</f>
        <v>2-Estudios y Disenos</v>
      </c>
      <c r="F61" s="5" t="s">
        <v>261</v>
      </c>
      <c r="G61" s="14">
        <f>VLOOKUP($B61,'2. Red CPM-Ruta Critica'!$A:$F,6,FALSE())</f>
        <v>10</v>
      </c>
      <c r="H61" s="14">
        <f>VLOOKUP($B61,'2. Red CPM-Ruta Critica'!$A:$H,8,FALSE())</f>
        <v>182</v>
      </c>
      <c r="I61" s="14">
        <f>VLOOKUP($B61,'2. Red CPM-Ruta Critica'!$A:$I,9,FALSE())</f>
        <v>192</v>
      </c>
      <c r="J61" s="27">
        <f>'0. Parametros'!$B$3+H61</f>
        <v>45852</v>
      </c>
      <c r="K61" s="27">
        <f>'0. Parametros'!$B$3+I61-1</f>
        <v>45861</v>
      </c>
      <c r="L61" s="14" t="str">
        <f>VLOOKUP($B61,'2. Red CPM-Ruta Critica'!$A:$M,13,FALSE())</f>
        <v>no</v>
      </c>
      <c r="AH61" s="7" t="b">
        <f>ISNUMBER(MATCH($B61,'2. Red CPM-Ruta Critica'!$A:$A,0))</f>
        <v>1</v>
      </c>
    </row>
    <row r="62" spans="1:34" x14ac:dyDescent="0.25">
      <c r="A62" s="7">
        <f t="shared" si="2"/>
        <v>57</v>
      </c>
      <c r="B62" s="14" t="str">
        <f>'1. Calculo PERT'!A61</f>
        <v>1.2.1.2.5</v>
      </c>
      <c r="C62" s="14" t="str">
        <f>'1. Calculo PERT'!C61</f>
        <v>Gestionar vistos buenos y concertacion interinstitucional</v>
      </c>
      <c r="D62" s="14">
        <f>'1. Calculo PERT'!B61</f>
        <v>5</v>
      </c>
      <c r="E62" s="14" t="str">
        <f>'1. Calculo PERT'!D61</f>
        <v>2-Estudios y Disenos</v>
      </c>
      <c r="F62" s="5" t="s">
        <v>269</v>
      </c>
      <c r="G62" s="14">
        <f>VLOOKUP($B62,'2. Red CPM-Ruta Critica'!$A:$F,6,FALSE())</f>
        <v>13</v>
      </c>
      <c r="H62" s="14">
        <f>VLOOKUP($B62,'2. Red CPM-Ruta Critica'!$A:$H,8,FALSE())</f>
        <v>197</v>
      </c>
      <c r="I62" s="14">
        <f>VLOOKUP($B62,'2. Red CPM-Ruta Critica'!$A:$I,9,FALSE())</f>
        <v>210</v>
      </c>
      <c r="J62" s="27">
        <f>'0. Parametros'!$B$3+H62</f>
        <v>45867</v>
      </c>
      <c r="K62" s="27">
        <f>'0. Parametros'!$B$3+I62-1</f>
        <v>45879</v>
      </c>
      <c r="L62" s="14" t="str">
        <f>VLOOKUP($B62,'2. Red CPM-Ruta Critica'!$A:$M,13,FALSE())</f>
        <v>no</v>
      </c>
      <c r="AH62" s="7" t="b">
        <f>ISNUMBER(MATCH($B62,'2. Red CPM-Ruta Critica'!$A:$A,0))</f>
        <v>1</v>
      </c>
    </row>
    <row r="63" spans="1:34" x14ac:dyDescent="0.25">
      <c r="A63" s="13">
        <f t="shared" si="2"/>
        <v>58</v>
      </c>
      <c r="B63" s="28" t="str">
        <f>'1. Calculo PERT'!A62</f>
        <v>1.2.2</v>
      </c>
      <c r="C63" s="29" t="str">
        <f>'1. Calculo PERT'!C62</f>
        <v>Cuenta de control: Disenos de Especialidad</v>
      </c>
      <c r="D63" s="28">
        <f>'1. Calculo PERT'!B62</f>
        <v>3</v>
      </c>
      <c r="E63" s="28" t="str">
        <f>'1. Calculo PERT'!D62</f>
        <v>2-Estudios y Disenos</v>
      </c>
      <c r="F63" s="30"/>
      <c r="G63" s="13">
        <f>I63-H63</f>
        <v>115</v>
      </c>
      <c r="H63" s="13">
        <f t="array" ref="H63">MIN(IF(LEFT('2. Red CPM-Ruta Critica'!$A$5:$A$167,LEN($B63)+1)=$B63&amp;".",'2. Red CPM-Ruta Critica'!$H$5:$H$167))</f>
        <v>149</v>
      </c>
      <c r="I63" s="13">
        <f t="array" ref="I63">MAX(IF(LEFT('2. Red CPM-Ruta Critica'!$A$5:$A$167,LEN($B63)+1)=$B63&amp;".",'2. Red CPM-Ruta Critica'!$I$5:$I$167))</f>
        <v>264</v>
      </c>
      <c r="J63" s="31">
        <f>'0. Parametros'!$B$3+H63</f>
        <v>45819</v>
      </c>
      <c r="K63" s="31">
        <f>'0. Parametros'!$B$3+I63-1</f>
        <v>45933</v>
      </c>
      <c r="L63" s="13"/>
      <c r="AH63" s="7" t="b">
        <f>ISNUMBER(MATCH($B63,'2. Red CPM-Ruta Critica'!$A:$A,0))</f>
        <v>0</v>
      </c>
    </row>
    <row r="64" spans="1:34" x14ac:dyDescent="0.25">
      <c r="A64" s="13">
        <f t="shared" si="2"/>
        <v>59</v>
      </c>
      <c r="B64" s="28" t="str">
        <f>'1. Calculo PERT'!A63</f>
        <v>1.2.2.1</v>
      </c>
      <c r="C64" s="29" t="str">
        <f>'1. Calculo PERT'!C63</f>
        <v>Disenos de pavimentos y mezclas asfalticas aprobadas</v>
      </c>
      <c r="D64" s="28">
        <f>'1. Calculo PERT'!B63</f>
        <v>4</v>
      </c>
      <c r="E64" s="28" t="str">
        <f>'1. Calculo PERT'!D63</f>
        <v>2-Estudios y Disenos</v>
      </c>
      <c r="F64" s="30"/>
      <c r="G64" s="13">
        <f>I64-H64</f>
        <v>56</v>
      </c>
      <c r="H64" s="13">
        <f t="array" ref="H64">MIN(IF(LEFT('2. Red CPM-Ruta Critica'!$A$5:$A$167,LEN($B64)+1)=$B64&amp;".",'2. Red CPM-Ruta Critica'!$H$5:$H$167))</f>
        <v>149</v>
      </c>
      <c r="I64" s="13">
        <f t="array" ref="I64">MAX(IF(LEFT('2. Red CPM-Ruta Critica'!$A$5:$A$167,LEN($B64)+1)=$B64&amp;".",'2. Red CPM-Ruta Critica'!$I$5:$I$167))</f>
        <v>205</v>
      </c>
      <c r="J64" s="31">
        <f>'0. Parametros'!$B$3+H64</f>
        <v>45819</v>
      </c>
      <c r="K64" s="31">
        <f>'0. Parametros'!$B$3+I64-1</f>
        <v>45874</v>
      </c>
      <c r="L64" s="13"/>
      <c r="AH64" s="7" t="b">
        <f>ISNUMBER(MATCH($B64,'2. Red CPM-Ruta Critica'!$A:$A,0))</f>
        <v>0</v>
      </c>
    </row>
    <row r="65" spans="1:34" x14ac:dyDescent="0.25">
      <c r="A65" s="7">
        <f t="shared" si="2"/>
        <v>60</v>
      </c>
      <c r="B65" s="14" t="str">
        <f>'1. Calculo PERT'!A64</f>
        <v>1.2.2.1.1</v>
      </c>
      <c r="C65" s="14" t="str">
        <f>'1. Calculo PERT'!C64</f>
        <v>Disenar la estructura del pavimento</v>
      </c>
      <c r="D65" s="14">
        <f>'1. Calculo PERT'!B64</f>
        <v>5</v>
      </c>
      <c r="E65" s="14" t="str">
        <f>'1. Calculo PERT'!D64</f>
        <v>2-Estudios y Disenos</v>
      </c>
      <c r="F65" s="5" t="s">
        <v>251</v>
      </c>
      <c r="G65" s="14">
        <f>VLOOKUP($B65,'2. Red CPM-Ruta Critica'!$A:$F,6,FALSE())</f>
        <v>19</v>
      </c>
      <c r="H65" s="14">
        <f>VLOOKUP($B65,'2. Red CPM-Ruta Critica'!$A:$H,8,FALSE())</f>
        <v>149</v>
      </c>
      <c r="I65" s="14">
        <f>VLOOKUP($B65,'2. Red CPM-Ruta Critica'!$A:$I,9,FALSE())</f>
        <v>168</v>
      </c>
      <c r="J65" s="27">
        <f>'0. Parametros'!$B$3+H65</f>
        <v>45819</v>
      </c>
      <c r="K65" s="27">
        <f>'0. Parametros'!$B$3+I65-1</f>
        <v>45837</v>
      </c>
      <c r="L65" s="14" t="str">
        <f>VLOOKUP($B65,'2. Red CPM-Ruta Critica'!$A:$M,13,FALSE())</f>
        <v>no</v>
      </c>
      <c r="AH65" s="7" t="b">
        <f>ISNUMBER(MATCH($B65,'2. Red CPM-Ruta Critica'!$A:$A,0))</f>
        <v>1</v>
      </c>
    </row>
    <row r="66" spans="1:34" x14ac:dyDescent="0.25">
      <c r="A66" s="7">
        <f t="shared" si="2"/>
        <v>61</v>
      </c>
      <c r="B66" s="14" t="str">
        <f>'1. Calculo PERT'!A65</f>
        <v>1.2.2.1.2</v>
      </c>
      <c r="C66" s="14" t="str">
        <f>'1. Calculo PERT'!C65</f>
        <v>Disenar las mezclas y la formula de trabajo (MDC-25/MDC-19 GCR)</v>
      </c>
      <c r="D66" s="14">
        <f>'1. Calculo PERT'!B65</f>
        <v>5</v>
      </c>
      <c r="E66" s="14" t="str">
        <f>'1. Calculo PERT'!D65</f>
        <v>2-Estudios y Disenos</v>
      </c>
      <c r="F66" s="5" t="s">
        <v>281</v>
      </c>
      <c r="G66" s="14">
        <f>VLOOKUP($B66,'2. Red CPM-Ruta Critica'!$A:$F,6,FALSE())</f>
        <v>16</v>
      </c>
      <c r="H66" s="14">
        <f>VLOOKUP($B66,'2. Red CPM-Ruta Critica'!$A:$H,8,FALSE())</f>
        <v>168</v>
      </c>
      <c r="I66" s="14">
        <f>VLOOKUP($B66,'2. Red CPM-Ruta Critica'!$A:$I,9,FALSE())</f>
        <v>184</v>
      </c>
      <c r="J66" s="27">
        <f>'0. Parametros'!$B$3+H66</f>
        <v>45838</v>
      </c>
      <c r="K66" s="27">
        <f>'0. Parametros'!$B$3+I66-1</f>
        <v>45853</v>
      </c>
      <c r="L66" s="14" t="str">
        <f>VLOOKUP($B66,'2. Red CPM-Ruta Critica'!$A:$M,13,FALSE())</f>
        <v>no</v>
      </c>
      <c r="AH66" s="7" t="b">
        <f>ISNUMBER(MATCH($B66,'2. Red CPM-Ruta Critica'!$A:$A,0))</f>
        <v>1</v>
      </c>
    </row>
    <row r="67" spans="1:34" x14ac:dyDescent="0.25">
      <c r="A67" s="7">
        <f t="shared" si="2"/>
        <v>62</v>
      </c>
      <c r="B67" s="14" t="str">
        <f>'1. Calculo PERT'!A66</f>
        <v>1.2.2.1.3</v>
      </c>
      <c r="C67" s="14" t="str">
        <f>'1. Calculo PERT'!C66</f>
        <v>Aprobar los disenos de pavimento por interventoria</v>
      </c>
      <c r="D67" s="14">
        <f>'1. Calculo PERT'!B66</f>
        <v>5</v>
      </c>
      <c r="E67" s="14" t="str">
        <f>'1. Calculo PERT'!D66</f>
        <v>2-Estudios y Disenos</v>
      </c>
      <c r="F67" s="5" t="s">
        <v>286</v>
      </c>
      <c r="G67" s="14">
        <f>VLOOKUP($B67,'2. Red CPM-Ruta Critica'!$A:$F,6,FALSE())</f>
        <v>11</v>
      </c>
      <c r="H67" s="14">
        <f>VLOOKUP($B67,'2. Red CPM-Ruta Critica'!$A:$H,8,FALSE())</f>
        <v>184</v>
      </c>
      <c r="I67" s="14">
        <f>VLOOKUP($B67,'2. Red CPM-Ruta Critica'!$A:$I,9,FALSE())</f>
        <v>195</v>
      </c>
      <c r="J67" s="27">
        <f>'0. Parametros'!$B$3+H67</f>
        <v>45854</v>
      </c>
      <c r="K67" s="27">
        <f>'0. Parametros'!$B$3+I67-1</f>
        <v>45864</v>
      </c>
      <c r="L67" s="14" t="str">
        <f>VLOOKUP($B67,'2. Red CPM-Ruta Critica'!$A:$M,13,FALSE())</f>
        <v>no</v>
      </c>
      <c r="AH67" s="7" t="b">
        <f>ISNUMBER(MATCH($B67,'2. Red CPM-Ruta Critica'!$A:$A,0))</f>
        <v>1</v>
      </c>
    </row>
    <row r="68" spans="1:34" x14ac:dyDescent="0.25">
      <c r="A68" s="7">
        <f t="shared" si="2"/>
        <v>63</v>
      </c>
      <c r="B68" s="14" t="str">
        <f>'1. Calculo PERT'!A67</f>
        <v>1.2.2.1.4</v>
      </c>
      <c r="C68" s="14" t="str">
        <f>'1. Calculo PERT'!C67</f>
        <v>Disenar la senalizacion y los dispositivos de trafico</v>
      </c>
      <c r="D68" s="14">
        <f>'1. Calculo PERT'!B67</f>
        <v>5</v>
      </c>
      <c r="E68" s="14" t="str">
        <f>'1. Calculo PERT'!D67</f>
        <v>2-Estudios y Disenos</v>
      </c>
      <c r="F68" s="5" t="s">
        <v>286</v>
      </c>
      <c r="G68" s="14">
        <f>VLOOKUP($B68,'2. Red CPM-Ruta Critica'!$A:$F,6,FALSE())</f>
        <v>12</v>
      </c>
      <c r="H68" s="14">
        <f>VLOOKUP($B68,'2. Red CPM-Ruta Critica'!$A:$H,8,FALSE())</f>
        <v>184</v>
      </c>
      <c r="I68" s="14">
        <f>VLOOKUP($B68,'2. Red CPM-Ruta Critica'!$A:$I,9,FALSE())</f>
        <v>196</v>
      </c>
      <c r="J68" s="27">
        <f>'0. Parametros'!$B$3+H68</f>
        <v>45854</v>
      </c>
      <c r="K68" s="27">
        <f>'0. Parametros'!$B$3+I68-1</f>
        <v>45865</v>
      </c>
      <c r="L68" s="14" t="str">
        <f>VLOOKUP($B68,'2. Red CPM-Ruta Critica'!$A:$M,13,FALSE())</f>
        <v>no</v>
      </c>
      <c r="AH68" s="7" t="b">
        <f>ISNUMBER(MATCH($B68,'2. Red CPM-Ruta Critica'!$A:$A,0))</f>
        <v>1</v>
      </c>
    </row>
    <row r="69" spans="1:34" x14ac:dyDescent="0.25">
      <c r="A69" s="7">
        <f t="shared" si="2"/>
        <v>64</v>
      </c>
      <c r="B69" s="14" t="str">
        <f>'1. Calculo PERT'!A68</f>
        <v>1.2.2.1.5</v>
      </c>
      <c r="C69" s="14" t="str">
        <f>'1. Calculo PERT'!C68</f>
        <v>Aprobar el diseno de pavimento final por el IDU</v>
      </c>
      <c r="D69" s="14">
        <f>'1. Calculo PERT'!B68</f>
        <v>5</v>
      </c>
      <c r="E69" s="14" t="str">
        <f>'1. Calculo PERT'!D68</f>
        <v>2-Estudios y Disenos</v>
      </c>
      <c r="F69" s="5" t="s">
        <v>294</v>
      </c>
      <c r="G69" s="14">
        <f>VLOOKUP($B69,'2. Red CPM-Ruta Critica'!$A:$F,6,FALSE())</f>
        <v>10</v>
      </c>
      <c r="H69" s="14">
        <f>VLOOKUP($B69,'2. Red CPM-Ruta Critica'!$A:$H,8,FALSE())</f>
        <v>195</v>
      </c>
      <c r="I69" s="14">
        <f>VLOOKUP($B69,'2. Red CPM-Ruta Critica'!$A:$I,9,FALSE())</f>
        <v>205</v>
      </c>
      <c r="J69" s="27">
        <f>'0. Parametros'!$B$3+H69</f>
        <v>45865</v>
      </c>
      <c r="K69" s="27">
        <f>'0. Parametros'!$B$3+I69-1</f>
        <v>45874</v>
      </c>
      <c r="L69" s="14" t="str">
        <f>VLOOKUP($B69,'2. Red CPM-Ruta Critica'!$A:$M,13,FALSE())</f>
        <v>no</v>
      </c>
      <c r="AH69" s="7" t="b">
        <f>ISNUMBER(MATCH($B69,'2. Red CPM-Ruta Critica'!$A:$A,0))</f>
        <v>1</v>
      </c>
    </row>
    <row r="70" spans="1:34" x14ac:dyDescent="0.25">
      <c r="A70" s="13">
        <f t="shared" ref="A70:A133" si="4">ROW()-5</f>
        <v>65</v>
      </c>
      <c r="B70" s="28" t="str">
        <f>'1. Calculo PERT'!A69</f>
        <v>1.2.2.2</v>
      </c>
      <c r="C70" s="29" t="str">
        <f>'1. Calculo PERT'!C69</f>
        <v>Disenos de redes de servicios publicos (humedas y secas) ajustados</v>
      </c>
      <c r="D70" s="28">
        <f>'1. Calculo PERT'!B69</f>
        <v>4</v>
      </c>
      <c r="E70" s="28" t="str">
        <f>'1. Calculo PERT'!D69</f>
        <v>2-Estudios y Disenos</v>
      </c>
      <c r="F70" s="30"/>
      <c r="G70" s="13">
        <f>I70-H70</f>
        <v>67</v>
      </c>
      <c r="H70" s="13">
        <f t="array" ref="H70">MIN(IF(LEFT('2. Red CPM-Ruta Critica'!$A$5:$A$167,LEN($B70)+1)=$B70&amp;".",'2. Red CPM-Ruta Critica'!$H$5:$H$167))</f>
        <v>197</v>
      </c>
      <c r="I70" s="13">
        <f t="array" ref="I70">MAX(IF(LEFT('2. Red CPM-Ruta Critica'!$A$5:$A$167,LEN($B70)+1)=$B70&amp;".",'2. Red CPM-Ruta Critica'!$I$5:$I$167))</f>
        <v>264</v>
      </c>
      <c r="J70" s="31">
        <f>'0. Parametros'!$B$3+H70</f>
        <v>45867</v>
      </c>
      <c r="K70" s="31">
        <f>'0. Parametros'!$B$3+I70-1</f>
        <v>45933</v>
      </c>
      <c r="L70" s="13"/>
      <c r="AH70" s="7" t="b">
        <f>ISNUMBER(MATCH($B70,'2. Red CPM-Ruta Critica'!$A:$A,0))</f>
        <v>0</v>
      </c>
    </row>
    <row r="71" spans="1:34" x14ac:dyDescent="0.25">
      <c r="A71" s="7">
        <f t="shared" si="4"/>
        <v>66</v>
      </c>
      <c r="B71" s="14" t="str">
        <f>'1. Calculo PERT'!A70</f>
        <v>1.2.2.2.1</v>
      </c>
      <c r="C71" s="14" t="str">
        <f>'1. Calculo PERT'!C70</f>
        <v>Ajustar los disenos de redes humedas con la EAAB</v>
      </c>
      <c r="D71" s="14">
        <f>'1. Calculo PERT'!B70</f>
        <v>5</v>
      </c>
      <c r="E71" s="14" t="str">
        <f>'1. Calculo PERT'!D70</f>
        <v>2-Estudios y Disenos</v>
      </c>
      <c r="F71" s="5" t="s">
        <v>269</v>
      </c>
      <c r="G71" s="14">
        <f>VLOOKUP($B71,'2. Red CPM-Ruta Critica'!$A:$F,6,FALSE())</f>
        <v>22</v>
      </c>
      <c r="H71" s="14">
        <f>VLOOKUP($B71,'2. Red CPM-Ruta Critica'!$A:$H,8,FALSE())</f>
        <v>197</v>
      </c>
      <c r="I71" s="14">
        <f>VLOOKUP($B71,'2. Red CPM-Ruta Critica'!$A:$I,9,FALSE())</f>
        <v>219</v>
      </c>
      <c r="J71" s="27">
        <f>'0. Parametros'!$B$3+H71</f>
        <v>45867</v>
      </c>
      <c r="K71" s="27">
        <f>'0. Parametros'!$B$3+I71-1</f>
        <v>45888</v>
      </c>
      <c r="L71" s="14" t="str">
        <f>VLOOKUP($B71,'2. Red CPM-Ruta Critica'!$A:$M,13,FALSE())</f>
        <v>SI</v>
      </c>
      <c r="AH71" s="7" t="b">
        <f>ISNUMBER(MATCH($B71,'2. Red CPM-Ruta Critica'!$A:$A,0))</f>
        <v>1</v>
      </c>
    </row>
    <row r="72" spans="1:34" x14ac:dyDescent="0.25">
      <c r="A72" s="7">
        <f t="shared" si="4"/>
        <v>67</v>
      </c>
      <c r="B72" s="14" t="str">
        <f>'1. Calculo PERT'!A71</f>
        <v>1.2.2.2.2</v>
      </c>
      <c r="C72" s="14" t="str">
        <f>'1. Calculo PERT'!C71</f>
        <v>Ajustar los disenos de redes secas (energia y telecom)</v>
      </c>
      <c r="D72" s="14">
        <f>'1. Calculo PERT'!B71</f>
        <v>5</v>
      </c>
      <c r="E72" s="14" t="str">
        <f>'1. Calculo PERT'!D71</f>
        <v>2-Estudios y Disenos</v>
      </c>
      <c r="F72" s="5" t="s">
        <v>269</v>
      </c>
      <c r="G72" s="14">
        <f>VLOOKUP($B72,'2. Red CPM-Ruta Critica'!$A:$F,6,FALSE())</f>
        <v>22</v>
      </c>
      <c r="H72" s="14">
        <f>VLOOKUP($B72,'2. Red CPM-Ruta Critica'!$A:$H,8,FALSE())</f>
        <v>197</v>
      </c>
      <c r="I72" s="14">
        <f>VLOOKUP($B72,'2. Red CPM-Ruta Critica'!$A:$I,9,FALSE())</f>
        <v>219</v>
      </c>
      <c r="J72" s="27">
        <f>'0. Parametros'!$B$3+H72</f>
        <v>45867</v>
      </c>
      <c r="K72" s="27">
        <f>'0. Parametros'!$B$3+I72-1</f>
        <v>45888</v>
      </c>
      <c r="L72" s="14" t="str">
        <f>VLOOKUP($B72,'2. Red CPM-Ruta Critica'!$A:$M,13,FALSE())</f>
        <v>SI</v>
      </c>
      <c r="AH72" s="7" t="b">
        <f>ISNUMBER(MATCH($B72,'2. Red CPM-Ruta Critica'!$A:$A,0))</f>
        <v>1</v>
      </c>
    </row>
    <row r="73" spans="1:34" x14ac:dyDescent="0.25">
      <c r="A73" s="7">
        <f t="shared" si="4"/>
        <v>68</v>
      </c>
      <c r="B73" s="14" t="str">
        <f>'1. Calculo PERT'!A72</f>
        <v>1.2.2.2.3</v>
      </c>
      <c r="C73" s="14" t="str">
        <f>'1. Calculo PERT'!C72</f>
        <v>Tramitar la no-objecion de las ESP</v>
      </c>
      <c r="D73" s="14">
        <f>'1. Calculo PERT'!B72</f>
        <v>5</v>
      </c>
      <c r="E73" s="14" t="str">
        <f>'1. Calculo PERT'!D72</f>
        <v>2-Estudios y Disenos</v>
      </c>
      <c r="F73" s="5" t="s">
        <v>307</v>
      </c>
      <c r="G73" s="14">
        <f>VLOOKUP($B73,'2. Red CPM-Ruta Critica'!$A:$F,6,FALSE())</f>
        <v>21</v>
      </c>
      <c r="H73" s="14">
        <f>VLOOKUP($B73,'2. Red CPM-Ruta Critica'!$A:$H,8,FALSE())</f>
        <v>219</v>
      </c>
      <c r="I73" s="14">
        <f>VLOOKUP($B73,'2. Red CPM-Ruta Critica'!$A:$I,9,FALSE())</f>
        <v>240</v>
      </c>
      <c r="J73" s="27">
        <f>'0. Parametros'!$B$3+H73</f>
        <v>45889</v>
      </c>
      <c r="K73" s="27">
        <f>'0. Parametros'!$B$3+I73-1</f>
        <v>45909</v>
      </c>
      <c r="L73" s="14" t="str">
        <f>VLOOKUP($B73,'2. Red CPM-Ruta Critica'!$A:$M,13,FALSE())</f>
        <v>SI</v>
      </c>
      <c r="AH73" s="7" t="b">
        <f>ISNUMBER(MATCH($B73,'2. Red CPM-Ruta Critica'!$A:$A,0))</f>
        <v>1</v>
      </c>
    </row>
    <row r="74" spans="1:34" x14ac:dyDescent="0.25">
      <c r="A74" s="7">
        <f t="shared" si="4"/>
        <v>69</v>
      </c>
      <c r="B74" s="14" t="str">
        <f>'1. Calculo PERT'!A73</f>
        <v>1.2.2.2.4</v>
      </c>
      <c r="C74" s="14" t="str">
        <f>'1. Calculo PERT'!C73</f>
        <v>Compatibilizar con las redes existentes (EAAB/Enel/Vanti)</v>
      </c>
      <c r="D74" s="14">
        <f>'1. Calculo PERT'!B73</f>
        <v>5</v>
      </c>
      <c r="E74" s="14" t="str">
        <f>'1. Calculo PERT'!D73</f>
        <v>2-Estudios y Disenos</v>
      </c>
      <c r="F74" s="5" t="s">
        <v>312</v>
      </c>
      <c r="G74" s="14">
        <f>VLOOKUP($B74,'2. Red CPM-Ruta Critica'!$A:$F,6,FALSE())</f>
        <v>12</v>
      </c>
      <c r="H74" s="14">
        <f>VLOOKUP($B74,'2. Red CPM-Ruta Critica'!$A:$H,8,FALSE())</f>
        <v>240</v>
      </c>
      <c r="I74" s="14">
        <f>VLOOKUP($B74,'2. Red CPM-Ruta Critica'!$A:$I,9,FALSE())</f>
        <v>252</v>
      </c>
      <c r="J74" s="27">
        <f>'0. Parametros'!$B$3+H74</f>
        <v>45910</v>
      </c>
      <c r="K74" s="27">
        <f>'0. Parametros'!$B$3+I74-1</f>
        <v>45921</v>
      </c>
      <c r="L74" s="14" t="str">
        <f>VLOOKUP($B74,'2. Red CPM-Ruta Critica'!$A:$M,13,FALSE())</f>
        <v>SI</v>
      </c>
      <c r="AH74" s="7" t="b">
        <f>ISNUMBER(MATCH($B74,'2. Red CPM-Ruta Critica'!$A:$A,0))</f>
        <v>1</v>
      </c>
    </row>
    <row r="75" spans="1:34" x14ac:dyDescent="0.25">
      <c r="A75" s="7">
        <f t="shared" si="4"/>
        <v>70</v>
      </c>
      <c r="B75" s="14" t="str">
        <f>'1. Calculo PERT'!A74</f>
        <v>1.2.2.2.5</v>
      </c>
      <c r="C75" s="14" t="str">
        <f>'1. Calculo PERT'!C74</f>
        <v>Elaborar planos de detalle y especificaciones de redes</v>
      </c>
      <c r="D75" s="14">
        <f>'1. Calculo PERT'!B74</f>
        <v>5</v>
      </c>
      <c r="E75" s="14" t="str">
        <f>'1. Calculo PERT'!D74</f>
        <v>2-Estudios y Disenos</v>
      </c>
      <c r="F75" s="5" t="s">
        <v>317</v>
      </c>
      <c r="G75" s="14">
        <f>VLOOKUP($B75,'2. Red CPM-Ruta Critica'!$A:$F,6,FALSE())</f>
        <v>12</v>
      </c>
      <c r="H75" s="14">
        <f>VLOOKUP($B75,'2. Red CPM-Ruta Critica'!$A:$H,8,FALSE())</f>
        <v>252</v>
      </c>
      <c r="I75" s="14">
        <f>VLOOKUP($B75,'2. Red CPM-Ruta Critica'!$A:$I,9,FALSE())</f>
        <v>264</v>
      </c>
      <c r="J75" s="27">
        <f>'0. Parametros'!$B$3+H75</f>
        <v>45922</v>
      </c>
      <c r="K75" s="27">
        <f>'0. Parametros'!$B$3+I75-1</f>
        <v>45933</v>
      </c>
      <c r="L75" s="14" t="str">
        <f>VLOOKUP($B75,'2. Red CPM-Ruta Critica'!$A:$M,13,FALSE())</f>
        <v>SI</v>
      </c>
      <c r="AH75" s="7" t="b">
        <f>ISNUMBER(MATCH($B75,'2. Red CPM-Ruta Critica'!$A:$A,0))</f>
        <v>1</v>
      </c>
    </row>
    <row r="76" spans="1:34" x14ac:dyDescent="0.25">
      <c r="A76" s="13">
        <f t="shared" si="4"/>
        <v>71</v>
      </c>
      <c r="B76" s="28" t="str">
        <f>'1. Calculo PERT'!A75</f>
        <v>1.2.2.3</v>
      </c>
      <c r="C76" s="29" t="str">
        <f>'1. Calculo PERT'!C75</f>
        <v>Modelado BIM de la infraestructura proyectada</v>
      </c>
      <c r="D76" s="28">
        <f>'1. Calculo PERT'!B75</f>
        <v>4</v>
      </c>
      <c r="E76" s="28" t="str">
        <f>'1. Calculo PERT'!D75</f>
        <v>2-Estudios y Disenos</v>
      </c>
      <c r="F76" s="30"/>
      <c r="G76" s="13">
        <f>I76-H76</f>
        <v>62</v>
      </c>
      <c r="H76" s="13">
        <f t="array" ref="H76">MIN(IF(LEFT('2. Red CPM-Ruta Critica'!$A$5:$A$167,LEN($B76)+1)=$B76&amp;".",'2. Red CPM-Ruta Critica'!$H$5:$H$167))</f>
        <v>195</v>
      </c>
      <c r="I76" s="13">
        <f t="array" ref="I76">MAX(IF(LEFT('2. Red CPM-Ruta Critica'!$A$5:$A$167,LEN($B76)+1)=$B76&amp;".",'2. Red CPM-Ruta Critica'!$I$5:$I$167))</f>
        <v>257</v>
      </c>
      <c r="J76" s="31">
        <f>'0. Parametros'!$B$3+H76</f>
        <v>45865</v>
      </c>
      <c r="K76" s="31">
        <f>'0. Parametros'!$B$3+I76-1</f>
        <v>45926</v>
      </c>
      <c r="L76" s="13"/>
      <c r="AH76" s="7" t="b">
        <f>ISNUMBER(MATCH($B76,'2. Red CPM-Ruta Critica'!$A:$A,0))</f>
        <v>0</v>
      </c>
    </row>
    <row r="77" spans="1:34" x14ac:dyDescent="0.25">
      <c r="A77" s="7">
        <f t="shared" si="4"/>
        <v>72</v>
      </c>
      <c r="B77" s="14" t="str">
        <f>'1. Calculo PERT'!A76</f>
        <v>1.2.2.3.1</v>
      </c>
      <c r="C77" s="14" t="str">
        <f>'1. Calculo PERT'!C76</f>
        <v>Desarrollar los modelos BIM por disciplina</v>
      </c>
      <c r="D77" s="14">
        <f>'1. Calculo PERT'!B76</f>
        <v>5</v>
      </c>
      <c r="E77" s="14" t="str">
        <f>'1. Calculo PERT'!D76</f>
        <v>2-Estudios y Disenos</v>
      </c>
      <c r="F77" s="5" t="s">
        <v>294</v>
      </c>
      <c r="G77" s="14">
        <f>VLOOKUP($B77,'2. Red CPM-Ruta Critica'!$A:$F,6,FALSE())</f>
        <v>19</v>
      </c>
      <c r="H77" s="14">
        <f>VLOOKUP($B77,'2. Red CPM-Ruta Critica'!$A:$H,8,FALSE())</f>
        <v>195</v>
      </c>
      <c r="I77" s="14">
        <f>VLOOKUP($B77,'2. Red CPM-Ruta Critica'!$A:$I,9,FALSE())</f>
        <v>214</v>
      </c>
      <c r="J77" s="27">
        <f>'0. Parametros'!$B$3+H77</f>
        <v>45865</v>
      </c>
      <c r="K77" s="27">
        <f>'0. Parametros'!$B$3+I77-1</f>
        <v>45883</v>
      </c>
      <c r="L77" s="14" t="str">
        <f>VLOOKUP($B77,'2. Red CPM-Ruta Critica'!$A:$M,13,FALSE())</f>
        <v>no</v>
      </c>
      <c r="AH77" s="7" t="b">
        <f>ISNUMBER(MATCH($B77,'2. Red CPM-Ruta Critica'!$A:$A,0))</f>
        <v>1</v>
      </c>
    </row>
    <row r="78" spans="1:34" x14ac:dyDescent="0.25">
      <c r="A78" s="7">
        <f t="shared" si="4"/>
        <v>73</v>
      </c>
      <c r="B78" s="14" t="str">
        <f>'1. Calculo PERT'!A77</f>
        <v>1.2.2.3.2</v>
      </c>
      <c r="C78" s="14" t="str">
        <f>'1. Calculo PERT'!C77</f>
        <v>Coordinar y detectar interferencias</v>
      </c>
      <c r="D78" s="14">
        <f>'1. Calculo PERT'!B77</f>
        <v>5</v>
      </c>
      <c r="E78" s="14" t="str">
        <f>'1. Calculo PERT'!D77</f>
        <v>2-Estudios y Disenos</v>
      </c>
      <c r="F78" s="5" t="s">
        <v>327</v>
      </c>
      <c r="G78" s="14">
        <f>VLOOKUP($B78,'2. Red CPM-Ruta Critica'!$A:$F,6,FALSE())</f>
        <v>13</v>
      </c>
      <c r="H78" s="14">
        <f>VLOOKUP($B78,'2. Red CPM-Ruta Critica'!$A:$H,8,FALSE())</f>
        <v>214</v>
      </c>
      <c r="I78" s="14">
        <f>VLOOKUP($B78,'2. Red CPM-Ruta Critica'!$A:$I,9,FALSE())</f>
        <v>227</v>
      </c>
      <c r="J78" s="27">
        <f>'0. Parametros'!$B$3+H78</f>
        <v>45884</v>
      </c>
      <c r="K78" s="27">
        <f>'0. Parametros'!$B$3+I78-1</f>
        <v>45896</v>
      </c>
      <c r="L78" s="14" t="str">
        <f>VLOOKUP($B78,'2. Red CPM-Ruta Critica'!$A:$M,13,FALSE())</f>
        <v>no</v>
      </c>
      <c r="AH78" s="7" t="b">
        <f>ISNUMBER(MATCH($B78,'2. Red CPM-Ruta Critica'!$A:$A,0))</f>
        <v>1</v>
      </c>
    </row>
    <row r="79" spans="1:34" x14ac:dyDescent="0.25">
      <c r="A79" s="7">
        <f t="shared" si="4"/>
        <v>74</v>
      </c>
      <c r="B79" s="14" t="str">
        <f>'1. Calculo PERT'!A78</f>
        <v>1.2.2.3.3</v>
      </c>
      <c r="C79" s="14" t="str">
        <f>'1. Calculo PERT'!C78</f>
        <v>Entregar el modelo federado y la documentacion</v>
      </c>
      <c r="D79" s="14">
        <f>'1. Calculo PERT'!B78</f>
        <v>5</v>
      </c>
      <c r="E79" s="14" t="str">
        <f>'1. Calculo PERT'!D78</f>
        <v>2-Estudios y Disenos</v>
      </c>
      <c r="F79" s="5" t="s">
        <v>332</v>
      </c>
      <c r="G79" s="14">
        <f>VLOOKUP($B79,'2. Red CPM-Ruta Critica'!$A:$F,6,FALSE())</f>
        <v>10</v>
      </c>
      <c r="H79" s="14">
        <f>VLOOKUP($B79,'2. Red CPM-Ruta Critica'!$A:$H,8,FALSE())</f>
        <v>227</v>
      </c>
      <c r="I79" s="14">
        <f>VLOOKUP($B79,'2. Red CPM-Ruta Critica'!$A:$I,9,FALSE())</f>
        <v>237</v>
      </c>
      <c r="J79" s="27">
        <f>'0. Parametros'!$B$3+H79</f>
        <v>45897</v>
      </c>
      <c r="K79" s="27">
        <f>'0. Parametros'!$B$3+I79-1</f>
        <v>45906</v>
      </c>
      <c r="L79" s="14" t="str">
        <f>VLOOKUP($B79,'2. Red CPM-Ruta Critica'!$A:$M,13,FALSE())</f>
        <v>no</v>
      </c>
      <c r="AH79" s="7" t="b">
        <f>ISNUMBER(MATCH($B79,'2. Red CPM-Ruta Critica'!$A:$A,0))</f>
        <v>1</v>
      </c>
    </row>
    <row r="80" spans="1:34" x14ac:dyDescent="0.25">
      <c r="A80" s="7">
        <f t="shared" si="4"/>
        <v>75</v>
      </c>
      <c r="B80" s="14" t="str">
        <f>'1. Calculo PERT'!A79</f>
        <v>1.2.2.3.4</v>
      </c>
      <c r="C80" s="14" t="str">
        <f>'1. Calculo PERT'!C79</f>
        <v>Cuantificar las cantidades desde el modelo BIM</v>
      </c>
      <c r="D80" s="14">
        <f>'1. Calculo PERT'!B79</f>
        <v>5</v>
      </c>
      <c r="E80" s="14" t="str">
        <f>'1. Calculo PERT'!D79</f>
        <v>2-Estudios y Disenos</v>
      </c>
      <c r="F80" s="5" t="s">
        <v>337</v>
      </c>
      <c r="G80" s="14">
        <f>VLOOKUP($B80,'2. Red CPM-Ruta Critica'!$A:$F,6,FALSE())</f>
        <v>10</v>
      </c>
      <c r="H80" s="14">
        <f>VLOOKUP($B80,'2. Red CPM-Ruta Critica'!$A:$H,8,FALSE())</f>
        <v>237</v>
      </c>
      <c r="I80" s="14">
        <f>VLOOKUP($B80,'2. Red CPM-Ruta Critica'!$A:$I,9,FALSE())</f>
        <v>247</v>
      </c>
      <c r="J80" s="27">
        <f>'0. Parametros'!$B$3+H80</f>
        <v>45907</v>
      </c>
      <c r="K80" s="27">
        <f>'0. Parametros'!$B$3+I80-1</f>
        <v>45916</v>
      </c>
      <c r="L80" s="14" t="str">
        <f>VLOOKUP($B80,'2. Red CPM-Ruta Critica'!$A:$M,13,FALSE())</f>
        <v>no</v>
      </c>
      <c r="AH80" s="7" t="b">
        <f>ISNUMBER(MATCH($B80,'2. Red CPM-Ruta Critica'!$A:$A,0))</f>
        <v>1</v>
      </c>
    </row>
    <row r="81" spans="1:34" x14ac:dyDescent="0.25">
      <c r="A81" s="7">
        <f t="shared" si="4"/>
        <v>76</v>
      </c>
      <c r="B81" s="14" t="str">
        <f>'1. Calculo PERT'!A80</f>
        <v>1.2.2.3.5</v>
      </c>
      <c r="C81" s="14" t="str">
        <f>'1. Calculo PERT'!C80</f>
        <v>Vincular el modelo BIM al cronograma (4D)</v>
      </c>
      <c r="D81" s="14">
        <f>'1. Calculo PERT'!B80</f>
        <v>5</v>
      </c>
      <c r="E81" s="14" t="str">
        <f>'1. Calculo PERT'!D80</f>
        <v>2-Estudios y Disenos</v>
      </c>
      <c r="F81" s="5" t="s">
        <v>342</v>
      </c>
      <c r="G81" s="14">
        <f>VLOOKUP($B81,'2. Red CPM-Ruta Critica'!$A:$F,6,FALSE())</f>
        <v>10</v>
      </c>
      <c r="H81" s="14">
        <f>VLOOKUP($B81,'2. Red CPM-Ruta Critica'!$A:$H,8,FALSE())</f>
        <v>247</v>
      </c>
      <c r="I81" s="14">
        <f>VLOOKUP($B81,'2. Red CPM-Ruta Critica'!$A:$I,9,FALSE())</f>
        <v>257</v>
      </c>
      <c r="J81" s="27">
        <f>'0. Parametros'!$B$3+H81</f>
        <v>45917</v>
      </c>
      <c r="K81" s="27">
        <f>'0. Parametros'!$B$3+I81-1</f>
        <v>45926</v>
      </c>
      <c r="L81" s="14" t="str">
        <f>VLOOKUP($B81,'2. Red CPM-Ruta Critica'!$A:$M,13,FALSE())</f>
        <v>no</v>
      </c>
      <c r="AH81" s="7" t="b">
        <f>ISNUMBER(MATCH($B81,'2. Red CPM-Ruta Critica'!$A:$A,0))</f>
        <v>1</v>
      </c>
    </row>
    <row r="82" spans="1:34" x14ac:dyDescent="0.25">
      <c r="A82" s="7">
        <f t="shared" si="4"/>
        <v>77</v>
      </c>
      <c r="B82" s="14" t="str">
        <f>'1. Calculo PERT'!A81</f>
        <v>1.2.3</v>
      </c>
      <c r="C82" s="14" t="str">
        <f>'1. Calculo PERT'!C81</f>
        <v>Suscribir el acta de cambio de fase (Estudios -&gt; Construccion)</v>
      </c>
      <c r="D82" s="14">
        <f>'1. Calculo PERT'!B81</f>
        <v>3</v>
      </c>
      <c r="E82" s="14" t="str">
        <f>'1. Calculo PERT'!D81</f>
        <v>2-Estudios y Disenos</v>
      </c>
      <c r="F82" s="5" t="s">
        <v>348</v>
      </c>
      <c r="G82" s="14">
        <f>VLOOKUP($B82,'2. Red CPM-Ruta Critica'!$A:$F,6,FALSE())</f>
        <v>6</v>
      </c>
      <c r="H82" s="14">
        <f>VLOOKUP($B82,'2. Red CPM-Ruta Critica'!$A:$H,8,FALSE())</f>
        <v>264</v>
      </c>
      <c r="I82" s="14">
        <f>VLOOKUP($B82,'2. Red CPM-Ruta Critica'!$A:$I,9,FALSE())</f>
        <v>270</v>
      </c>
      <c r="J82" s="27">
        <f>'0. Parametros'!$B$3+H82</f>
        <v>45934</v>
      </c>
      <c r="K82" s="27">
        <f>'0. Parametros'!$B$3+I82-1</f>
        <v>45939</v>
      </c>
      <c r="L82" s="14" t="str">
        <f>VLOOKUP($B82,'2. Red CPM-Ruta Critica'!$A:$M,13,FALSE())</f>
        <v>SI</v>
      </c>
      <c r="AH82" s="7" t="b">
        <f>ISNUMBER(MATCH($B82,'2. Red CPM-Ruta Critica'!$A:$A,0))</f>
        <v>1</v>
      </c>
    </row>
    <row r="83" spans="1:34" x14ac:dyDescent="0.25">
      <c r="A83" s="7">
        <f t="shared" si="4"/>
        <v>78</v>
      </c>
      <c r="B83" s="14" t="str">
        <f>'1. Calculo PERT'!A82</f>
        <v>1.2.8</v>
      </c>
      <c r="C83" s="14" t="str">
        <f>'1. Calculo PERT'!C82</f>
        <v>Hito: Aprobacion de estudios y disenos por las ESP de Bogota (EAAB, Enel-Codensa, Vanti)</v>
      </c>
      <c r="D83" s="14">
        <f>'1. Calculo PERT'!B82</f>
        <v>3</v>
      </c>
      <c r="E83" s="14" t="str">
        <f>'1. Calculo PERT'!D82</f>
        <v>2-Estudios y Disenos</v>
      </c>
      <c r="F83" s="5" t="s">
        <v>352</v>
      </c>
      <c r="G83" s="14">
        <f>VLOOKUP($B83,'2. Red CPM-Ruta Critica'!$A:$F,6,FALSE())</f>
        <v>0</v>
      </c>
      <c r="H83" s="14">
        <f>VLOOKUP($B83,'2. Red CPM-Ruta Critica'!$A:$H,8,FALSE())</f>
        <v>264</v>
      </c>
      <c r="I83" s="14">
        <f>VLOOKUP($B83,'2. Red CPM-Ruta Critica'!$A:$I,9,FALSE())</f>
        <v>264</v>
      </c>
      <c r="J83" s="27">
        <f>'0. Parametros'!$B$3+I83-1</f>
        <v>45933</v>
      </c>
      <c r="K83" s="27">
        <f>'0. Parametros'!$B$3+I83-1</f>
        <v>45933</v>
      </c>
      <c r="L83" s="14" t="str">
        <f>VLOOKUP($B83,'2. Red CPM-Ruta Critica'!$A:$M,13,FALSE())</f>
        <v>SI</v>
      </c>
      <c r="M83" s="32" t="str">
        <f t="shared" ref="M83:V84" si="5">IF(AND($I83&gt;(M$4-1)*30,$I83&lt;=M$4*30),"X","")</f>
        <v/>
      </c>
      <c r="N83" s="32" t="str">
        <f t="shared" si="5"/>
        <v/>
      </c>
      <c r="O83" s="32" t="str">
        <f t="shared" si="5"/>
        <v/>
      </c>
      <c r="P83" s="32" t="str">
        <f t="shared" si="5"/>
        <v/>
      </c>
      <c r="Q83" s="32" t="str">
        <f t="shared" si="5"/>
        <v/>
      </c>
      <c r="R83" s="32" t="str">
        <f t="shared" si="5"/>
        <v/>
      </c>
      <c r="S83" s="32" t="str">
        <f t="shared" si="5"/>
        <v/>
      </c>
      <c r="T83" s="32" t="str">
        <f t="shared" si="5"/>
        <v/>
      </c>
      <c r="U83" s="32" t="str">
        <f t="shared" si="5"/>
        <v>X</v>
      </c>
      <c r="V83" s="32" t="str">
        <f t="shared" si="5"/>
        <v/>
      </c>
      <c r="W83" s="32" t="str">
        <f t="shared" ref="W83:AG84" si="6">IF(AND($I83&gt;(W$4-1)*30,$I83&lt;=W$4*30),"X","")</f>
        <v/>
      </c>
      <c r="X83" s="32" t="str">
        <f t="shared" si="6"/>
        <v/>
      </c>
      <c r="Y83" s="32" t="str">
        <f t="shared" si="6"/>
        <v/>
      </c>
      <c r="Z83" s="32" t="str">
        <f t="shared" si="6"/>
        <v/>
      </c>
      <c r="AA83" s="32" t="str">
        <f t="shared" si="6"/>
        <v/>
      </c>
      <c r="AB83" s="32" t="str">
        <f t="shared" si="6"/>
        <v/>
      </c>
      <c r="AC83" s="32" t="str">
        <f t="shared" si="6"/>
        <v/>
      </c>
      <c r="AD83" s="32" t="str">
        <f t="shared" si="6"/>
        <v/>
      </c>
      <c r="AE83" s="32" t="str">
        <f t="shared" si="6"/>
        <v/>
      </c>
      <c r="AF83" s="32" t="str">
        <f t="shared" si="6"/>
        <v/>
      </c>
      <c r="AG83" s="32" t="str">
        <f t="shared" si="6"/>
        <v/>
      </c>
      <c r="AH83" s="7" t="b">
        <f>ISNUMBER(MATCH($B83,'2. Red CPM-Ruta Critica'!$A:$A,0))</f>
        <v>1</v>
      </c>
    </row>
    <row r="84" spans="1:34" x14ac:dyDescent="0.25">
      <c r="A84" s="7">
        <f t="shared" si="4"/>
        <v>79</v>
      </c>
      <c r="B84" s="14" t="str">
        <f>'1. Calculo PERT'!A83</f>
        <v>1.2.9</v>
      </c>
      <c r="C84" s="14" t="str">
        <f>'1. Calculo PERT'!C83</f>
        <v>Hito: Inicio de Construccion</v>
      </c>
      <c r="D84" s="14">
        <f>'1. Calculo PERT'!B83</f>
        <v>3</v>
      </c>
      <c r="E84" s="14" t="str">
        <f>'1. Calculo PERT'!D83</f>
        <v>2-Estudios y Disenos</v>
      </c>
      <c r="F84" s="5" t="s">
        <v>356</v>
      </c>
      <c r="G84" s="14">
        <f>VLOOKUP($B84,'2. Red CPM-Ruta Critica'!$A:$F,6,FALSE())</f>
        <v>0</v>
      </c>
      <c r="H84" s="14">
        <f>VLOOKUP($B84,'2. Red CPM-Ruta Critica'!$A:$H,8,FALSE())</f>
        <v>270</v>
      </c>
      <c r="I84" s="14">
        <f>VLOOKUP($B84,'2. Red CPM-Ruta Critica'!$A:$I,9,FALSE())</f>
        <v>270</v>
      </c>
      <c r="J84" s="27">
        <f>'0. Parametros'!$B$3+I84-1</f>
        <v>45939</v>
      </c>
      <c r="K84" s="27">
        <f>'0. Parametros'!$B$3+I84-1</f>
        <v>45939</v>
      </c>
      <c r="L84" s="14" t="str">
        <f>VLOOKUP($B84,'2. Red CPM-Ruta Critica'!$A:$M,13,FALSE())</f>
        <v>no</v>
      </c>
      <c r="M84" s="32" t="str">
        <f t="shared" si="5"/>
        <v/>
      </c>
      <c r="N84" s="32" t="str">
        <f t="shared" si="5"/>
        <v/>
      </c>
      <c r="O84" s="32" t="str">
        <f t="shared" si="5"/>
        <v/>
      </c>
      <c r="P84" s="32" t="str">
        <f t="shared" si="5"/>
        <v/>
      </c>
      <c r="Q84" s="32" t="str">
        <f t="shared" si="5"/>
        <v/>
      </c>
      <c r="R84" s="32" t="str">
        <f t="shared" si="5"/>
        <v/>
      </c>
      <c r="S84" s="32" t="str">
        <f t="shared" si="5"/>
        <v/>
      </c>
      <c r="T84" s="32" t="str">
        <f t="shared" si="5"/>
        <v/>
      </c>
      <c r="U84" s="32" t="str">
        <f t="shared" si="5"/>
        <v>X</v>
      </c>
      <c r="V84" s="32" t="str">
        <f t="shared" si="5"/>
        <v/>
      </c>
      <c r="W84" s="32" t="str">
        <f t="shared" si="6"/>
        <v/>
      </c>
      <c r="X84" s="32" t="str">
        <f t="shared" si="6"/>
        <v/>
      </c>
      <c r="Y84" s="32" t="str">
        <f t="shared" si="6"/>
        <v/>
      </c>
      <c r="Z84" s="32" t="str">
        <f t="shared" si="6"/>
        <v/>
      </c>
      <c r="AA84" s="32" t="str">
        <f t="shared" si="6"/>
        <v/>
      </c>
      <c r="AB84" s="32" t="str">
        <f t="shared" si="6"/>
        <v/>
      </c>
      <c r="AC84" s="32" t="str">
        <f t="shared" si="6"/>
        <v/>
      </c>
      <c r="AD84" s="32" t="str">
        <f t="shared" si="6"/>
        <v/>
      </c>
      <c r="AE84" s="32" t="str">
        <f t="shared" si="6"/>
        <v/>
      </c>
      <c r="AF84" s="32" t="str">
        <f t="shared" si="6"/>
        <v/>
      </c>
      <c r="AG84" s="32" t="str">
        <f t="shared" si="6"/>
        <v/>
      </c>
      <c r="AH84" s="7" t="b">
        <f>ISNUMBER(MATCH($B84,'2. Red CPM-Ruta Critica'!$A:$A,0))</f>
        <v>1</v>
      </c>
    </row>
    <row r="85" spans="1:34" x14ac:dyDescent="0.25">
      <c r="A85" s="11">
        <f t="shared" si="4"/>
        <v>80</v>
      </c>
      <c r="B85" s="23" t="str">
        <f>'1. Calculo PERT'!A84</f>
        <v>1.3</v>
      </c>
      <c r="C85" s="24" t="str">
        <f>'1. Calculo PERT'!C84</f>
        <v>Fase: Construccion de Obra Civil</v>
      </c>
      <c r="D85" s="23">
        <f>'1. Calculo PERT'!B84</f>
        <v>2</v>
      </c>
      <c r="E85" s="23" t="str">
        <f>'1. Calculo PERT'!D84</f>
        <v>3-Construccion</v>
      </c>
      <c r="F85" s="25"/>
      <c r="G85" s="11">
        <f>I85-H85</f>
        <v>300</v>
      </c>
      <c r="H85" s="11">
        <f t="array" ref="H85">MIN(IF(LEFT('2. Red CPM-Ruta Critica'!$A$5:$A$167,LEN($B85)+1)=$B85&amp;".",'2. Red CPM-Ruta Critica'!$H$5:$H$167))</f>
        <v>270</v>
      </c>
      <c r="I85" s="11">
        <f t="array" ref="I85">MAX(IF(LEFT('2. Red CPM-Ruta Critica'!$A$5:$A$167,LEN($B85)+1)=$B85&amp;".",'2. Red CPM-Ruta Critica'!$I$5:$I$167))</f>
        <v>570</v>
      </c>
      <c r="J85" s="26">
        <f>'0. Parametros'!$B$3+H85</f>
        <v>45940</v>
      </c>
      <c r="K85" s="26">
        <f>'0. Parametros'!$B$3+I85-1</f>
        <v>46239</v>
      </c>
      <c r="L85" s="11"/>
      <c r="AH85" s="7" t="b">
        <f>ISNUMBER(MATCH($B85,'2. Red CPM-Ruta Critica'!$A:$A,0))</f>
        <v>0</v>
      </c>
    </row>
    <row r="86" spans="1:34" x14ac:dyDescent="0.25">
      <c r="A86" s="13">
        <f t="shared" si="4"/>
        <v>81</v>
      </c>
      <c r="B86" s="28" t="str">
        <f>'1. Calculo PERT'!A85</f>
        <v>1.3.1</v>
      </c>
      <c r="C86" s="29" t="str">
        <f>'1. Calculo PERT'!C85</f>
        <v>Cuenta de control: Infraestructura de Redes de Servicios</v>
      </c>
      <c r="D86" s="28">
        <f>'1. Calculo PERT'!B85</f>
        <v>3</v>
      </c>
      <c r="E86" s="28" t="str">
        <f>'1. Calculo PERT'!D85</f>
        <v>3-Construccion</v>
      </c>
      <c r="F86" s="30"/>
      <c r="G86" s="13">
        <f>I86-H86</f>
        <v>149</v>
      </c>
      <c r="H86" s="13">
        <f t="array" ref="H86">MIN(IF(LEFT('2. Red CPM-Ruta Critica'!$A$5:$A$167,LEN($B86)+1)=$B86&amp;".",'2. Red CPM-Ruta Critica'!$H$5:$H$167))</f>
        <v>270</v>
      </c>
      <c r="I86" s="13">
        <f t="array" ref="I86">MAX(IF(LEFT('2. Red CPM-Ruta Critica'!$A$5:$A$167,LEN($B86)+1)=$B86&amp;".",'2. Red CPM-Ruta Critica'!$I$5:$I$167))</f>
        <v>419</v>
      </c>
      <c r="J86" s="31">
        <f>'0. Parametros'!$B$3+H86</f>
        <v>45940</v>
      </c>
      <c r="K86" s="31">
        <f>'0. Parametros'!$B$3+I86-1</f>
        <v>46088</v>
      </c>
      <c r="L86" s="13"/>
      <c r="AH86" s="7" t="b">
        <f>ISNUMBER(MATCH($B86,'2. Red CPM-Ruta Critica'!$A:$A,0))</f>
        <v>0</v>
      </c>
    </row>
    <row r="87" spans="1:34" x14ac:dyDescent="0.25">
      <c r="A87" s="13">
        <f t="shared" si="4"/>
        <v>82</v>
      </c>
      <c r="B87" s="28" t="str">
        <f>'1. Calculo PERT'!A86</f>
        <v>1.3.1.1</v>
      </c>
      <c r="C87" s="29" t="str">
        <f>'1. Calculo PERT'!C86</f>
        <v>Redes hidrosanitarias (humedas) renovadas y probadas</v>
      </c>
      <c r="D87" s="28">
        <f>'1. Calculo PERT'!B86</f>
        <v>4</v>
      </c>
      <c r="E87" s="28" t="str">
        <f>'1. Calculo PERT'!D86</f>
        <v>3-Construccion</v>
      </c>
      <c r="F87" s="30"/>
      <c r="G87" s="13">
        <f>I87-H87</f>
        <v>149</v>
      </c>
      <c r="H87" s="13">
        <f t="array" ref="H87">MIN(IF(LEFT('2. Red CPM-Ruta Critica'!$A$5:$A$167,LEN($B87)+1)=$B87&amp;".",'2. Red CPM-Ruta Critica'!$H$5:$H$167))</f>
        <v>270</v>
      </c>
      <c r="I87" s="13">
        <f t="array" ref="I87">MAX(IF(LEFT('2. Red CPM-Ruta Critica'!$A$5:$A$167,LEN($B87)+1)=$B87&amp;".",'2. Red CPM-Ruta Critica'!$I$5:$I$167))</f>
        <v>419</v>
      </c>
      <c r="J87" s="31">
        <f>'0. Parametros'!$B$3+H87</f>
        <v>45940</v>
      </c>
      <c r="K87" s="31">
        <f>'0. Parametros'!$B$3+I87-1</f>
        <v>46088</v>
      </c>
      <c r="L87" s="13"/>
      <c r="AH87" s="7" t="b">
        <f>ISNUMBER(MATCH($B87,'2. Red CPM-Ruta Critica'!$A:$A,0))</f>
        <v>0</v>
      </c>
    </row>
    <row r="88" spans="1:34" x14ac:dyDescent="0.25">
      <c r="A88" s="7">
        <f t="shared" si="4"/>
        <v>83</v>
      </c>
      <c r="B88" s="14" t="str">
        <f>'1. Calculo PERT'!A87</f>
        <v>1.3.1.1.0</v>
      </c>
      <c r="C88" s="14" t="str">
        <f>'1. Calculo PERT'!C87</f>
        <v>Instalar el campamento de obra (preliminares)</v>
      </c>
      <c r="D88" s="14">
        <f>'1. Calculo PERT'!B87</f>
        <v>5</v>
      </c>
      <c r="E88" s="14" t="str">
        <f>'1. Calculo PERT'!D87</f>
        <v>3-Construccion</v>
      </c>
      <c r="F88" s="5" t="s">
        <v>356</v>
      </c>
      <c r="G88" s="14">
        <f>VLOOKUP($B88,'2. Red CPM-Ruta Critica'!$A:$F,6,FALSE())</f>
        <v>6</v>
      </c>
      <c r="H88" s="14">
        <f>VLOOKUP($B88,'2. Red CPM-Ruta Critica'!$A:$H,8,FALSE())</f>
        <v>270</v>
      </c>
      <c r="I88" s="14">
        <f>VLOOKUP($B88,'2. Red CPM-Ruta Critica'!$A:$I,9,FALSE())</f>
        <v>276</v>
      </c>
      <c r="J88" s="27">
        <f>'0. Parametros'!$B$3+H88</f>
        <v>45940</v>
      </c>
      <c r="K88" s="27">
        <f>'0. Parametros'!$B$3+I88-1</f>
        <v>45945</v>
      </c>
      <c r="L88" s="14" t="str">
        <f>VLOOKUP($B88,'2. Red CPM-Ruta Critica'!$A:$M,13,FALSE())</f>
        <v>SI</v>
      </c>
      <c r="AH88" s="7" t="b">
        <f>ISNUMBER(MATCH($B88,'2. Red CPM-Ruta Critica'!$A:$A,0))</f>
        <v>1</v>
      </c>
    </row>
    <row r="89" spans="1:34" x14ac:dyDescent="0.25">
      <c r="A89" s="7">
        <f t="shared" si="4"/>
        <v>84</v>
      </c>
      <c r="B89" s="14" t="str">
        <f>'1. Calculo PERT'!A88</f>
        <v>1.3.1.1.1</v>
      </c>
      <c r="C89" s="14" t="str">
        <f>'1. Calculo PERT'!C88</f>
        <v>Trasladar insumos y maquinaria a obra (preliminares)</v>
      </c>
      <c r="D89" s="14">
        <f>'1. Calculo PERT'!B88</f>
        <v>5</v>
      </c>
      <c r="E89" s="14" t="str">
        <f>'1. Calculo PERT'!D88</f>
        <v>3-Construccion</v>
      </c>
      <c r="F89" s="5" t="s">
        <v>373</v>
      </c>
      <c r="G89" s="14">
        <f>VLOOKUP($B89,'2. Red CPM-Ruta Critica'!$A:$F,6,FALSE())</f>
        <v>5</v>
      </c>
      <c r="H89" s="14">
        <f>VLOOKUP($B89,'2. Red CPM-Ruta Critica'!$A:$H,8,FALSE())</f>
        <v>276</v>
      </c>
      <c r="I89" s="14">
        <f>VLOOKUP($B89,'2. Red CPM-Ruta Critica'!$A:$I,9,FALSE())</f>
        <v>281</v>
      </c>
      <c r="J89" s="27">
        <f>'0. Parametros'!$B$3+H89</f>
        <v>45946</v>
      </c>
      <c r="K89" s="27">
        <f>'0. Parametros'!$B$3+I89-1</f>
        <v>45950</v>
      </c>
      <c r="L89" s="14" t="str">
        <f>VLOOKUP($B89,'2. Red CPM-Ruta Critica'!$A:$M,13,FALSE())</f>
        <v>SI</v>
      </c>
      <c r="AH89" s="7" t="b">
        <f>ISNUMBER(MATCH($B89,'2. Red CPM-Ruta Critica'!$A:$A,0))</f>
        <v>1</v>
      </c>
    </row>
    <row r="90" spans="1:34" x14ac:dyDescent="0.25">
      <c r="A90" s="7">
        <f t="shared" si="4"/>
        <v>85</v>
      </c>
      <c r="B90" s="14" t="str">
        <f>'1. Calculo PERT'!A89</f>
        <v>1.3.1.1.2</v>
      </c>
      <c r="C90" s="14" t="str">
        <f>'1. Calculo PERT'!C89</f>
        <v>Localizar y replantear topograficamente la via (preliminares)</v>
      </c>
      <c r="D90" s="14">
        <f>'1. Calculo PERT'!B89</f>
        <v>5</v>
      </c>
      <c r="E90" s="14" t="str">
        <f>'1. Calculo PERT'!D89</f>
        <v>3-Construccion</v>
      </c>
      <c r="F90" s="5" t="s">
        <v>378</v>
      </c>
      <c r="G90" s="14">
        <f>VLOOKUP($B90,'2. Red CPM-Ruta Critica'!$A:$F,6,FALSE())</f>
        <v>6</v>
      </c>
      <c r="H90" s="14">
        <f>VLOOKUP($B90,'2. Red CPM-Ruta Critica'!$A:$H,8,FALSE())</f>
        <v>281</v>
      </c>
      <c r="I90" s="14">
        <f>VLOOKUP($B90,'2. Red CPM-Ruta Critica'!$A:$I,9,FALSE())</f>
        <v>287</v>
      </c>
      <c r="J90" s="27">
        <f>'0. Parametros'!$B$3+H90</f>
        <v>45951</v>
      </c>
      <c r="K90" s="27">
        <f>'0. Parametros'!$B$3+I90-1</f>
        <v>45956</v>
      </c>
      <c r="L90" s="14" t="str">
        <f>VLOOKUP($B90,'2. Red CPM-Ruta Critica'!$A:$M,13,FALSE())</f>
        <v>SI</v>
      </c>
      <c r="AH90" s="7" t="b">
        <f>ISNUMBER(MATCH($B90,'2. Red CPM-Ruta Critica'!$A:$A,0))</f>
        <v>1</v>
      </c>
    </row>
    <row r="91" spans="1:34" x14ac:dyDescent="0.25">
      <c r="A91" s="7">
        <f t="shared" si="4"/>
        <v>86</v>
      </c>
      <c r="B91" s="14" t="str">
        <f>'1. Calculo PERT'!A90</f>
        <v>1.3.1.1.3</v>
      </c>
      <c r="C91" s="14" t="str">
        <f>'1. Calculo PERT'!C90</f>
        <v>Demoler y descapotar para redes (preliminares)</v>
      </c>
      <c r="D91" s="14">
        <f>'1. Calculo PERT'!B90</f>
        <v>5</v>
      </c>
      <c r="E91" s="14" t="str">
        <f>'1. Calculo PERT'!D90</f>
        <v>3-Construccion</v>
      </c>
      <c r="F91" s="5" t="s">
        <v>384</v>
      </c>
      <c r="G91" s="14">
        <f>VLOOKUP($B91,'2. Red CPM-Ruta Critica'!$A:$F,6,FALSE())</f>
        <v>12</v>
      </c>
      <c r="H91" s="14">
        <f>VLOOKUP($B91,'2. Red CPM-Ruta Critica'!$A:$H,8,FALSE())</f>
        <v>287</v>
      </c>
      <c r="I91" s="14">
        <f>VLOOKUP($B91,'2. Red CPM-Ruta Critica'!$A:$I,9,FALSE())</f>
        <v>299</v>
      </c>
      <c r="J91" s="27">
        <f>'0. Parametros'!$B$3+H91</f>
        <v>45957</v>
      </c>
      <c r="K91" s="27">
        <f>'0. Parametros'!$B$3+I91-1</f>
        <v>45968</v>
      </c>
      <c r="L91" s="14" t="str">
        <f>VLOOKUP($B91,'2. Red CPM-Ruta Critica'!$A:$M,13,FALSE())</f>
        <v>SI</v>
      </c>
      <c r="AH91" s="7" t="b">
        <f>ISNUMBER(MATCH($B91,'2. Red CPM-Ruta Critica'!$A:$A,0))</f>
        <v>1</v>
      </c>
    </row>
    <row r="92" spans="1:34" x14ac:dyDescent="0.25">
      <c r="A92" s="7">
        <f t="shared" si="4"/>
        <v>87</v>
      </c>
      <c r="B92" s="14" t="str">
        <f>'1. Calculo PERT'!A91</f>
        <v>1.3.1.1.4</v>
      </c>
      <c r="C92" s="14" t="str">
        <f>'1. Calculo PERT'!C91</f>
        <v>Excavar la zanja para redes en el Tramo 1</v>
      </c>
      <c r="D92" s="14">
        <f>'1. Calculo PERT'!B91</f>
        <v>5</v>
      </c>
      <c r="E92" s="14" t="str">
        <f>'1. Calculo PERT'!D91</f>
        <v>3-Construccion</v>
      </c>
      <c r="F92" s="5" t="s">
        <v>390</v>
      </c>
      <c r="G92" s="14">
        <f>VLOOKUP($B92,'2. Red CPM-Ruta Critica'!$A:$F,6,FALSE())</f>
        <v>14</v>
      </c>
      <c r="H92" s="14">
        <f>VLOOKUP($B92,'2. Red CPM-Ruta Critica'!$A:$H,8,FALSE())</f>
        <v>299</v>
      </c>
      <c r="I92" s="14">
        <f>VLOOKUP($B92,'2. Red CPM-Ruta Critica'!$A:$I,9,FALSE())</f>
        <v>313</v>
      </c>
      <c r="J92" s="27">
        <f>'0. Parametros'!$B$3+H92</f>
        <v>45969</v>
      </c>
      <c r="K92" s="27">
        <f>'0. Parametros'!$B$3+I92-1</f>
        <v>45982</v>
      </c>
      <c r="L92" s="14" t="str">
        <f>VLOOKUP($B92,'2. Red CPM-Ruta Critica'!$A:$M,13,FALSE())</f>
        <v>SI</v>
      </c>
      <c r="AH92" s="7" t="b">
        <f>ISNUMBER(MATCH($B92,'2. Red CPM-Ruta Critica'!$A:$A,0))</f>
        <v>1</v>
      </c>
    </row>
    <row r="93" spans="1:34" x14ac:dyDescent="0.25">
      <c r="A93" s="7">
        <f t="shared" si="4"/>
        <v>88</v>
      </c>
      <c r="B93" s="14" t="str">
        <f>'1. Calculo PERT'!A92</f>
        <v>1.3.1.1.5</v>
      </c>
      <c r="C93" s="14" t="str">
        <f>'1. Calculo PERT'!C92</f>
        <v>Excavar la zanja para redes en los Tramos 2-3</v>
      </c>
      <c r="D93" s="14">
        <f>'1. Calculo PERT'!B92</f>
        <v>5</v>
      </c>
      <c r="E93" s="14" t="str">
        <f>'1. Calculo PERT'!D92</f>
        <v>3-Construccion</v>
      </c>
      <c r="F93" s="5" t="s">
        <v>395</v>
      </c>
      <c r="G93" s="14">
        <f>VLOOKUP($B93,'2. Red CPM-Ruta Critica'!$A:$F,6,FALSE())</f>
        <v>18</v>
      </c>
      <c r="H93" s="14">
        <f>VLOOKUP($B93,'2. Red CPM-Ruta Critica'!$A:$H,8,FALSE())</f>
        <v>313</v>
      </c>
      <c r="I93" s="14">
        <f>VLOOKUP($B93,'2. Red CPM-Ruta Critica'!$A:$I,9,FALSE())</f>
        <v>331</v>
      </c>
      <c r="J93" s="27">
        <f>'0. Parametros'!$B$3+H93</f>
        <v>45983</v>
      </c>
      <c r="K93" s="27">
        <f>'0. Parametros'!$B$3+I93-1</f>
        <v>46000</v>
      </c>
      <c r="L93" s="14" t="str">
        <f>VLOOKUP($B93,'2. Red CPM-Ruta Critica'!$A:$M,13,FALSE())</f>
        <v>no</v>
      </c>
      <c r="AH93" s="7" t="b">
        <f>ISNUMBER(MATCH($B93,'2. Red CPM-Ruta Critica'!$A:$A,0))</f>
        <v>1</v>
      </c>
    </row>
    <row r="94" spans="1:34" x14ac:dyDescent="0.25">
      <c r="A94" s="7">
        <f t="shared" si="4"/>
        <v>89</v>
      </c>
      <c r="B94" s="14" t="str">
        <f>'1. Calculo PERT'!A93</f>
        <v>1.3.1.1.6</v>
      </c>
      <c r="C94" s="14" t="str">
        <f>'1. Calculo PERT'!C93</f>
        <v>Instalar alcantarillado pluvial y sanitario en el Tramo 1</v>
      </c>
      <c r="D94" s="14">
        <f>'1. Calculo PERT'!B93</f>
        <v>5</v>
      </c>
      <c r="E94" s="14" t="str">
        <f>'1. Calculo PERT'!D93</f>
        <v>3-Construccion</v>
      </c>
      <c r="F94" s="5" t="s">
        <v>395</v>
      </c>
      <c r="G94" s="14">
        <f>VLOOKUP($B94,'2. Red CPM-Ruta Critica'!$A:$F,6,FALSE())</f>
        <v>20</v>
      </c>
      <c r="H94" s="14">
        <f>VLOOKUP($B94,'2. Red CPM-Ruta Critica'!$A:$H,8,FALSE())</f>
        <v>313</v>
      </c>
      <c r="I94" s="14">
        <f>VLOOKUP($B94,'2. Red CPM-Ruta Critica'!$A:$I,9,FALSE())</f>
        <v>333</v>
      </c>
      <c r="J94" s="27">
        <f>'0. Parametros'!$B$3+H94</f>
        <v>45983</v>
      </c>
      <c r="K94" s="27">
        <f>'0. Parametros'!$B$3+I94-1</f>
        <v>46002</v>
      </c>
      <c r="L94" s="14" t="str">
        <f>VLOOKUP($B94,'2. Red CPM-Ruta Critica'!$A:$M,13,FALSE())</f>
        <v>SI</v>
      </c>
      <c r="AH94" s="7" t="b">
        <f>ISNUMBER(MATCH($B94,'2. Red CPM-Ruta Critica'!$A:$A,0))</f>
        <v>1</v>
      </c>
    </row>
    <row r="95" spans="1:34" x14ac:dyDescent="0.25">
      <c r="A95" s="7">
        <f t="shared" si="4"/>
        <v>90</v>
      </c>
      <c r="B95" s="14" t="str">
        <f>'1. Calculo PERT'!A94</f>
        <v>1.3.1.1.7</v>
      </c>
      <c r="C95" s="14" t="str">
        <f>'1. Calculo PERT'!C94</f>
        <v>Instalar alcantarillado pluvial y sanitario en el Tramo 2</v>
      </c>
      <c r="D95" s="14">
        <f>'1. Calculo PERT'!B94</f>
        <v>5</v>
      </c>
      <c r="E95" s="14" t="str">
        <f>'1. Calculo PERT'!D94</f>
        <v>3-Construccion</v>
      </c>
      <c r="F95" s="5" t="s">
        <v>403</v>
      </c>
      <c r="G95" s="14">
        <f>VLOOKUP($B95,'2. Red CPM-Ruta Critica'!$A:$F,6,FALSE())</f>
        <v>23</v>
      </c>
      <c r="H95" s="14">
        <f>VLOOKUP($B95,'2. Red CPM-Ruta Critica'!$A:$H,8,FALSE())</f>
        <v>333</v>
      </c>
      <c r="I95" s="14">
        <f>VLOOKUP($B95,'2. Red CPM-Ruta Critica'!$A:$I,9,FALSE())</f>
        <v>356</v>
      </c>
      <c r="J95" s="27">
        <f>'0. Parametros'!$B$3+H95</f>
        <v>46003</v>
      </c>
      <c r="K95" s="27">
        <f>'0. Parametros'!$B$3+I95-1</f>
        <v>46025</v>
      </c>
      <c r="L95" s="14" t="str">
        <f>VLOOKUP($B95,'2. Red CPM-Ruta Critica'!$A:$M,13,FALSE())</f>
        <v>SI</v>
      </c>
      <c r="AH95" s="7" t="b">
        <f>ISNUMBER(MATCH($B95,'2. Red CPM-Ruta Critica'!$A:$A,0))</f>
        <v>1</v>
      </c>
    </row>
    <row r="96" spans="1:34" x14ac:dyDescent="0.25">
      <c r="A96" s="7">
        <f t="shared" si="4"/>
        <v>91</v>
      </c>
      <c r="B96" s="14" t="str">
        <f>'1. Calculo PERT'!A95</f>
        <v>1.3.1.1.8</v>
      </c>
      <c r="C96" s="14" t="str">
        <f>'1. Calculo PERT'!C95</f>
        <v>Instalar alcantarillado pluvial y sanitario en el Tramo 3</v>
      </c>
      <c r="D96" s="14">
        <f>'1. Calculo PERT'!B95</f>
        <v>5</v>
      </c>
      <c r="E96" s="14" t="str">
        <f>'1. Calculo PERT'!D95</f>
        <v>3-Construccion</v>
      </c>
      <c r="F96" s="5" t="s">
        <v>408</v>
      </c>
      <c r="G96" s="14">
        <f>VLOOKUP($B96,'2. Red CPM-Ruta Critica'!$A:$F,6,FALSE())</f>
        <v>22</v>
      </c>
      <c r="H96" s="14">
        <f>VLOOKUP($B96,'2. Red CPM-Ruta Critica'!$A:$H,8,FALSE())</f>
        <v>356</v>
      </c>
      <c r="I96" s="14">
        <f>VLOOKUP($B96,'2. Red CPM-Ruta Critica'!$A:$I,9,FALSE())</f>
        <v>378</v>
      </c>
      <c r="J96" s="27">
        <f>'0. Parametros'!$B$3+H96</f>
        <v>46026</v>
      </c>
      <c r="K96" s="27">
        <f>'0. Parametros'!$B$3+I96-1</f>
        <v>46047</v>
      </c>
      <c r="L96" s="14" t="str">
        <f>VLOOKUP($B96,'2. Red CPM-Ruta Critica'!$A:$M,13,FALSE())</f>
        <v>SI</v>
      </c>
      <c r="AH96" s="7" t="b">
        <f>ISNUMBER(MATCH($B96,'2. Red CPM-Ruta Critica'!$A:$A,0))</f>
        <v>1</v>
      </c>
    </row>
    <row r="97" spans="1:34" x14ac:dyDescent="0.25">
      <c r="A97" s="7">
        <f t="shared" si="4"/>
        <v>92</v>
      </c>
      <c r="B97" s="14" t="str">
        <f>'1. Calculo PERT'!A96</f>
        <v>1.3.1.1.9</v>
      </c>
      <c r="C97" s="14" t="str">
        <f>'1. Calculo PERT'!C96</f>
        <v>Instalar la red de acueducto en los Tramos 1-2</v>
      </c>
      <c r="D97" s="14">
        <f>'1. Calculo PERT'!B96</f>
        <v>5</v>
      </c>
      <c r="E97" s="14" t="str">
        <f>'1. Calculo PERT'!D96</f>
        <v>3-Construccion</v>
      </c>
      <c r="F97" s="5" t="s">
        <v>395</v>
      </c>
      <c r="G97" s="14">
        <f>VLOOKUP($B97,'2. Red CPM-Ruta Critica'!$A:$F,6,FALSE())</f>
        <v>20</v>
      </c>
      <c r="H97" s="14">
        <f>VLOOKUP($B97,'2. Red CPM-Ruta Critica'!$A:$H,8,FALSE())</f>
        <v>313</v>
      </c>
      <c r="I97" s="14">
        <f>VLOOKUP($B97,'2. Red CPM-Ruta Critica'!$A:$I,9,FALSE())</f>
        <v>333</v>
      </c>
      <c r="J97" s="27">
        <f>'0. Parametros'!$B$3+H97</f>
        <v>45983</v>
      </c>
      <c r="K97" s="27">
        <f>'0. Parametros'!$B$3+I97-1</f>
        <v>46002</v>
      </c>
      <c r="L97" s="14" t="str">
        <f>VLOOKUP($B97,'2. Red CPM-Ruta Critica'!$A:$M,13,FALSE())</f>
        <v>no</v>
      </c>
      <c r="AH97" s="7" t="b">
        <f>ISNUMBER(MATCH($B97,'2. Red CPM-Ruta Critica'!$A:$A,0))</f>
        <v>1</v>
      </c>
    </row>
    <row r="98" spans="1:34" x14ac:dyDescent="0.25">
      <c r="A98" s="7">
        <f t="shared" si="4"/>
        <v>93</v>
      </c>
      <c r="B98" s="14" t="str">
        <f>'1. Calculo PERT'!A97</f>
        <v>1.3.1.1.10</v>
      </c>
      <c r="C98" s="14" t="str">
        <f>'1. Calculo PERT'!C97</f>
        <v>Instalar la red de acueducto en el Tramo 3 y accesorios</v>
      </c>
      <c r="D98" s="14">
        <f>'1. Calculo PERT'!B97</f>
        <v>5</v>
      </c>
      <c r="E98" s="14" t="str">
        <f>'1. Calculo PERT'!D97</f>
        <v>3-Construccion</v>
      </c>
      <c r="F98" s="5" t="s">
        <v>416</v>
      </c>
      <c r="G98" s="14">
        <f>VLOOKUP($B98,'2. Red CPM-Ruta Critica'!$A:$F,6,FALSE())</f>
        <v>18</v>
      </c>
      <c r="H98" s="14">
        <f>VLOOKUP($B98,'2. Red CPM-Ruta Critica'!$A:$H,8,FALSE())</f>
        <v>333</v>
      </c>
      <c r="I98" s="14">
        <f>VLOOKUP($B98,'2. Red CPM-Ruta Critica'!$A:$I,9,FALSE())</f>
        <v>351</v>
      </c>
      <c r="J98" s="27">
        <f>'0. Parametros'!$B$3+H98</f>
        <v>46003</v>
      </c>
      <c r="K98" s="27">
        <f>'0. Parametros'!$B$3+I98-1</f>
        <v>46020</v>
      </c>
      <c r="L98" s="14" t="str">
        <f>VLOOKUP($B98,'2. Red CPM-Ruta Critica'!$A:$M,13,FALSE())</f>
        <v>no</v>
      </c>
      <c r="AH98" s="7" t="b">
        <f>ISNUMBER(MATCH($B98,'2. Red CPM-Ruta Critica'!$A:$A,0))</f>
        <v>1</v>
      </c>
    </row>
    <row r="99" spans="1:34" x14ac:dyDescent="0.25">
      <c r="A99" s="7">
        <f t="shared" si="4"/>
        <v>94</v>
      </c>
      <c r="B99" s="14" t="str">
        <f>'1. Calculo PERT'!A98</f>
        <v>1.3.1.1.11</v>
      </c>
      <c r="C99" s="14" t="str">
        <f>'1. Calculo PERT'!C98</f>
        <v>Rellenar y compactar las zanjas</v>
      </c>
      <c r="D99" s="14">
        <f>'1. Calculo PERT'!B98</f>
        <v>5</v>
      </c>
      <c r="E99" s="14" t="str">
        <f>'1. Calculo PERT'!D98</f>
        <v>3-Construccion</v>
      </c>
      <c r="F99" s="5" t="s">
        <v>421</v>
      </c>
      <c r="G99" s="14">
        <f>VLOOKUP($B99,'2. Red CPM-Ruta Critica'!$A:$F,6,FALSE())</f>
        <v>15</v>
      </c>
      <c r="H99" s="14">
        <f>VLOOKUP($B99,'2. Red CPM-Ruta Critica'!$A:$H,8,FALSE())</f>
        <v>378</v>
      </c>
      <c r="I99" s="14">
        <f>VLOOKUP($B99,'2. Red CPM-Ruta Critica'!$A:$I,9,FALSE())</f>
        <v>393</v>
      </c>
      <c r="J99" s="27">
        <f>'0. Parametros'!$B$3+H99</f>
        <v>46048</v>
      </c>
      <c r="K99" s="27">
        <f>'0. Parametros'!$B$3+I99-1</f>
        <v>46062</v>
      </c>
      <c r="L99" s="14" t="str">
        <f>VLOOKUP($B99,'2. Red CPM-Ruta Critica'!$A:$M,13,FALSE())</f>
        <v>SI</v>
      </c>
      <c r="AH99" s="7" t="b">
        <f>ISNUMBER(MATCH($B99,'2. Red CPM-Ruta Critica'!$A:$A,0))</f>
        <v>1</v>
      </c>
    </row>
    <row r="100" spans="1:34" x14ac:dyDescent="0.25">
      <c r="A100" s="7">
        <f t="shared" si="4"/>
        <v>95</v>
      </c>
      <c r="B100" s="14" t="str">
        <f>'1. Calculo PERT'!A99</f>
        <v>1.3.1.1.12</v>
      </c>
      <c r="C100" s="14" t="str">
        <f>'1. Calculo PERT'!C99</f>
        <v>Ejecutar pruebas hidraulicas y empalmar a la red existente</v>
      </c>
      <c r="D100" s="14">
        <f>'1. Calculo PERT'!B99</f>
        <v>5</v>
      </c>
      <c r="E100" s="14" t="str">
        <f>'1. Calculo PERT'!D99</f>
        <v>3-Construccion</v>
      </c>
      <c r="F100" s="5" t="s">
        <v>426</v>
      </c>
      <c r="G100" s="14">
        <f>VLOOKUP($B100,'2. Red CPM-Ruta Critica'!$A:$F,6,FALSE())</f>
        <v>14</v>
      </c>
      <c r="H100" s="14">
        <f>VLOOKUP($B100,'2. Red CPM-Ruta Critica'!$A:$H,8,FALSE())</f>
        <v>393</v>
      </c>
      <c r="I100" s="14">
        <f>VLOOKUP($B100,'2. Red CPM-Ruta Critica'!$A:$I,9,FALSE())</f>
        <v>407</v>
      </c>
      <c r="J100" s="27">
        <f>'0. Parametros'!$B$3+H100</f>
        <v>46063</v>
      </c>
      <c r="K100" s="27">
        <f>'0. Parametros'!$B$3+I100-1</f>
        <v>46076</v>
      </c>
      <c r="L100" s="14" t="str">
        <f>VLOOKUP($B100,'2. Red CPM-Ruta Critica'!$A:$M,13,FALSE())</f>
        <v>SI</v>
      </c>
      <c r="AH100" s="7" t="b">
        <f>ISNUMBER(MATCH($B100,'2. Red CPM-Ruta Critica'!$A:$A,0))</f>
        <v>1</v>
      </c>
    </row>
    <row r="101" spans="1:34" x14ac:dyDescent="0.25">
      <c r="A101" s="7">
        <f t="shared" si="4"/>
        <v>96</v>
      </c>
      <c r="B101" s="14" t="str">
        <f>'1. Calculo PERT'!A100</f>
        <v>1.3.1.1.13</v>
      </c>
      <c r="C101" s="14" t="str">
        <f>'1. Calculo PERT'!C100</f>
        <v>Completar y entregar las redes humedas para revision de la EAAB</v>
      </c>
      <c r="D101" s="14">
        <f>'1. Calculo PERT'!B100</f>
        <v>5</v>
      </c>
      <c r="E101" s="14" t="str">
        <f>'1. Calculo PERT'!D100</f>
        <v>3-Construccion</v>
      </c>
      <c r="F101" s="5" t="s">
        <v>431</v>
      </c>
      <c r="G101" s="14">
        <f>VLOOKUP($B101,'2. Red CPM-Ruta Critica'!$A:$F,6,FALSE())</f>
        <v>12</v>
      </c>
      <c r="H101" s="14">
        <f>VLOOKUP($B101,'2. Red CPM-Ruta Critica'!$A:$H,8,FALSE())</f>
        <v>407</v>
      </c>
      <c r="I101" s="14">
        <f>VLOOKUP($B101,'2. Red CPM-Ruta Critica'!$A:$I,9,FALSE())</f>
        <v>419</v>
      </c>
      <c r="J101" s="27">
        <f>'0. Parametros'!$B$3+H101</f>
        <v>46077</v>
      </c>
      <c r="K101" s="27">
        <f>'0. Parametros'!$B$3+I101-1</f>
        <v>46088</v>
      </c>
      <c r="L101" s="14" t="str">
        <f>VLOOKUP($B101,'2. Red CPM-Ruta Critica'!$A:$M,13,FALSE())</f>
        <v>SI</v>
      </c>
      <c r="AH101" s="7" t="b">
        <f>ISNUMBER(MATCH($B101,'2. Red CPM-Ruta Critica'!$A:$A,0))</f>
        <v>1</v>
      </c>
    </row>
    <row r="102" spans="1:34" x14ac:dyDescent="0.25">
      <c r="A102" s="7">
        <f t="shared" si="4"/>
        <v>97</v>
      </c>
      <c r="B102" s="14" t="str">
        <f>'1. Calculo PERT'!A101</f>
        <v>1.3.1.1.15</v>
      </c>
      <c r="C102" s="14" t="str">
        <f>'1. Calculo PERT'!C101</f>
        <v>Construir pozos de inspeccion y conexiones domiciliarias del Tramo 1</v>
      </c>
      <c r="D102" s="14">
        <f>'1. Calculo PERT'!B101</f>
        <v>5</v>
      </c>
      <c r="E102" s="14" t="str">
        <f>'1. Calculo PERT'!D101</f>
        <v>3-Construccion</v>
      </c>
      <c r="F102" s="5" t="s">
        <v>436</v>
      </c>
      <c r="G102" s="14">
        <f>VLOOKUP($B102,'2. Red CPM-Ruta Critica'!$A:$F,6,FALSE())</f>
        <v>12</v>
      </c>
      <c r="H102" s="14">
        <f>VLOOKUP($B102,'2. Red CPM-Ruta Critica'!$A:$H,8,FALSE())</f>
        <v>333</v>
      </c>
      <c r="I102" s="14">
        <f>VLOOKUP($B102,'2. Red CPM-Ruta Critica'!$A:$I,9,FALSE())</f>
        <v>345</v>
      </c>
      <c r="J102" s="27">
        <f>'0. Parametros'!$B$3+H102</f>
        <v>46003</v>
      </c>
      <c r="K102" s="27">
        <f>'0. Parametros'!$B$3+I102-1</f>
        <v>46014</v>
      </c>
      <c r="L102" s="14" t="str">
        <f>VLOOKUP($B102,'2. Red CPM-Ruta Critica'!$A:$M,13,FALSE())</f>
        <v>no</v>
      </c>
      <c r="AH102" s="7" t="b">
        <f>ISNUMBER(MATCH($B102,'2. Red CPM-Ruta Critica'!$A:$A,0))</f>
        <v>1</v>
      </c>
    </row>
    <row r="103" spans="1:34" x14ac:dyDescent="0.25">
      <c r="A103" s="7">
        <f t="shared" si="4"/>
        <v>98</v>
      </c>
      <c r="B103" s="14" t="str">
        <f>'1. Calculo PERT'!A102</f>
        <v>1.3.1.1.16</v>
      </c>
      <c r="C103" s="14" t="str">
        <f>'1. Calculo PERT'!C102</f>
        <v>Construir pozos de inspeccion y conexiones domiciliarias del Tramo 2</v>
      </c>
      <c r="D103" s="14">
        <f>'1. Calculo PERT'!B102</f>
        <v>5</v>
      </c>
      <c r="E103" s="14" t="str">
        <f>'1. Calculo PERT'!D102</f>
        <v>3-Construccion</v>
      </c>
      <c r="F103" s="5" t="s">
        <v>408</v>
      </c>
      <c r="G103" s="14">
        <f>VLOOKUP($B103,'2. Red CPM-Ruta Critica'!$A:$F,6,FALSE())</f>
        <v>12</v>
      </c>
      <c r="H103" s="14">
        <f>VLOOKUP($B103,'2. Red CPM-Ruta Critica'!$A:$H,8,FALSE())</f>
        <v>356</v>
      </c>
      <c r="I103" s="14">
        <f>VLOOKUP($B103,'2. Red CPM-Ruta Critica'!$A:$I,9,FALSE())</f>
        <v>368</v>
      </c>
      <c r="J103" s="27">
        <f>'0. Parametros'!$B$3+H103</f>
        <v>46026</v>
      </c>
      <c r="K103" s="27">
        <f>'0. Parametros'!$B$3+I103-1</f>
        <v>46037</v>
      </c>
      <c r="L103" s="14" t="str">
        <f>VLOOKUP($B103,'2. Red CPM-Ruta Critica'!$A:$M,13,FALSE())</f>
        <v>no</v>
      </c>
      <c r="AH103" s="7" t="b">
        <f>ISNUMBER(MATCH($B103,'2. Red CPM-Ruta Critica'!$A:$A,0))</f>
        <v>1</v>
      </c>
    </row>
    <row r="104" spans="1:34" x14ac:dyDescent="0.25">
      <c r="A104" s="7">
        <f t="shared" si="4"/>
        <v>99</v>
      </c>
      <c r="B104" s="14" t="str">
        <f>'1. Calculo PERT'!A103</f>
        <v>1.3.1.1.17</v>
      </c>
      <c r="C104" s="14" t="str">
        <f>'1. Calculo PERT'!C103</f>
        <v>Instalar sumideros y rejillas de drenaje pluvial</v>
      </c>
      <c r="D104" s="14">
        <f>'1. Calculo PERT'!B103</f>
        <v>5</v>
      </c>
      <c r="E104" s="14" t="str">
        <f>'1. Calculo PERT'!D103</f>
        <v>3-Construccion</v>
      </c>
      <c r="F104" s="5" t="s">
        <v>444</v>
      </c>
      <c r="G104" s="14">
        <f>VLOOKUP($B104,'2. Red CPM-Ruta Critica'!$A:$F,6,FALSE())</f>
        <v>12</v>
      </c>
      <c r="H104" s="14">
        <f>VLOOKUP($B104,'2. Red CPM-Ruta Critica'!$A:$H,8,FALSE())</f>
        <v>378</v>
      </c>
      <c r="I104" s="14">
        <f>VLOOKUP($B104,'2. Red CPM-Ruta Critica'!$A:$I,9,FALSE())</f>
        <v>390</v>
      </c>
      <c r="J104" s="27">
        <f>'0. Parametros'!$B$3+H104</f>
        <v>46048</v>
      </c>
      <c r="K104" s="27">
        <f>'0. Parametros'!$B$3+I104-1</f>
        <v>46059</v>
      </c>
      <c r="L104" s="14" t="str">
        <f>VLOOKUP($B104,'2. Red CPM-Ruta Critica'!$A:$M,13,FALSE())</f>
        <v>no</v>
      </c>
      <c r="AH104" s="7" t="b">
        <f>ISNUMBER(MATCH($B104,'2. Red CPM-Ruta Critica'!$A:$A,0))</f>
        <v>1</v>
      </c>
    </row>
    <row r="105" spans="1:34" x14ac:dyDescent="0.25">
      <c r="A105" s="7">
        <f t="shared" si="4"/>
        <v>100</v>
      </c>
      <c r="B105" s="14" t="str">
        <f>'1. Calculo PERT'!A104</f>
        <v>1.3.1.1.18</v>
      </c>
      <c r="C105" s="14" t="str">
        <f>'1. Calculo PERT'!C104</f>
        <v>Manejar aguas y bombear durante la excavacion de redes</v>
      </c>
      <c r="D105" s="14">
        <f>'1. Calculo PERT'!B104</f>
        <v>5</v>
      </c>
      <c r="E105" s="14" t="str">
        <f>'1. Calculo PERT'!D104</f>
        <v>3-Construccion</v>
      </c>
      <c r="F105" s="5" t="s">
        <v>449</v>
      </c>
      <c r="G105" s="14">
        <f>VLOOKUP($B105,'2. Red CPM-Ruta Critica'!$A:$F,6,FALSE())</f>
        <v>12</v>
      </c>
      <c r="H105" s="14">
        <f>VLOOKUP($B105,'2. Red CPM-Ruta Critica'!$A:$H,8,FALSE())</f>
        <v>315</v>
      </c>
      <c r="I105" s="14">
        <f>VLOOKUP($B105,'2. Red CPM-Ruta Critica'!$A:$I,9,FALSE())</f>
        <v>327</v>
      </c>
      <c r="J105" s="27">
        <f>'0. Parametros'!$B$3+H105</f>
        <v>45985</v>
      </c>
      <c r="K105" s="27">
        <f>'0. Parametros'!$B$3+I105-1</f>
        <v>45996</v>
      </c>
      <c r="L105" s="14" t="str">
        <f>VLOOKUP($B105,'2. Red CPM-Ruta Critica'!$A:$M,13,FALSE())</f>
        <v>no</v>
      </c>
      <c r="AH105" s="7" t="b">
        <f>ISNUMBER(MATCH($B105,'2. Red CPM-Ruta Critica'!$A:$A,0))</f>
        <v>1</v>
      </c>
    </row>
    <row r="106" spans="1:34" x14ac:dyDescent="0.25">
      <c r="A106" s="7">
        <f t="shared" si="4"/>
        <v>101</v>
      </c>
      <c r="B106" s="14" t="str">
        <f>'1. Calculo PERT'!A105</f>
        <v>1.3.1.1.19</v>
      </c>
      <c r="C106" s="14" t="str">
        <f>'1. Calculo PERT'!C105</f>
        <v>Construir anclajes y atraques de tuberia</v>
      </c>
      <c r="D106" s="14">
        <f>'1. Calculo PERT'!B105</f>
        <v>5</v>
      </c>
      <c r="E106" s="14" t="str">
        <f>'1. Calculo PERT'!D105</f>
        <v>3-Construccion</v>
      </c>
      <c r="F106" s="5" t="s">
        <v>454</v>
      </c>
      <c r="G106" s="14">
        <f>VLOOKUP($B106,'2. Red CPM-Ruta Critica'!$A:$F,6,FALSE())</f>
        <v>10</v>
      </c>
      <c r="H106" s="14">
        <f>VLOOKUP($B106,'2. Red CPM-Ruta Critica'!$A:$H,8,FALSE())</f>
        <v>368</v>
      </c>
      <c r="I106" s="14">
        <f>VLOOKUP($B106,'2. Red CPM-Ruta Critica'!$A:$I,9,FALSE())</f>
        <v>378</v>
      </c>
      <c r="J106" s="27">
        <f>'0. Parametros'!$B$3+H106</f>
        <v>46038</v>
      </c>
      <c r="K106" s="27">
        <f>'0. Parametros'!$B$3+I106-1</f>
        <v>46047</v>
      </c>
      <c r="L106" s="14" t="str">
        <f>VLOOKUP($B106,'2. Red CPM-Ruta Critica'!$A:$M,13,FALSE())</f>
        <v>no</v>
      </c>
      <c r="AH106" s="7" t="b">
        <f>ISNUMBER(MATCH($B106,'2. Red CPM-Ruta Critica'!$A:$A,0))</f>
        <v>1</v>
      </c>
    </row>
    <row r="107" spans="1:34" x14ac:dyDescent="0.25">
      <c r="A107" s="13">
        <f t="shared" si="4"/>
        <v>102</v>
      </c>
      <c r="B107" s="28" t="str">
        <f>'1. Calculo PERT'!A106</f>
        <v>1.3.1.2</v>
      </c>
      <c r="C107" s="29" t="str">
        <f>'1. Calculo PERT'!C106</f>
        <v>Redes electricas y de comunicaciones (secas) protegidas y trasladadas</v>
      </c>
      <c r="D107" s="28">
        <f>'1. Calculo PERT'!B106</f>
        <v>4</v>
      </c>
      <c r="E107" s="28" t="str">
        <f>'1. Calculo PERT'!D106</f>
        <v>3-Construccion</v>
      </c>
      <c r="F107" s="30"/>
      <c r="G107" s="13">
        <f>I107-H107</f>
        <v>74</v>
      </c>
      <c r="H107" s="13">
        <f t="array" ref="H107">MIN(IF(LEFT('2. Red CPM-Ruta Critica'!$A$5:$A$167,LEN($B107)+1)=$B107&amp;".",'2. Red CPM-Ruta Critica'!$H$5:$H$167))</f>
        <v>313</v>
      </c>
      <c r="I107" s="13">
        <f t="array" ref="I107">MAX(IF(LEFT('2. Red CPM-Ruta Critica'!$A$5:$A$167,LEN($B107)+1)=$B107&amp;".",'2. Red CPM-Ruta Critica'!$I$5:$I$167))</f>
        <v>387</v>
      </c>
      <c r="J107" s="31">
        <f>'0. Parametros'!$B$3+H107</f>
        <v>45983</v>
      </c>
      <c r="K107" s="31">
        <f>'0. Parametros'!$B$3+I107-1</f>
        <v>46056</v>
      </c>
      <c r="L107" s="13"/>
      <c r="AH107" s="7" t="b">
        <f>ISNUMBER(MATCH($B107,'2. Red CPM-Ruta Critica'!$A:$A,0))</f>
        <v>0</v>
      </c>
    </row>
    <row r="108" spans="1:34" x14ac:dyDescent="0.25">
      <c r="A108" s="7">
        <f t="shared" si="4"/>
        <v>103</v>
      </c>
      <c r="B108" s="14" t="str">
        <f>'1. Calculo PERT'!A107</f>
        <v>1.3.1.2.1</v>
      </c>
      <c r="C108" s="14" t="str">
        <f>'1. Calculo PERT'!C107</f>
        <v>Construir canalizaciones y ducteria en los Tramos 1-2</v>
      </c>
      <c r="D108" s="14">
        <f>'1. Calculo PERT'!B107</f>
        <v>5</v>
      </c>
      <c r="E108" s="14" t="str">
        <f>'1. Calculo PERT'!D107</f>
        <v>3-Construccion</v>
      </c>
      <c r="F108" s="5" t="s">
        <v>395</v>
      </c>
      <c r="G108" s="14">
        <f>VLOOKUP($B108,'2. Red CPM-Ruta Critica'!$A:$F,6,FALSE())</f>
        <v>18</v>
      </c>
      <c r="H108" s="14">
        <f>VLOOKUP($B108,'2. Red CPM-Ruta Critica'!$A:$H,8,FALSE())</f>
        <v>313</v>
      </c>
      <c r="I108" s="14">
        <f>VLOOKUP($B108,'2. Red CPM-Ruta Critica'!$A:$I,9,FALSE())</f>
        <v>331</v>
      </c>
      <c r="J108" s="27">
        <f>'0. Parametros'!$B$3+H108</f>
        <v>45983</v>
      </c>
      <c r="K108" s="27">
        <f>'0. Parametros'!$B$3+I108-1</f>
        <v>46000</v>
      </c>
      <c r="L108" s="14" t="str">
        <f>VLOOKUP($B108,'2. Red CPM-Ruta Critica'!$A:$M,13,FALSE())</f>
        <v>no</v>
      </c>
      <c r="AH108" s="7" t="b">
        <f>ISNUMBER(MATCH($B108,'2. Red CPM-Ruta Critica'!$A:$A,0))</f>
        <v>1</v>
      </c>
    </row>
    <row r="109" spans="1:34" x14ac:dyDescent="0.25">
      <c r="A109" s="7">
        <f t="shared" si="4"/>
        <v>104</v>
      </c>
      <c r="B109" s="14" t="str">
        <f>'1. Calculo PERT'!A108</f>
        <v>1.3.1.2.2</v>
      </c>
      <c r="C109" s="14" t="str">
        <f>'1. Calculo PERT'!C108</f>
        <v>Construir canalizaciones y ducteria en el Tramo 3</v>
      </c>
      <c r="D109" s="14">
        <f>'1. Calculo PERT'!B108</f>
        <v>5</v>
      </c>
      <c r="E109" s="14" t="str">
        <f>'1. Calculo PERT'!D108</f>
        <v>3-Construccion</v>
      </c>
      <c r="F109" s="5" t="s">
        <v>466</v>
      </c>
      <c r="G109" s="14">
        <f>VLOOKUP($B109,'2. Red CPM-Ruta Critica'!$A:$F,6,FALSE())</f>
        <v>12</v>
      </c>
      <c r="H109" s="14">
        <f>VLOOKUP($B109,'2. Red CPM-Ruta Critica'!$A:$H,8,FALSE())</f>
        <v>331</v>
      </c>
      <c r="I109" s="14">
        <f>VLOOKUP($B109,'2. Red CPM-Ruta Critica'!$A:$I,9,FALSE())</f>
        <v>343</v>
      </c>
      <c r="J109" s="27">
        <f>'0. Parametros'!$B$3+H109</f>
        <v>46001</v>
      </c>
      <c r="K109" s="27">
        <f>'0. Parametros'!$B$3+I109-1</f>
        <v>46012</v>
      </c>
      <c r="L109" s="14" t="str">
        <f>VLOOKUP($B109,'2. Red CPM-Ruta Critica'!$A:$M,13,FALSE())</f>
        <v>no</v>
      </c>
      <c r="AH109" s="7" t="b">
        <f>ISNUMBER(MATCH($B109,'2. Red CPM-Ruta Critica'!$A:$A,0))</f>
        <v>1</v>
      </c>
    </row>
    <row r="110" spans="1:34" x14ac:dyDescent="0.25">
      <c r="A110" s="7">
        <f t="shared" si="4"/>
        <v>105</v>
      </c>
      <c r="B110" s="14" t="str">
        <f>'1. Calculo PERT'!A109</f>
        <v>1.3.1.2.3</v>
      </c>
      <c r="C110" s="14" t="str">
        <f>'1. Calculo PERT'!C109</f>
        <v>Tender y trasladar las redes electricas (Enel-Codensa)</v>
      </c>
      <c r="D110" s="14">
        <f>'1. Calculo PERT'!B109</f>
        <v>5</v>
      </c>
      <c r="E110" s="14" t="str">
        <f>'1. Calculo PERT'!D109</f>
        <v>3-Construccion</v>
      </c>
      <c r="F110" s="5" t="s">
        <v>471</v>
      </c>
      <c r="G110" s="14">
        <f>VLOOKUP($B110,'2. Red CPM-Ruta Critica'!$A:$F,6,FALSE())</f>
        <v>20</v>
      </c>
      <c r="H110" s="14">
        <f>VLOOKUP($B110,'2. Red CPM-Ruta Critica'!$A:$H,8,FALSE())</f>
        <v>343</v>
      </c>
      <c r="I110" s="14">
        <f>VLOOKUP($B110,'2. Red CPM-Ruta Critica'!$A:$I,9,FALSE())</f>
        <v>363</v>
      </c>
      <c r="J110" s="27">
        <f>'0. Parametros'!$B$3+H110</f>
        <v>46013</v>
      </c>
      <c r="K110" s="27">
        <f>'0. Parametros'!$B$3+I110-1</f>
        <v>46032</v>
      </c>
      <c r="L110" s="14" t="str">
        <f>VLOOKUP($B110,'2. Red CPM-Ruta Critica'!$A:$M,13,FALSE())</f>
        <v>no</v>
      </c>
      <c r="AH110" s="7" t="b">
        <f>ISNUMBER(MATCH($B110,'2. Red CPM-Ruta Critica'!$A:$A,0))</f>
        <v>1</v>
      </c>
    </row>
    <row r="111" spans="1:34" x14ac:dyDescent="0.25">
      <c r="A111" s="7">
        <f t="shared" si="4"/>
        <v>106</v>
      </c>
      <c r="B111" s="14" t="str">
        <f>'1. Calculo PERT'!A110</f>
        <v>1.3.1.2.4</v>
      </c>
      <c r="C111" s="14" t="str">
        <f>'1. Calculo PERT'!C110</f>
        <v>Tender las redes de gas y telecomunicaciones</v>
      </c>
      <c r="D111" s="14">
        <f>'1. Calculo PERT'!B110</f>
        <v>5</v>
      </c>
      <c r="E111" s="14" t="str">
        <f>'1. Calculo PERT'!D110</f>
        <v>3-Construccion</v>
      </c>
      <c r="F111" s="5" t="s">
        <v>471</v>
      </c>
      <c r="G111" s="14">
        <f>VLOOKUP($B111,'2. Red CPM-Ruta Critica'!$A:$F,6,FALSE())</f>
        <v>18</v>
      </c>
      <c r="H111" s="14">
        <f>VLOOKUP($B111,'2. Red CPM-Ruta Critica'!$A:$H,8,FALSE())</f>
        <v>343</v>
      </c>
      <c r="I111" s="14">
        <f>VLOOKUP($B111,'2. Red CPM-Ruta Critica'!$A:$I,9,FALSE())</f>
        <v>361</v>
      </c>
      <c r="J111" s="27">
        <f>'0. Parametros'!$B$3+H111</f>
        <v>46013</v>
      </c>
      <c r="K111" s="27">
        <f>'0. Parametros'!$B$3+I111-1</f>
        <v>46030</v>
      </c>
      <c r="L111" s="14" t="str">
        <f>VLOOKUP($B111,'2. Red CPM-Ruta Critica'!$A:$M,13,FALSE())</f>
        <v>no</v>
      </c>
      <c r="AH111" s="7" t="b">
        <f>ISNUMBER(MATCH($B111,'2. Red CPM-Ruta Critica'!$A:$A,0))</f>
        <v>1</v>
      </c>
    </row>
    <row r="112" spans="1:34" x14ac:dyDescent="0.25">
      <c r="A112" s="7">
        <f t="shared" si="4"/>
        <v>107</v>
      </c>
      <c r="B112" s="14" t="str">
        <f>'1. Calculo PERT'!A111</f>
        <v>1.3.1.2.5</v>
      </c>
      <c r="C112" s="14" t="str">
        <f>'1. Calculo PERT'!C111</f>
        <v>Construir camaras y camaretas</v>
      </c>
      <c r="D112" s="14">
        <f>'1. Calculo PERT'!B111</f>
        <v>5</v>
      </c>
      <c r="E112" s="14" t="str">
        <f>'1. Calculo PERT'!D111</f>
        <v>3-Construccion</v>
      </c>
      <c r="F112" s="5" t="s">
        <v>479</v>
      </c>
      <c r="G112" s="14">
        <f>VLOOKUP($B112,'2. Red CPM-Ruta Critica'!$A:$F,6,FALSE())</f>
        <v>12</v>
      </c>
      <c r="H112" s="14">
        <f>VLOOKUP($B112,'2. Red CPM-Ruta Critica'!$A:$H,8,FALSE())</f>
        <v>363</v>
      </c>
      <c r="I112" s="14">
        <f>VLOOKUP($B112,'2. Red CPM-Ruta Critica'!$A:$I,9,FALSE())</f>
        <v>375</v>
      </c>
      <c r="J112" s="27">
        <f>'0. Parametros'!$B$3+H112</f>
        <v>46033</v>
      </c>
      <c r="K112" s="27">
        <f>'0. Parametros'!$B$3+I112-1</f>
        <v>46044</v>
      </c>
      <c r="L112" s="14" t="str">
        <f>VLOOKUP($B112,'2. Red CPM-Ruta Critica'!$A:$M,13,FALSE())</f>
        <v>no</v>
      </c>
      <c r="AH112" s="7" t="b">
        <f>ISNUMBER(MATCH($B112,'2. Red CPM-Ruta Critica'!$A:$A,0))</f>
        <v>1</v>
      </c>
    </row>
    <row r="113" spans="1:34" x14ac:dyDescent="0.25">
      <c r="A113" s="7">
        <f t="shared" si="4"/>
        <v>108</v>
      </c>
      <c r="B113" s="14" t="str">
        <f>'1. Calculo PERT'!A112</f>
        <v>1.3.1.2.6</v>
      </c>
      <c r="C113" s="14" t="str">
        <f>'1. Calculo PERT'!C112</f>
        <v>Empalmar y probar las redes secas</v>
      </c>
      <c r="D113" s="14">
        <f>'1. Calculo PERT'!B112</f>
        <v>5</v>
      </c>
      <c r="E113" s="14" t="str">
        <f>'1. Calculo PERT'!D112</f>
        <v>3-Construccion</v>
      </c>
      <c r="F113" s="5" t="s">
        <v>484</v>
      </c>
      <c r="G113" s="14">
        <f>VLOOKUP($B113,'2. Red CPM-Ruta Critica'!$A:$F,6,FALSE())</f>
        <v>12</v>
      </c>
      <c r="H113" s="14">
        <f>VLOOKUP($B113,'2. Red CPM-Ruta Critica'!$A:$H,8,FALSE())</f>
        <v>375</v>
      </c>
      <c r="I113" s="14">
        <f>VLOOKUP($B113,'2. Red CPM-Ruta Critica'!$A:$I,9,FALSE())</f>
        <v>387</v>
      </c>
      <c r="J113" s="27">
        <f>'0. Parametros'!$B$3+H113</f>
        <v>46045</v>
      </c>
      <c r="K113" s="27">
        <f>'0. Parametros'!$B$3+I113-1</f>
        <v>46056</v>
      </c>
      <c r="L113" s="14" t="str">
        <f>VLOOKUP($B113,'2. Red CPM-Ruta Critica'!$A:$M,13,FALSE())</f>
        <v>no</v>
      </c>
      <c r="AH113" s="7" t="b">
        <f>ISNUMBER(MATCH($B113,'2. Red CPM-Ruta Critica'!$A:$A,0))</f>
        <v>1</v>
      </c>
    </row>
    <row r="114" spans="1:34" x14ac:dyDescent="0.25">
      <c r="A114" s="7">
        <f t="shared" si="4"/>
        <v>109</v>
      </c>
      <c r="B114" s="14" t="str">
        <f>'1. Calculo PERT'!A113</f>
        <v>1.3.1.2.7</v>
      </c>
      <c r="C114" s="14" t="str">
        <f>'1. Calculo PERT'!C113</f>
        <v>Instalar protecciones, sellos cortafuego y senalizacion de redes</v>
      </c>
      <c r="D114" s="14">
        <f>'1. Calculo PERT'!B113</f>
        <v>5</v>
      </c>
      <c r="E114" s="14" t="str">
        <f>'1. Calculo PERT'!D113</f>
        <v>3-Construccion</v>
      </c>
      <c r="F114" s="5" t="s">
        <v>484</v>
      </c>
      <c r="G114" s="14">
        <f>VLOOKUP($B114,'2. Red CPM-Ruta Critica'!$A:$F,6,FALSE())</f>
        <v>10</v>
      </c>
      <c r="H114" s="14">
        <f>VLOOKUP($B114,'2. Red CPM-Ruta Critica'!$A:$H,8,FALSE())</f>
        <v>375</v>
      </c>
      <c r="I114" s="14">
        <f>VLOOKUP($B114,'2. Red CPM-Ruta Critica'!$A:$I,9,FALSE())</f>
        <v>385</v>
      </c>
      <c r="J114" s="27">
        <f>'0. Parametros'!$B$3+H114</f>
        <v>46045</v>
      </c>
      <c r="K114" s="27">
        <f>'0. Parametros'!$B$3+I114-1</f>
        <v>46054</v>
      </c>
      <c r="L114" s="14" t="str">
        <f>VLOOKUP($B114,'2. Red CPM-Ruta Critica'!$A:$M,13,FALSE())</f>
        <v>no</v>
      </c>
      <c r="AH114" s="7" t="b">
        <f>ISNUMBER(MATCH($B114,'2. Red CPM-Ruta Critica'!$A:$A,0))</f>
        <v>1</v>
      </c>
    </row>
    <row r="115" spans="1:34" x14ac:dyDescent="0.25">
      <c r="A115" s="7">
        <f t="shared" si="4"/>
        <v>110</v>
      </c>
      <c r="B115" s="14" t="str">
        <f>'1. Calculo PERT'!A114</f>
        <v>1.3.1.2.8</v>
      </c>
      <c r="C115" s="14" t="str">
        <f>'1. Calculo PERT'!C114</f>
        <v>Ejecutar pruebas de continuidad y aislamiento electrico</v>
      </c>
      <c r="D115" s="14">
        <f>'1. Calculo PERT'!B114</f>
        <v>5</v>
      </c>
      <c r="E115" s="14" t="str">
        <f>'1. Calculo PERT'!D114</f>
        <v>3-Construccion</v>
      </c>
      <c r="F115" s="5" t="s">
        <v>484</v>
      </c>
      <c r="G115" s="14">
        <f>VLOOKUP($B115,'2. Red CPM-Ruta Critica'!$A:$F,6,FALSE())</f>
        <v>6</v>
      </c>
      <c r="H115" s="14">
        <f>VLOOKUP($B115,'2. Red CPM-Ruta Critica'!$A:$H,8,FALSE())</f>
        <v>375</v>
      </c>
      <c r="I115" s="14">
        <f>VLOOKUP($B115,'2. Red CPM-Ruta Critica'!$A:$I,9,FALSE())</f>
        <v>381</v>
      </c>
      <c r="J115" s="27">
        <f>'0. Parametros'!$B$3+H115</f>
        <v>46045</v>
      </c>
      <c r="K115" s="27">
        <f>'0. Parametros'!$B$3+I115-1</f>
        <v>46050</v>
      </c>
      <c r="L115" s="14" t="str">
        <f>VLOOKUP($B115,'2. Red CPM-Ruta Critica'!$A:$M,13,FALSE())</f>
        <v>no</v>
      </c>
      <c r="AH115" s="7" t="b">
        <f>ISNUMBER(MATCH($B115,'2. Red CPM-Ruta Critica'!$A:$A,0))</f>
        <v>1</v>
      </c>
    </row>
    <row r="116" spans="1:34" x14ac:dyDescent="0.25">
      <c r="A116" s="13">
        <f t="shared" si="4"/>
        <v>111</v>
      </c>
      <c r="B116" s="28" t="str">
        <f>'1. Calculo PERT'!A115</f>
        <v>1.3.2</v>
      </c>
      <c r="C116" s="29" t="str">
        <f>'1. Calculo PERT'!C115</f>
        <v>Cuenta de control: Estructura Vial y Pavimentos</v>
      </c>
      <c r="D116" s="28">
        <f>'1. Calculo PERT'!B115</f>
        <v>3</v>
      </c>
      <c r="E116" s="28" t="str">
        <f>'1. Calculo PERT'!D115</f>
        <v>3-Construccion</v>
      </c>
      <c r="F116" s="30"/>
      <c r="G116" s="13">
        <f>I116-H116</f>
        <v>207</v>
      </c>
      <c r="H116" s="13">
        <f t="array" ref="H116">MIN(IF(LEFT('2. Red CPM-Ruta Critica'!$A$5:$A$167,LEN($B116)+1)=$B116&amp;".",'2. Red CPM-Ruta Critica'!$H$5:$H$167))</f>
        <v>313</v>
      </c>
      <c r="I116" s="13">
        <f t="array" ref="I116">MAX(IF(LEFT('2. Red CPM-Ruta Critica'!$A$5:$A$167,LEN($B116)+1)=$B116&amp;".",'2. Red CPM-Ruta Critica'!$I$5:$I$167))</f>
        <v>520</v>
      </c>
      <c r="J116" s="31">
        <f>'0. Parametros'!$B$3+H116</f>
        <v>45983</v>
      </c>
      <c r="K116" s="31">
        <f>'0. Parametros'!$B$3+I116-1</f>
        <v>46189</v>
      </c>
      <c r="L116" s="13"/>
      <c r="AH116" s="7" t="b">
        <f>ISNUMBER(MATCH($B116,'2. Red CPM-Ruta Critica'!$A:$A,0))</f>
        <v>0</v>
      </c>
    </row>
    <row r="117" spans="1:34" x14ac:dyDescent="0.25">
      <c r="A117" s="13">
        <f t="shared" si="4"/>
        <v>112</v>
      </c>
      <c r="B117" s="28" t="str">
        <f>'1. Calculo PERT'!A116</f>
        <v>1.3.2.1</v>
      </c>
      <c r="C117" s="29" t="str">
        <f>'1. Calculo PERT'!C116</f>
        <v>Subrasante estabilizada y bases granulares compactadas</v>
      </c>
      <c r="D117" s="28">
        <f>'1. Calculo PERT'!B116</f>
        <v>4</v>
      </c>
      <c r="E117" s="28" t="str">
        <f>'1. Calculo PERT'!D116</f>
        <v>3-Construccion</v>
      </c>
      <c r="F117" s="30"/>
      <c r="G117" s="13">
        <f>I117-H117</f>
        <v>64</v>
      </c>
      <c r="H117" s="13">
        <f t="array" ref="H117">MIN(IF(LEFT('2. Red CPM-Ruta Critica'!$A$5:$A$167,LEN($B117)+1)=$B117&amp;".",'2. Red CPM-Ruta Critica'!$H$5:$H$167))</f>
        <v>419</v>
      </c>
      <c r="I117" s="13">
        <f t="array" ref="I117">MAX(IF(LEFT('2. Red CPM-Ruta Critica'!$A$5:$A$167,LEN($B117)+1)=$B117&amp;".",'2. Red CPM-Ruta Critica'!$I$5:$I$167))</f>
        <v>483</v>
      </c>
      <c r="J117" s="31">
        <f>'0. Parametros'!$B$3+H117</f>
        <v>46089</v>
      </c>
      <c r="K117" s="31">
        <f>'0. Parametros'!$B$3+I117-1</f>
        <v>46152</v>
      </c>
      <c r="L117" s="13"/>
      <c r="AH117" s="7" t="b">
        <f>ISNUMBER(MATCH($B117,'2. Red CPM-Ruta Critica'!$A:$A,0))</f>
        <v>0</v>
      </c>
    </row>
    <row r="118" spans="1:34" x14ac:dyDescent="0.25">
      <c r="A118" s="7">
        <f t="shared" si="4"/>
        <v>113</v>
      </c>
      <c r="B118" s="14" t="str">
        <f>'1. Calculo PERT'!A117</f>
        <v>1.3.2.1.1</v>
      </c>
      <c r="C118" s="14" t="str">
        <f>'1. Calculo PERT'!C117</f>
        <v>Descapotar y excavar la explanacion en los Tramos 1-2</v>
      </c>
      <c r="D118" s="14">
        <f>'1. Calculo PERT'!B117</f>
        <v>5</v>
      </c>
      <c r="E118" s="14" t="str">
        <f>'1. Calculo PERT'!D117</f>
        <v>3-Construccion</v>
      </c>
      <c r="F118" s="5" t="s">
        <v>501</v>
      </c>
      <c r="G118" s="14">
        <f>VLOOKUP($B118,'2. Red CPM-Ruta Critica'!$A:$F,6,FALSE())</f>
        <v>12</v>
      </c>
      <c r="H118" s="14">
        <f>VLOOKUP($B118,'2. Red CPM-Ruta Critica'!$A:$H,8,FALSE())</f>
        <v>419</v>
      </c>
      <c r="I118" s="14">
        <f>VLOOKUP($B118,'2. Red CPM-Ruta Critica'!$A:$I,9,FALSE())</f>
        <v>431</v>
      </c>
      <c r="J118" s="27">
        <f>'0. Parametros'!$B$3+H118</f>
        <v>46089</v>
      </c>
      <c r="K118" s="27">
        <f>'0. Parametros'!$B$3+I118-1</f>
        <v>46100</v>
      </c>
      <c r="L118" s="14" t="str">
        <f>VLOOKUP($B118,'2. Red CPM-Ruta Critica'!$A:$M,13,FALSE())</f>
        <v>SI</v>
      </c>
      <c r="AH118" s="7" t="b">
        <f>ISNUMBER(MATCH($B118,'2. Red CPM-Ruta Critica'!$A:$A,0))</f>
        <v>1</v>
      </c>
    </row>
    <row r="119" spans="1:34" x14ac:dyDescent="0.25">
      <c r="A119" s="7">
        <f t="shared" si="4"/>
        <v>114</v>
      </c>
      <c r="B119" s="14" t="str">
        <f>'1. Calculo PERT'!A118</f>
        <v>1.3.2.1.2</v>
      </c>
      <c r="C119" s="14" t="str">
        <f>'1. Calculo PERT'!C118</f>
        <v>Descapotar y excavar la explanacion en el Tramo 3</v>
      </c>
      <c r="D119" s="14">
        <f>'1. Calculo PERT'!B118</f>
        <v>5</v>
      </c>
      <c r="E119" s="14" t="str">
        <f>'1. Calculo PERT'!D118</f>
        <v>3-Construccion</v>
      </c>
      <c r="F119" s="5" t="s">
        <v>506</v>
      </c>
      <c r="G119" s="14">
        <f>VLOOKUP($B119,'2. Red CPM-Ruta Critica'!$A:$F,6,FALSE())</f>
        <v>10</v>
      </c>
      <c r="H119" s="14">
        <f>VLOOKUP($B119,'2. Red CPM-Ruta Critica'!$A:$H,8,FALSE())</f>
        <v>431</v>
      </c>
      <c r="I119" s="14">
        <f>VLOOKUP($B119,'2. Red CPM-Ruta Critica'!$A:$I,9,FALSE())</f>
        <v>441</v>
      </c>
      <c r="J119" s="27">
        <f>'0. Parametros'!$B$3+H119</f>
        <v>46101</v>
      </c>
      <c r="K119" s="27">
        <f>'0. Parametros'!$B$3+I119-1</f>
        <v>46110</v>
      </c>
      <c r="L119" s="14" t="str">
        <f>VLOOKUP($B119,'2. Red CPM-Ruta Critica'!$A:$M,13,FALSE())</f>
        <v>no</v>
      </c>
      <c r="AH119" s="7" t="b">
        <f>ISNUMBER(MATCH($B119,'2. Red CPM-Ruta Critica'!$A:$A,0))</f>
        <v>1</v>
      </c>
    </row>
    <row r="120" spans="1:34" x14ac:dyDescent="0.25">
      <c r="A120" s="7">
        <f t="shared" si="4"/>
        <v>115</v>
      </c>
      <c r="B120" s="14" t="str">
        <f>'1. Calculo PERT'!A119</f>
        <v>1.3.2.1.3</v>
      </c>
      <c r="C120" s="14" t="str">
        <f>'1. Calculo PERT'!C119</f>
        <v>Conformar y estabilizar la subrasante en los Tramos 1-2</v>
      </c>
      <c r="D120" s="14">
        <f>'1. Calculo PERT'!B119</f>
        <v>5</v>
      </c>
      <c r="E120" s="14" t="str">
        <f>'1. Calculo PERT'!D119</f>
        <v>3-Construccion</v>
      </c>
      <c r="F120" s="5" t="s">
        <v>506</v>
      </c>
      <c r="G120" s="14">
        <f>VLOOKUP($B120,'2. Red CPM-Ruta Critica'!$A:$F,6,FALSE())</f>
        <v>14</v>
      </c>
      <c r="H120" s="14">
        <f>VLOOKUP($B120,'2. Red CPM-Ruta Critica'!$A:$H,8,FALSE())</f>
        <v>431</v>
      </c>
      <c r="I120" s="14">
        <f>VLOOKUP($B120,'2. Red CPM-Ruta Critica'!$A:$I,9,FALSE())</f>
        <v>445</v>
      </c>
      <c r="J120" s="27">
        <f>'0. Parametros'!$B$3+H120</f>
        <v>46101</v>
      </c>
      <c r="K120" s="27">
        <f>'0. Parametros'!$B$3+I120-1</f>
        <v>46114</v>
      </c>
      <c r="L120" s="14" t="str">
        <f>VLOOKUP($B120,'2. Red CPM-Ruta Critica'!$A:$M,13,FALSE())</f>
        <v>SI</v>
      </c>
      <c r="AH120" s="7" t="b">
        <f>ISNUMBER(MATCH($B120,'2. Red CPM-Ruta Critica'!$A:$A,0))</f>
        <v>1</v>
      </c>
    </row>
    <row r="121" spans="1:34" x14ac:dyDescent="0.25">
      <c r="A121" s="7">
        <f t="shared" si="4"/>
        <v>116</v>
      </c>
      <c r="B121" s="14" t="str">
        <f>'1. Calculo PERT'!A120</f>
        <v>1.3.2.1.4</v>
      </c>
      <c r="C121" s="14" t="str">
        <f>'1. Calculo PERT'!C120</f>
        <v>Conformar y estabilizar la subrasante en el Tramo 3</v>
      </c>
      <c r="D121" s="14">
        <f>'1. Calculo PERT'!B120</f>
        <v>5</v>
      </c>
      <c r="E121" s="14" t="str">
        <f>'1. Calculo PERT'!D120</f>
        <v>3-Construccion</v>
      </c>
      <c r="F121" s="5" t="s">
        <v>514</v>
      </c>
      <c r="G121" s="14">
        <f>VLOOKUP($B121,'2. Red CPM-Ruta Critica'!$A:$F,6,FALSE())</f>
        <v>12</v>
      </c>
      <c r="H121" s="14">
        <f>VLOOKUP($B121,'2. Red CPM-Ruta Critica'!$A:$H,8,FALSE())</f>
        <v>445</v>
      </c>
      <c r="I121" s="14">
        <f>VLOOKUP($B121,'2. Red CPM-Ruta Critica'!$A:$I,9,FALSE())</f>
        <v>457</v>
      </c>
      <c r="J121" s="27">
        <f>'0. Parametros'!$B$3+H121</f>
        <v>46115</v>
      </c>
      <c r="K121" s="27">
        <f>'0. Parametros'!$B$3+I121-1</f>
        <v>46126</v>
      </c>
      <c r="L121" s="14" t="str">
        <f>VLOOKUP($B121,'2. Red CPM-Ruta Critica'!$A:$M,13,FALSE())</f>
        <v>no</v>
      </c>
      <c r="AH121" s="7" t="b">
        <f>ISNUMBER(MATCH($B121,'2. Red CPM-Ruta Critica'!$A:$A,0))</f>
        <v>1</v>
      </c>
    </row>
    <row r="122" spans="1:34" x14ac:dyDescent="0.25">
      <c r="A122" s="7">
        <f t="shared" si="4"/>
        <v>117</v>
      </c>
      <c r="B122" s="14" t="str">
        <f>'1. Calculo PERT'!A121</f>
        <v>1.3.2.1.5</v>
      </c>
      <c r="C122" s="14" t="str">
        <f>'1. Calculo PERT'!C121</f>
        <v>Extender y compactar la base granular BNE-1 en los Tramos 1-2</v>
      </c>
      <c r="D122" s="14">
        <f>'1. Calculo PERT'!B121</f>
        <v>5</v>
      </c>
      <c r="E122" s="14" t="str">
        <f>'1. Calculo PERT'!D121</f>
        <v>3-Construccion</v>
      </c>
      <c r="F122" s="5" t="s">
        <v>519</v>
      </c>
      <c r="G122" s="14">
        <f>VLOOKUP($B122,'2. Red CPM-Ruta Critica'!$A:$F,6,FALSE())</f>
        <v>14</v>
      </c>
      <c r="H122" s="14">
        <f>VLOOKUP($B122,'2. Red CPM-Ruta Critica'!$A:$H,8,FALSE())</f>
        <v>445</v>
      </c>
      <c r="I122" s="14">
        <f>VLOOKUP($B122,'2. Red CPM-Ruta Critica'!$A:$I,9,FALSE())</f>
        <v>459</v>
      </c>
      <c r="J122" s="27">
        <f>'0. Parametros'!$B$3+H122</f>
        <v>46115</v>
      </c>
      <c r="K122" s="27">
        <f>'0. Parametros'!$B$3+I122-1</f>
        <v>46128</v>
      </c>
      <c r="L122" s="14" t="str">
        <f>VLOOKUP($B122,'2. Red CPM-Ruta Critica'!$A:$M,13,FALSE())</f>
        <v>SI</v>
      </c>
      <c r="AH122" s="7" t="b">
        <f>ISNUMBER(MATCH($B122,'2. Red CPM-Ruta Critica'!$A:$A,0))</f>
        <v>1</v>
      </c>
    </row>
    <row r="123" spans="1:34" x14ac:dyDescent="0.25">
      <c r="A123" s="7">
        <f t="shared" si="4"/>
        <v>118</v>
      </c>
      <c r="B123" s="14" t="str">
        <f>'1. Calculo PERT'!A122</f>
        <v>1.3.2.1.6</v>
      </c>
      <c r="C123" s="14" t="str">
        <f>'1. Calculo PERT'!C122</f>
        <v>Extender y compactar la base granular BNE-1 en el Tramo 3</v>
      </c>
      <c r="D123" s="14">
        <f>'1. Calculo PERT'!B122</f>
        <v>5</v>
      </c>
      <c r="E123" s="14" t="str">
        <f>'1. Calculo PERT'!D122</f>
        <v>3-Construccion</v>
      </c>
      <c r="F123" s="5" t="s">
        <v>524</v>
      </c>
      <c r="G123" s="14">
        <f>VLOOKUP($B123,'2. Red CPM-Ruta Critica'!$A:$F,6,FALSE())</f>
        <v>12</v>
      </c>
      <c r="H123" s="14">
        <f>VLOOKUP($B123,'2. Red CPM-Ruta Critica'!$A:$H,8,FALSE())</f>
        <v>459</v>
      </c>
      <c r="I123" s="14">
        <f>VLOOKUP($B123,'2. Red CPM-Ruta Critica'!$A:$I,9,FALSE())</f>
        <v>471</v>
      </c>
      <c r="J123" s="27">
        <f>'0. Parametros'!$B$3+H123</f>
        <v>46129</v>
      </c>
      <c r="K123" s="27">
        <f>'0. Parametros'!$B$3+I123-1</f>
        <v>46140</v>
      </c>
      <c r="L123" s="14" t="str">
        <f>VLOOKUP($B123,'2. Red CPM-Ruta Critica'!$A:$M,13,FALSE())</f>
        <v>SI</v>
      </c>
      <c r="AH123" s="7" t="b">
        <f>ISNUMBER(MATCH($B123,'2. Red CPM-Ruta Critica'!$A:$A,0))</f>
        <v>1</v>
      </c>
    </row>
    <row r="124" spans="1:34" x14ac:dyDescent="0.25">
      <c r="A124" s="7">
        <f t="shared" si="4"/>
        <v>119</v>
      </c>
      <c r="B124" s="14" t="str">
        <f>'1. Calculo PERT'!A123</f>
        <v>1.3.2.1.7</v>
      </c>
      <c r="C124" s="14" t="str">
        <f>'1. Calculo PERT'!C123</f>
        <v>Ejecutar ensayos de densidad y aceptar la estructura</v>
      </c>
      <c r="D124" s="14">
        <f>'1. Calculo PERT'!B123</f>
        <v>5</v>
      </c>
      <c r="E124" s="14" t="str">
        <f>'1. Calculo PERT'!D123</f>
        <v>3-Construccion</v>
      </c>
      <c r="F124" s="5" t="s">
        <v>529</v>
      </c>
      <c r="G124" s="14">
        <f>VLOOKUP($B124,'2. Red CPM-Ruta Critica'!$A:$F,6,FALSE())</f>
        <v>5</v>
      </c>
      <c r="H124" s="14">
        <f>VLOOKUP($B124,'2. Red CPM-Ruta Critica'!$A:$H,8,FALSE())</f>
        <v>471</v>
      </c>
      <c r="I124" s="14">
        <f>VLOOKUP($B124,'2. Red CPM-Ruta Critica'!$A:$I,9,FALSE())</f>
        <v>476</v>
      </c>
      <c r="J124" s="27">
        <f>'0. Parametros'!$B$3+H124</f>
        <v>46141</v>
      </c>
      <c r="K124" s="27">
        <f>'0. Parametros'!$B$3+I124-1</f>
        <v>46145</v>
      </c>
      <c r="L124" s="14" t="str">
        <f>VLOOKUP($B124,'2. Red CPM-Ruta Critica'!$A:$M,13,FALSE())</f>
        <v>no</v>
      </c>
      <c r="AH124" s="7" t="b">
        <f>ISNUMBER(MATCH($B124,'2. Red CPM-Ruta Critica'!$A:$A,0))</f>
        <v>1</v>
      </c>
    </row>
    <row r="125" spans="1:34" x14ac:dyDescent="0.25">
      <c r="A125" s="7">
        <f t="shared" si="4"/>
        <v>120</v>
      </c>
      <c r="B125" s="14" t="str">
        <f>'1. Calculo PERT'!A124</f>
        <v>1.3.2.1.8</v>
      </c>
      <c r="C125" s="14" t="str">
        <f>'1. Calculo PERT'!C124</f>
        <v>Extender y compactar la subbase granular SBG en los Tramos 1-2</v>
      </c>
      <c r="D125" s="14">
        <f>'1. Calculo PERT'!B124</f>
        <v>5</v>
      </c>
      <c r="E125" s="14" t="str">
        <f>'1. Calculo PERT'!D124</f>
        <v>3-Construccion</v>
      </c>
      <c r="F125" s="5" t="s">
        <v>534</v>
      </c>
      <c r="G125" s="14">
        <f>VLOOKUP($B125,'2. Red CPM-Ruta Critica'!$A:$F,6,FALSE())</f>
        <v>12</v>
      </c>
      <c r="H125" s="14">
        <f>VLOOKUP($B125,'2. Red CPM-Ruta Critica'!$A:$H,8,FALSE())</f>
        <v>457</v>
      </c>
      <c r="I125" s="14">
        <f>VLOOKUP($B125,'2. Red CPM-Ruta Critica'!$A:$I,9,FALSE())</f>
        <v>469</v>
      </c>
      <c r="J125" s="27">
        <f>'0. Parametros'!$B$3+H125</f>
        <v>46127</v>
      </c>
      <c r="K125" s="27">
        <f>'0. Parametros'!$B$3+I125-1</f>
        <v>46138</v>
      </c>
      <c r="L125" s="14" t="str">
        <f>VLOOKUP($B125,'2. Red CPM-Ruta Critica'!$A:$M,13,FALSE())</f>
        <v>no</v>
      </c>
      <c r="AH125" s="7" t="b">
        <f>ISNUMBER(MATCH($B125,'2. Red CPM-Ruta Critica'!$A:$A,0))</f>
        <v>1</v>
      </c>
    </row>
    <row r="126" spans="1:34" x14ac:dyDescent="0.25">
      <c r="A126" s="7">
        <f t="shared" si="4"/>
        <v>121</v>
      </c>
      <c r="B126" s="14" t="str">
        <f>'1. Calculo PERT'!A125</f>
        <v>1.3.2.1.9</v>
      </c>
      <c r="C126" s="14" t="str">
        <f>'1. Calculo PERT'!C125</f>
        <v>Extender y compactar la subbase granular SBG en el Tramo 3</v>
      </c>
      <c r="D126" s="14">
        <f>'1. Calculo PERT'!B125</f>
        <v>5</v>
      </c>
      <c r="E126" s="14" t="str">
        <f>'1. Calculo PERT'!D125</f>
        <v>3-Construccion</v>
      </c>
      <c r="F126" s="5" t="s">
        <v>539</v>
      </c>
      <c r="G126" s="14">
        <f>VLOOKUP($B126,'2. Red CPM-Ruta Critica'!$A:$F,6,FALSE())</f>
        <v>10</v>
      </c>
      <c r="H126" s="14">
        <f>VLOOKUP($B126,'2. Red CPM-Ruta Critica'!$A:$H,8,FALSE())</f>
        <v>469</v>
      </c>
      <c r="I126" s="14">
        <f>VLOOKUP($B126,'2. Red CPM-Ruta Critica'!$A:$I,9,FALSE())</f>
        <v>479</v>
      </c>
      <c r="J126" s="27">
        <f>'0. Parametros'!$B$3+H126</f>
        <v>46139</v>
      </c>
      <c r="K126" s="27">
        <f>'0. Parametros'!$B$3+I126-1</f>
        <v>46148</v>
      </c>
      <c r="L126" s="14" t="str">
        <f>VLOOKUP($B126,'2. Red CPM-Ruta Critica'!$A:$M,13,FALSE())</f>
        <v>no</v>
      </c>
      <c r="AH126" s="7" t="b">
        <f>ISNUMBER(MATCH($B126,'2. Red CPM-Ruta Critica'!$A:$A,0))</f>
        <v>1</v>
      </c>
    </row>
    <row r="127" spans="1:34" x14ac:dyDescent="0.25">
      <c r="A127" s="7">
        <f t="shared" si="4"/>
        <v>122</v>
      </c>
      <c r="B127" s="14" t="str">
        <f>'1. Calculo PERT'!A126</f>
        <v>1.3.2.1.10</v>
      </c>
      <c r="C127" s="14" t="str">
        <f>'1. Calculo PERT'!C126</f>
        <v>Conformar cunetas y obras de drenaje vial</v>
      </c>
      <c r="D127" s="14">
        <f>'1. Calculo PERT'!B126</f>
        <v>5</v>
      </c>
      <c r="E127" s="14" t="str">
        <f>'1. Calculo PERT'!D126</f>
        <v>3-Construccion</v>
      </c>
      <c r="F127" s="5" t="s">
        <v>529</v>
      </c>
      <c r="G127" s="14">
        <f>VLOOKUP($B127,'2. Red CPM-Ruta Critica'!$A:$F,6,FALSE())</f>
        <v>12</v>
      </c>
      <c r="H127" s="14">
        <f>VLOOKUP($B127,'2. Red CPM-Ruta Critica'!$A:$H,8,FALSE())</f>
        <v>471</v>
      </c>
      <c r="I127" s="14">
        <f>VLOOKUP($B127,'2. Red CPM-Ruta Critica'!$A:$I,9,FALSE())</f>
        <v>483</v>
      </c>
      <c r="J127" s="27">
        <f>'0. Parametros'!$B$3+H127</f>
        <v>46141</v>
      </c>
      <c r="K127" s="27">
        <f>'0. Parametros'!$B$3+I127-1</f>
        <v>46152</v>
      </c>
      <c r="L127" s="14" t="str">
        <f>VLOOKUP($B127,'2. Red CPM-Ruta Critica'!$A:$M,13,FALSE())</f>
        <v>no</v>
      </c>
      <c r="AH127" s="7" t="b">
        <f>ISNUMBER(MATCH($B127,'2. Red CPM-Ruta Critica'!$A:$A,0))</f>
        <v>1</v>
      </c>
    </row>
    <row r="128" spans="1:34" x14ac:dyDescent="0.25">
      <c r="A128" s="13">
        <f t="shared" si="4"/>
        <v>123</v>
      </c>
      <c r="B128" s="28" t="str">
        <f>'1. Calculo PERT'!A127</f>
        <v>1.3.2.2</v>
      </c>
      <c r="C128" s="29" t="str">
        <f>'1. Calculo PERT'!C127</f>
        <v>Calzada vehicular (213 metros lineales Tipo V-3) terminada</v>
      </c>
      <c r="D128" s="28">
        <f>'1. Calculo PERT'!B127</f>
        <v>4</v>
      </c>
      <c r="E128" s="28" t="str">
        <f>'1. Calculo PERT'!D127</f>
        <v>3-Construccion</v>
      </c>
      <c r="F128" s="30"/>
      <c r="G128" s="13">
        <f>I128-H128</f>
        <v>44</v>
      </c>
      <c r="H128" s="13">
        <f t="array" ref="H128">MIN(IF(LEFT('2. Red CPM-Ruta Critica'!$A$5:$A$167,LEN($B128)+1)=$B128&amp;".",'2. Red CPM-Ruta Critica'!$H$5:$H$167))</f>
        <v>476</v>
      </c>
      <c r="I128" s="13">
        <f t="array" ref="I128">MAX(IF(LEFT('2. Red CPM-Ruta Critica'!$A$5:$A$167,LEN($B128)+1)=$B128&amp;".",'2. Red CPM-Ruta Critica'!$I$5:$I$167))</f>
        <v>520</v>
      </c>
      <c r="J128" s="31">
        <f>'0. Parametros'!$B$3+H128</f>
        <v>46146</v>
      </c>
      <c r="K128" s="31">
        <f>'0. Parametros'!$B$3+I128-1</f>
        <v>46189</v>
      </c>
      <c r="L128" s="13"/>
      <c r="AH128" s="7" t="b">
        <f>ISNUMBER(MATCH($B128,'2. Red CPM-Ruta Critica'!$A:$A,0))</f>
        <v>0</v>
      </c>
    </row>
    <row r="129" spans="1:34" x14ac:dyDescent="0.25">
      <c r="A129" s="7">
        <f t="shared" si="4"/>
        <v>124</v>
      </c>
      <c r="B129" s="14" t="str">
        <f>'1. Calculo PERT'!A128</f>
        <v>1.3.2.2.1</v>
      </c>
      <c r="C129" s="14" t="str">
        <f>'1. Calculo PERT'!C128</f>
        <v>Imprimar y aplicar riego de liga sobre la base granular</v>
      </c>
      <c r="D129" s="14">
        <f>'1. Calculo PERT'!B128</f>
        <v>5</v>
      </c>
      <c r="E129" s="14" t="str">
        <f>'1. Calculo PERT'!D128</f>
        <v>3-Construccion</v>
      </c>
      <c r="F129" s="5" t="s">
        <v>550</v>
      </c>
      <c r="G129" s="14">
        <f>VLOOKUP($B129,'2. Red CPM-Ruta Critica'!$A:$F,6,FALSE())</f>
        <v>5</v>
      </c>
      <c r="H129" s="14">
        <f>VLOOKUP($B129,'2. Red CPM-Ruta Critica'!$A:$H,8,FALSE())</f>
        <v>476</v>
      </c>
      <c r="I129" s="14">
        <f>VLOOKUP($B129,'2. Red CPM-Ruta Critica'!$A:$I,9,FALSE())</f>
        <v>481</v>
      </c>
      <c r="J129" s="27">
        <f>'0. Parametros'!$B$3+H129</f>
        <v>46146</v>
      </c>
      <c r="K129" s="27">
        <f>'0. Parametros'!$B$3+I129-1</f>
        <v>46150</v>
      </c>
      <c r="L129" s="14" t="str">
        <f>VLOOKUP($B129,'2. Red CPM-Ruta Critica'!$A:$M,13,FALSE())</f>
        <v>no</v>
      </c>
      <c r="AH129" s="7" t="b">
        <f>ISNUMBER(MATCH($B129,'2. Red CPM-Ruta Critica'!$A:$A,0))</f>
        <v>1</v>
      </c>
    </row>
    <row r="130" spans="1:34" x14ac:dyDescent="0.25">
      <c r="A130" s="7">
        <f t="shared" si="4"/>
        <v>125</v>
      </c>
      <c r="B130" s="14" t="str">
        <f>'1. Calculo PERT'!A129</f>
        <v>1.3.2.2.2</v>
      </c>
      <c r="C130" s="14" t="str">
        <f>'1. Calculo PERT'!C129</f>
        <v>Colocar la base asfaltica MDC-25</v>
      </c>
      <c r="D130" s="14">
        <f>'1. Calculo PERT'!B129</f>
        <v>5</v>
      </c>
      <c r="E130" s="14" t="str">
        <f>'1. Calculo PERT'!D129</f>
        <v>3-Construccion</v>
      </c>
      <c r="F130" s="5" t="s">
        <v>555</v>
      </c>
      <c r="G130" s="14">
        <f>VLOOKUP($B130,'2. Red CPM-Ruta Critica'!$A:$F,6,FALSE())</f>
        <v>12</v>
      </c>
      <c r="H130" s="14">
        <f>VLOOKUP($B130,'2. Red CPM-Ruta Critica'!$A:$H,8,FALSE())</f>
        <v>481</v>
      </c>
      <c r="I130" s="14">
        <f>VLOOKUP($B130,'2. Red CPM-Ruta Critica'!$A:$I,9,FALSE())</f>
        <v>493</v>
      </c>
      <c r="J130" s="27">
        <f>'0. Parametros'!$B$3+H130</f>
        <v>46151</v>
      </c>
      <c r="K130" s="27">
        <f>'0. Parametros'!$B$3+I130-1</f>
        <v>46162</v>
      </c>
      <c r="L130" s="14" t="str">
        <f>VLOOKUP($B130,'2. Red CPM-Ruta Critica'!$A:$M,13,FALSE())</f>
        <v>no</v>
      </c>
      <c r="AH130" s="7" t="b">
        <f>ISNUMBER(MATCH($B130,'2. Red CPM-Ruta Critica'!$A:$A,0))</f>
        <v>1</v>
      </c>
    </row>
    <row r="131" spans="1:34" x14ac:dyDescent="0.25">
      <c r="A131" s="7">
        <f t="shared" si="4"/>
        <v>126</v>
      </c>
      <c r="B131" s="14" t="str">
        <f>'1. Calculo PERT'!A130</f>
        <v>1.3.2.2.3</v>
      </c>
      <c r="C131" s="14" t="str">
        <f>'1. Calculo PERT'!C130</f>
        <v>Colocar la capa de rodadura MDC-19 con GCR</v>
      </c>
      <c r="D131" s="14">
        <f>'1. Calculo PERT'!B130</f>
        <v>5</v>
      </c>
      <c r="E131" s="14" t="str">
        <f>'1. Calculo PERT'!D130</f>
        <v>3-Construccion</v>
      </c>
      <c r="F131" s="5" t="s">
        <v>560</v>
      </c>
      <c r="G131" s="14">
        <f>VLOOKUP($B131,'2. Red CPM-Ruta Critica'!$A:$F,6,FALSE())</f>
        <v>12</v>
      </c>
      <c r="H131" s="14">
        <f>VLOOKUP($B131,'2. Red CPM-Ruta Critica'!$A:$H,8,FALSE())</f>
        <v>493</v>
      </c>
      <c r="I131" s="14">
        <f>VLOOKUP($B131,'2. Red CPM-Ruta Critica'!$A:$I,9,FALSE())</f>
        <v>505</v>
      </c>
      <c r="J131" s="27">
        <f>'0. Parametros'!$B$3+H131</f>
        <v>46163</v>
      </c>
      <c r="K131" s="27">
        <f>'0. Parametros'!$B$3+I131-1</f>
        <v>46174</v>
      </c>
      <c r="L131" s="14" t="str">
        <f>VLOOKUP($B131,'2. Red CPM-Ruta Critica'!$A:$M,13,FALSE())</f>
        <v>no</v>
      </c>
      <c r="AH131" s="7" t="b">
        <f>ISNUMBER(MATCH($B131,'2. Red CPM-Ruta Critica'!$A:$A,0))</f>
        <v>1</v>
      </c>
    </row>
    <row r="132" spans="1:34" x14ac:dyDescent="0.25">
      <c r="A132" s="7">
        <f t="shared" si="4"/>
        <v>127</v>
      </c>
      <c r="B132" s="14" t="str">
        <f>'1. Calculo PERT'!A131</f>
        <v>1.3.2.2.4</v>
      </c>
      <c r="C132" s="14" t="str">
        <f>'1. Calculo PERT'!C131</f>
        <v>Ejecutar sello, juntas y control de calidad (Marshall)</v>
      </c>
      <c r="D132" s="14">
        <f>'1. Calculo PERT'!B131</f>
        <v>5</v>
      </c>
      <c r="E132" s="14" t="str">
        <f>'1. Calculo PERT'!D131</f>
        <v>3-Construccion</v>
      </c>
      <c r="F132" s="5" t="s">
        <v>565</v>
      </c>
      <c r="G132" s="14">
        <f>VLOOKUP($B132,'2. Red CPM-Ruta Critica'!$A:$F,6,FALSE())</f>
        <v>10</v>
      </c>
      <c r="H132" s="14">
        <f>VLOOKUP($B132,'2. Red CPM-Ruta Critica'!$A:$H,8,FALSE())</f>
        <v>505</v>
      </c>
      <c r="I132" s="14">
        <f>VLOOKUP($B132,'2. Red CPM-Ruta Critica'!$A:$I,9,FALSE())</f>
        <v>515</v>
      </c>
      <c r="J132" s="27">
        <f>'0. Parametros'!$B$3+H132</f>
        <v>46175</v>
      </c>
      <c r="K132" s="27">
        <f>'0. Parametros'!$B$3+I132-1</f>
        <v>46184</v>
      </c>
      <c r="L132" s="14" t="str">
        <f>VLOOKUP($B132,'2. Red CPM-Ruta Critica'!$A:$M,13,FALSE())</f>
        <v>no</v>
      </c>
      <c r="AH132" s="7" t="b">
        <f>ISNUMBER(MATCH($B132,'2. Red CPM-Ruta Critica'!$A:$A,0))</f>
        <v>1</v>
      </c>
    </row>
    <row r="133" spans="1:34" x14ac:dyDescent="0.25">
      <c r="A133" s="7">
        <f t="shared" si="4"/>
        <v>128</v>
      </c>
      <c r="B133" s="14" t="str">
        <f>'1. Calculo PERT'!A132</f>
        <v>1.3.2.2.5</v>
      </c>
      <c r="C133" s="14" t="str">
        <f>'1. Calculo PERT'!C132</f>
        <v>Demarcar provisionalmente y proteger la calzada</v>
      </c>
      <c r="D133" s="14">
        <f>'1. Calculo PERT'!B132</f>
        <v>5</v>
      </c>
      <c r="E133" s="14" t="str">
        <f>'1. Calculo PERT'!D132</f>
        <v>3-Construccion</v>
      </c>
      <c r="F133" s="5" t="s">
        <v>570</v>
      </c>
      <c r="G133" s="14">
        <f>VLOOKUP($B133,'2. Red CPM-Ruta Critica'!$A:$F,6,FALSE())</f>
        <v>5</v>
      </c>
      <c r="H133" s="14">
        <f>VLOOKUP($B133,'2. Red CPM-Ruta Critica'!$A:$H,8,FALSE())</f>
        <v>515</v>
      </c>
      <c r="I133" s="14">
        <f>VLOOKUP($B133,'2. Red CPM-Ruta Critica'!$A:$I,9,FALSE())</f>
        <v>520</v>
      </c>
      <c r="J133" s="27">
        <f>'0. Parametros'!$B$3+H133</f>
        <v>46185</v>
      </c>
      <c r="K133" s="27">
        <f>'0. Parametros'!$B$3+I133-1</f>
        <v>46189</v>
      </c>
      <c r="L133" s="14" t="str">
        <f>VLOOKUP($B133,'2. Red CPM-Ruta Critica'!$A:$M,13,FALSE())</f>
        <v>no</v>
      </c>
      <c r="AH133" s="7" t="b">
        <f>ISNUMBER(MATCH($B133,'2. Red CPM-Ruta Critica'!$A:$A,0))</f>
        <v>1</v>
      </c>
    </row>
    <row r="134" spans="1:34" x14ac:dyDescent="0.25">
      <c r="A134" s="7">
        <f t="shared" ref="A134:A197" si="7">ROW()-5</f>
        <v>129</v>
      </c>
      <c r="B134" s="14" t="str">
        <f>'1. Calculo PERT'!A133</f>
        <v>1.3.2.2.6</v>
      </c>
      <c r="C134" s="14" t="str">
        <f>'1. Calculo PERT'!C133</f>
        <v>Bachear y reparar fisuras</v>
      </c>
      <c r="D134" s="14">
        <f>'1. Calculo PERT'!B133</f>
        <v>5</v>
      </c>
      <c r="E134" s="14" t="str">
        <f>'1. Calculo PERT'!D133</f>
        <v>3-Construccion</v>
      </c>
      <c r="F134" s="5" t="s">
        <v>570</v>
      </c>
      <c r="G134" s="14">
        <f>VLOOKUP($B134,'2. Red CPM-Ruta Critica'!$A:$F,6,FALSE())</f>
        <v>5</v>
      </c>
      <c r="H134" s="14">
        <f>VLOOKUP($B134,'2. Red CPM-Ruta Critica'!$A:$H,8,FALSE())</f>
        <v>515</v>
      </c>
      <c r="I134" s="14">
        <f>VLOOKUP($B134,'2. Red CPM-Ruta Critica'!$A:$I,9,FALSE())</f>
        <v>520</v>
      </c>
      <c r="J134" s="27">
        <f>'0. Parametros'!$B$3+H134</f>
        <v>46185</v>
      </c>
      <c r="K134" s="27">
        <f>'0. Parametros'!$B$3+I134-1</f>
        <v>46189</v>
      </c>
      <c r="L134" s="14" t="str">
        <f>VLOOKUP($B134,'2. Red CPM-Ruta Critica'!$A:$M,13,FALSE())</f>
        <v>no</v>
      </c>
      <c r="AH134" s="7" t="b">
        <f>ISNUMBER(MATCH($B134,'2. Red CPM-Ruta Critica'!$A:$A,0))</f>
        <v>1</v>
      </c>
    </row>
    <row r="135" spans="1:34" x14ac:dyDescent="0.25">
      <c r="A135" s="13">
        <f t="shared" si="7"/>
        <v>130</v>
      </c>
      <c r="B135" s="28" t="str">
        <f>'1. Calculo PERT'!A134</f>
        <v>1.3.2.3</v>
      </c>
      <c r="C135" s="29" t="str">
        <f>'1. Calculo PERT'!C134</f>
        <v>Cimentaciones y estructuras de soporte de la semaforizacion</v>
      </c>
      <c r="D135" s="28">
        <f>'1. Calculo PERT'!B134</f>
        <v>4</v>
      </c>
      <c r="E135" s="28" t="str">
        <f>'1. Calculo PERT'!D134</f>
        <v>3-Construccion</v>
      </c>
      <c r="F135" s="30"/>
      <c r="G135" s="13">
        <f>I135-H135</f>
        <v>106</v>
      </c>
      <c r="H135" s="13">
        <f t="array" ref="H135">MIN(IF(LEFT('2. Red CPM-Ruta Critica'!$A$5:$A$167,LEN($B135)+1)=$B135&amp;".",'2. Red CPM-Ruta Critica'!$H$5:$H$167))</f>
        <v>313</v>
      </c>
      <c r="I135" s="13">
        <f t="array" ref="I135">MAX(IF(LEFT('2. Red CPM-Ruta Critica'!$A$5:$A$167,LEN($B135)+1)=$B135&amp;".",'2. Red CPM-Ruta Critica'!$I$5:$I$167))</f>
        <v>419</v>
      </c>
      <c r="J135" s="31">
        <f>'0. Parametros'!$B$3+H135</f>
        <v>45983</v>
      </c>
      <c r="K135" s="31">
        <f>'0. Parametros'!$B$3+I135-1</f>
        <v>46088</v>
      </c>
      <c r="L135" s="13"/>
      <c r="AH135" s="7" t="b">
        <f>ISNUMBER(MATCH($B135,'2. Red CPM-Ruta Critica'!$A:$A,0))</f>
        <v>0</v>
      </c>
    </row>
    <row r="136" spans="1:34" x14ac:dyDescent="0.25">
      <c r="A136" s="7">
        <f t="shared" si="7"/>
        <v>131</v>
      </c>
      <c r="B136" s="14" t="str">
        <f>'1. Calculo PERT'!A135</f>
        <v>1.3.2.3.1</v>
      </c>
      <c r="C136" s="14" t="str">
        <f>'1. Calculo PERT'!C135</f>
        <v>Excavar y cimentar las bases de los postes semaforicos</v>
      </c>
      <c r="D136" s="14">
        <f>'1. Calculo PERT'!B135</f>
        <v>5</v>
      </c>
      <c r="E136" s="14" t="str">
        <f>'1. Calculo PERT'!D135</f>
        <v>3-Construccion</v>
      </c>
      <c r="F136" s="5" t="s">
        <v>395</v>
      </c>
      <c r="G136" s="14">
        <f>VLOOKUP($B136,'2. Red CPM-Ruta Critica'!$A:$F,6,FALSE())</f>
        <v>29</v>
      </c>
      <c r="H136" s="14">
        <f>VLOOKUP($B136,'2. Red CPM-Ruta Critica'!$A:$H,8,FALSE())</f>
        <v>313</v>
      </c>
      <c r="I136" s="14">
        <f>VLOOKUP($B136,'2. Red CPM-Ruta Critica'!$A:$I,9,FALSE())</f>
        <v>342</v>
      </c>
      <c r="J136" s="27">
        <f>'0. Parametros'!$B$3+H136</f>
        <v>45983</v>
      </c>
      <c r="K136" s="27">
        <f>'0. Parametros'!$B$3+I136-1</f>
        <v>46011</v>
      </c>
      <c r="L136" s="14" t="str">
        <f>VLOOKUP($B136,'2. Red CPM-Ruta Critica'!$A:$M,13,FALSE())</f>
        <v>no</v>
      </c>
      <c r="AH136" s="7" t="b">
        <f>ISNUMBER(MATCH($B136,'2. Red CPM-Ruta Critica'!$A:$A,0))</f>
        <v>1</v>
      </c>
    </row>
    <row r="137" spans="1:34" x14ac:dyDescent="0.25">
      <c r="A137" s="7">
        <f t="shared" si="7"/>
        <v>132</v>
      </c>
      <c r="B137" s="14" t="str">
        <f>'1. Calculo PERT'!A136</f>
        <v>1.3.2.3.2</v>
      </c>
      <c r="C137" s="14" t="str">
        <f>'1. Calculo PERT'!C136</f>
        <v>Fundir los dados de cimentacion en concreto reforzado</v>
      </c>
      <c r="D137" s="14">
        <f>'1. Calculo PERT'!B136</f>
        <v>5</v>
      </c>
      <c r="E137" s="14" t="str">
        <f>'1. Calculo PERT'!D136</f>
        <v>3-Construccion</v>
      </c>
      <c r="F137" s="5" t="s">
        <v>584</v>
      </c>
      <c r="G137" s="14">
        <f>VLOOKUP($B137,'2. Red CPM-Ruta Critica'!$A:$F,6,FALSE())</f>
        <v>18</v>
      </c>
      <c r="H137" s="14">
        <f>VLOOKUP($B137,'2. Red CPM-Ruta Critica'!$A:$H,8,FALSE())</f>
        <v>342</v>
      </c>
      <c r="I137" s="14">
        <f>VLOOKUP($B137,'2. Red CPM-Ruta Critica'!$A:$I,9,FALSE())</f>
        <v>360</v>
      </c>
      <c r="J137" s="27">
        <f>'0. Parametros'!$B$3+H137</f>
        <v>46012</v>
      </c>
      <c r="K137" s="27">
        <f>'0. Parametros'!$B$3+I137-1</f>
        <v>46029</v>
      </c>
      <c r="L137" s="14" t="str">
        <f>VLOOKUP($B137,'2. Red CPM-Ruta Critica'!$A:$M,13,FALSE())</f>
        <v>no</v>
      </c>
      <c r="AH137" s="7" t="b">
        <f>ISNUMBER(MATCH($B137,'2. Red CPM-Ruta Critica'!$A:$A,0))</f>
        <v>1</v>
      </c>
    </row>
    <row r="138" spans="1:34" x14ac:dyDescent="0.25">
      <c r="A138" s="7">
        <f t="shared" si="7"/>
        <v>133</v>
      </c>
      <c r="B138" s="14" t="str">
        <f>'1. Calculo PERT'!A137</f>
        <v>1.3.2.3.3</v>
      </c>
      <c r="C138" s="14" t="str">
        <f>'1. Calculo PERT'!C137</f>
        <v>Montar postes y mensulas estructurales de semaforos</v>
      </c>
      <c r="D138" s="14">
        <f>'1. Calculo PERT'!B137</f>
        <v>5</v>
      </c>
      <c r="E138" s="14" t="str">
        <f>'1. Calculo PERT'!D137</f>
        <v>3-Construccion</v>
      </c>
      <c r="F138" s="5" t="s">
        <v>589</v>
      </c>
      <c r="G138" s="14">
        <f>VLOOKUP($B138,'2. Red CPM-Ruta Critica'!$A:$F,6,FALSE())</f>
        <v>27</v>
      </c>
      <c r="H138" s="14">
        <f>VLOOKUP($B138,'2. Red CPM-Ruta Critica'!$A:$H,8,FALSE())</f>
        <v>360</v>
      </c>
      <c r="I138" s="14">
        <f>VLOOKUP($B138,'2. Red CPM-Ruta Critica'!$A:$I,9,FALSE())</f>
        <v>387</v>
      </c>
      <c r="J138" s="27">
        <f>'0. Parametros'!$B$3+H138</f>
        <v>46030</v>
      </c>
      <c r="K138" s="27">
        <f>'0. Parametros'!$B$3+I138-1</f>
        <v>46056</v>
      </c>
      <c r="L138" s="14" t="str">
        <f>VLOOKUP($B138,'2. Red CPM-Ruta Critica'!$A:$M,13,FALSE())</f>
        <v>no</v>
      </c>
      <c r="AH138" s="7" t="b">
        <f>ISNUMBER(MATCH($B138,'2. Red CPM-Ruta Critica'!$A:$A,0))</f>
        <v>1</v>
      </c>
    </row>
    <row r="139" spans="1:34" x14ac:dyDescent="0.25">
      <c r="A139" s="7">
        <f t="shared" si="7"/>
        <v>134</v>
      </c>
      <c r="B139" s="14" t="str">
        <f>'1. Calculo PERT'!A138</f>
        <v>1.3.2.3.4</v>
      </c>
      <c r="C139" s="14" t="str">
        <f>'1. Calculo PERT'!C138</f>
        <v>Fundir pedestales y anclajes de los equipos semaforicos</v>
      </c>
      <c r="D139" s="14">
        <f>'1. Calculo PERT'!B138</f>
        <v>5</v>
      </c>
      <c r="E139" s="14" t="str">
        <f>'1. Calculo PERT'!D138</f>
        <v>3-Construccion</v>
      </c>
      <c r="F139" s="5" t="s">
        <v>594</v>
      </c>
      <c r="G139" s="14">
        <f>VLOOKUP($B139,'2. Red CPM-Ruta Critica'!$A:$F,6,FALSE())</f>
        <v>22</v>
      </c>
      <c r="H139" s="14">
        <f>VLOOKUP($B139,'2. Red CPM-Ruta Critica'!$A:$H,8,FALSE())</f>
        <v>387</v>
      </c>
      <c r="I139" s="14">
        <f>VLOOKUP($B139,'2. Red CPM-Ruta Critica'!$A:$I,9,FALSE())</f>
        <v>409</v>
      </c>
      <c r="J139" s="27">
        <f>'0. Parametros'!$B$3+H139</f>
        <v>46057</v>
      </c>
      <c r="K139" s="27">
        <f>'0. Parametros'!$B$3+I139-1</f>
        <v>46078</v>
      </c>
      <c r="L139" s="14" t="str">
        <f>VLOOKUP($B139,'2. Red CPM-Ruta Critica'!$A:$M,13,FALSE())</f>
        <v>no</v>
      </c>
      <c r="AH139" s="7" t="b">
        <f>ISNUMBER(MATCH($B139,'2. Red CPM-Ruta Critica'!$A:$A,0))</f>
        <v>1</v>
      </c>
    </row>
    <row r="140" spans="1:34" x14ac:dyDescent="0.25">
      <c r="A140" s="7">
        <f t="shared" si="7"/>
        <v>135</v>
      </c>
      <c r="B140" s="14" t="str">
        <f>'1. Calculo PERT'!A139</f>
        <v>1.3.2.3.5</v>
      </c>
      <c r="C140" s="14" t="str">
        <f>'1. Calculo PERT'!C139</f>
        <v>Ejecutar pruebas de carga y verticalidad de los postes</v>
      </c>
      <c r="D140" s="14">
        <f>'1. Calculo PERT'!B139</f>
        <v>5</v>
      </c>
      <c r="E140" s="14" t="str">
        <f>'1. Calculo PERT'!D139</f>
        <v>3-Construccion</v>
      </c>
      <c r="F140" s="5" t="s">
        <v>599</v>
      </c>
      <c r="G140" s="14">
        <f>VLOOKUP($B140,'2. Red CPM-Ruta Critica'!$A:$F,6,FALSE())</f>
        <v>10</v>
      </c>
      <c r="H140" s="14">
        <f>VLOOKUP($B140,'2. Red CPM-Ruta Critica'!$A:$H,8,FALSE())</f>
        <v>409</v>
      </c>
      <c r="I140" s="14">
        <f>VLOOKUP($B140,'2. Red CPM-Ruta Critica'!$A:$I,9,FALSE())</f>
        <v>419</v>
      </c>
      <c r="J140" s="27">
        <f>'0. Parametros'!$B$3+H140</f>
        <v>46079</v>
      </c>
      <c r="K140" s="27">
        <f>'0. Parametros'!$B$3+I140-1</f>
        <v>46088</v>
      </c>
      <c r="L140" s="14" t="str">
        <f>VLOOKUP($B140,'2. Red CPM-Ruta Critica'!$A:$M,13,FALSE())</f>
        <v>no</v>
      </c>
      <c r="AH140" s="7" t="b">
        <f>ISNUMBER(MATCH($B140,'2. Red CPM-Ruta Critica'!$A:$A,0))</f>
        <v>1</v>
      </c>
    </row>
    <row r="141" spans="1:34" x14ac:dyDescent="0.25">
      <c r="A141" s="7">
        <f t="shared" si="7"/>
        <v>136</v>
      </c>
      <c r="B141" s="14" t="str">
        <f>'1. Calculo PERT'!A140</f>
        <v>1.3.2.3.6</v>
      </c>
      <c r="C141" s="14" t="str">
        <f>'1. Calculo PERT'!C140</f>
        <v>Instalar pernos de anclaje, placas base y herrajes</v>
      </c>
      <c r="D141" s="14">
        <f>'1. Calculo PERT'!B140</f>
        <v>5</v>
      </c>
      <c r="E141" s="14" t="str">
        <f>'1. Calculo PERT'!D140</f>
        <v>3-Construccion</v>
      </c>
      <c r="F141" s="5" t="s">
        <v>599</v>
      </c>
      <c r="G141" s="14">
        <f>VLOOKUP($B141,'2. Red CPM-Ruta Critica'!$A:$F,6,FALSE())</f>
        <v>10</v>
      </c>
      <c r="H141" s="14">
        <f>VLOOKUP($B141,'2. Red CPM-Ruta Critica'!$A:$H,8,FALSE())</f>
        <v>409</v>
      </c>
      <c r="I141" s="14">
        <f>VLOOKUP($B141,'2. Red CPM-Ruta Critica'!$A:$I,9,FALSE())</f>
        <v>419</v>
      </c>
      <c r="J141" s="27">
        <f>'0. Parametros'!$B$3+H141</f>
        <v>46079</v>
      </c>
      <c r="K141" s="27">
        <f>'0. Parametros'!$B$3+I141-1</f>
        <v>46088</v>
      </c>
      <c r="L141" s="14" t="str">
        <f>VLOOKUP($B141,'2. Red CPM-Ruta Critica'!$A:$M,13,FALSE())</f>
        <v>no</v>
      </c>
      <c r="AH141" s="7" t="b">
        <f>ISNUMBER(MATCH($B141,'2. Red CPM-Ruta Critica'!$A:$A,0))</f>
        <v>1</v>
      </c>
    </row>
    <row r="142" spans="1:34" x14ac:dyDescent="0.25">
      <c r="A142" s="7">
        <f t="shared" si="7"/>
        <v>137</v>
      </c>
      <c r="B142" s="14" t="str">
        <f>'1. Calculo PERT'!A141</f>
        <v>1.3.2.3.7</v>
      </c>
      <c r="C142" s="14" t="str">
        <f>'1. Calculo PERT'!C141</f>
        <v>Construir obras de proteccion y drenaje de las cimentaciones</v>
      </c>
      <c r="D142" s="14">
        <f>'1. Calculo PERT'!B141</f>
        <v>5</v>
      </c>
      <c r="E142" s="14" t="str">
        <f>'1. Calculo PERT'!D141</f>
        <v>3-Construccion</v>
      </c>
      <c r="F142" s="5" t="s">
        <v>589</v>
      </c>
      <c r="G142" s="14">
        <f>VLOOKUP($B142,'2. Red CPM-Ruta Critica'!$A:$F,6,FALSE())</f>
        <v>12</v>
      </c>
      <c r="H142" s="14">
        <f>VLOOKUP($B142,'2. Red CPM-Ruta Critica'!$A:$H,8,FALSE())</f>
        <v>360</v>
      </c>
      <c r="I142" s="14">
        <f>VLOOKUP($B142,'2. Red CPM-Ruta Critica'!$A:$I,9,FALSE())</f>
        <v>372</v>
      </c>
      <c r="J142" s="27">
        <f>'0. Parametros'!$B$3+H142</f>
        <v>46030</v>
      </c>
      <c r="K142" s="27">
        <f>'0. Parametros'!$B$3+I142-1</f>
        <v>46041</v>
      </c>
      <c r="L142" s="14" t="str">
        <f>VLOOKUP($B142,'2. Red CPM-Ruta Critica'!$A:$M,13,FALSE())</f>
        <v>no</v>
      </c>
      <c r="AH142" s="7" t="b">
        <f>ISNUMBER(MATCH($B142,'2. Red CPM-Ruta Critica'!$A:$A,0))</f>
        <v>1</v>
      </c>
    </row>
    <row r="143" spans="1:34" x14ac:dyDescent="0.25">
      <c r="A143" s="13">
        <f t="shared" si="7"/>
        <v>138</v>
      </c>
      <c r="B143" s="28" t="str">
        <f>'1. Calculo PERT'!A142</f>
        <v>1.3.3</v>
      </c>
      <c r="C143" s="29" t="str">
        <f>'1. Calculo PERT'!C142</f>
        <v>Cuenta de control: Espacio Publico y Urbanismo</v>
      </c>
      <c r="D143" s="28">
        <f>'1. Calculo PERT'!B142</f>
        <v>3</v>
      </c>
      <c r="E143" s="28" t="str">
        <f>'1. Calculo PERT'!D142</f>
        <v>3-Construccion</v>
      </c>
      <c r="F143" s="30"/>
      <c r="G143" s="13">
        <f>I143-H143</f>
        <v>79</v>
      </c>
      <c r="H143" s="13">
        <f t="array" ref="H143">MIN(IF(LEFT('2. Red CPM-Ruta Critica'!$A$5:$A$167,LEN($B143)+1)=$B143&amp;".",'2. Red CPM-Ruta Critica'!$H$5:$H$167))</f>
        <v>471</v>
      </c>
      <c r="I143" s="13">
        <f t="array" ref="I143">MAX(IF(LEFT('2. Red CPM-Ruta Critica'!$A$5:$A$167,LEN($B143)+1)=$B143&amp;".",'2. Red CPM-Ruta Critica'!$I$5:$I$167))</f>
        <v>550</v>
      </c>
      <c r="J143" s="31">
        <f>'0. Parametros'!$B$3+H143</f>
        <v>46141</v>
      </c>
      <c r="K143" s="31">
        <f>'0. Parametros'!$B$3+I143-1</f>
        <v>46219</v>
      </c>
      <c r="L143" s="13"/>
      <c r="AH143" s="7" t="b">
        <f>ISNUMBER(MATCH($B143,'2. Red CPM-Ruta Critica'!$A:$A,0))</f>
        <v>0</v>
      </c>
    </row>
    <row r="144" spans="1:34" x14ac:dyDescent="0.25">
      <c r="A144" s="13">
        <f t="shared" si="7"/>
        <v>139</v>
      </c>
      <c r="B144" s="28" t="str">
        <f>'1. Calculo PERT'!A143</f>
        <v>1.3.3.1</v>
      </c>
      <c r="C144" s="29" t="str">
        <f>'1. Calculo PERT'!C143</f>
        <v>Areas de andenes y espacio publico construidos (2.215 m2)</v>
      </c>
      <c r="D144" s="28">
        <f>'1. Calculo PERT'!B143</f>
        <v>4</v>
      </c>
      <c r="E144" s="28" t="str">
        <f>'1. Calculo PERT'!D143</f>
        <v>3-Construccion</v>
      </c>
      <c r="F144" s="30"/>
      <c r="G144" s="13">
        <f>I144-H144</f>
        <v>79</v>
      </c>
      <c r="H144" s="13">
        <f t="array" ref="H144">MIN(IF(LEFT('2. Red CPM-Ruta Critica'!$A$5:$A$167,LEN($B144)+1)=$B144&amp;".",'2. Red CPM-Ruta Critica'!$H$5:$H$167))</f>
        <v>471</v>
      </c>
      <c r="I144" s="13">
        <f t="array" ref="I144">MAX(IF(LEFT('2. Red CPM-Ruta Critica'!$A$5:$A$167,LEN($B144)+1)=$B144&amp;".",'2. Red CPM-Ruta Critica'!$I$5:$I$167))</f>
        <v>550</v>
      </c>
      <c r="J144" s="31">
        <f>'0. Parametros'!$B$3+H144</f>
        <v>46141</v>
      </c>
      <c r="K144" s="31">
        <f>'0. Parametros'!$B$3+I144-1</f>
        <v>46219</v>
      </c>
      <c r="L144" s="13"/>
      <c r="AH144" s="7" t="b">
        <f>ISNUMBER(MATCH($B144,'2. Red CPM-Ruta Critica'!$A:$A,0))</f>
        <v>0</v>
      </c>
    </row>
    <row r="145" spans="1:34" x14ac:dyDescent="0.25">
      <c r="A145" s="7">
        <f t="shared" si="7"/>
        <v>140</v>
      </c>
      <c r="B145" s="14" t="str">
        <f>'1. Calculo PERT'!A144</f>
        <v>1.3.3.1.1</v>
      </c>
      <c r="C145" s="14" t="str">
        <f>'1. Calculo PERT'!C144</f>
        <v>Conformar la base y solados de andenes en los Tramos 1-2</v>
      </c>
      <c r="D145" s="14">
        <f>'1. Calculo PERT'!B144</f>
        <v>5</v>
      </c>
      <c r="E145" s="14" t="str">
        <f>'1. Calculo PERT'!D144</f>
        <v>3-Construccion</v>
      </c>
      <c r="F145" s="5" t="s">
        <v>529</v>
      </c>
      <c r="G145" s="14">
        <f>VLOOKUP($B145,'2. Red CPM-Ruta Critica'!$A:$F,6,FALSE())</f>
        <v>15</v>
      </c>
      <c r="H145" s="14">
        <f>VLOOKUP($B145,'2. Red CPM-Ruta Critica'!$A:$H,8,FALSE())</f>
        <v>471</v>
      </c>
      <c r="I145" s="14">
        <f>VLOOKUP($B145,'2. Red CPM-Ruta Critica'!$A:$I,9,FALSE())</f>
        <v>486</v>
      </c>
      <c r="J145" s="27">
        <f>'0. Parametros'!$B$3+H145</f>
        <v>46141</v>
      </c>
      <c r="K145" s="27">
        <f>'0. Parametros'!$B$3+I145-1</f>
        <v>46155</v>
      </c>
      <c r="L145" s="14" t="str">
        <f>VLOOKUP($B145,'2. Red CPM-Ruta Critica'!$A:$M,13,FALSE())</f>
        <v>SI</v>
      </c>
      <c r="AH145" s="7" t="b">
        <f>ISNUMBER(MATCH($B145,'2. Red CPM-Ruta Critica'!$A:$A,0))</f>
        <v>1</v>
      </c>
    </row>
    <row r="146" spans="1:34" x14ac:dyDescent="0.25">
      <c r="A146" s="7">
        <f t="shared" si="7"/>
        <v>141</v>
      </c>
      <c r="B146" s="14" t="str">
        <f>'1. Calculo PERT'!A145</f>
        <v>1.3.3.1.2</v>
      </c>
      <c r="C146" s="14" t="str">
        <f>'1. Calculo PERT'!C145</f>
        <v>Conformar la base y solados de andenes en el Tramo 3</v>
      </c>
      <c r="D146" s="14">
        <f>'1. Calculo PERT'!B145</f>
        <v>5</v>
      </c>
      <c r="E146" s="14" t="str">
        <f>'1. Calculo PERT'!D145</f>
        <v>3-Construccion</v>
      </c>
      <c r="F146" s="5" t="s">
        <v>619</v>
      </c>
      <c r="G146" s="14">
        <f>VLOOKUP($B146,'2. Red CPM-Ruta Critica'!$A:$F,6,FALSE())</f>
        <v>12</v>
      </c>
      <c r="H146" s="14">
        <f>VLOOKUP($B146,'2. Red CPM-Ruta Critica'!$A:$H,8,FALSE())</f>
        <v>486</v>
      </c>
      <c r="I146" s="14">
        <f>VLOOKUP($B146,'2. Red CPM-Ruta Critica'!$A:$I,9,FALSE())</f>
        <v>498</v>
      </c>
      <c r="J146" s="27">
        <f>'0. Parametros'!$B$3+H146</f>
        <v>46156</v>
      </c>
      <c r="K146" s="27">
        <f>'0. Parametros'!$B$3+I146-1</f>
        <v>46167</v>
      </c>
      <c r="L146" s="14" t="str">
        <f>VLOOKUP($B146,'2. Red CPM-Ruta Critica'!$A:$M,13,FALSE())</f>
        <v>no</v>
      </c>
      <c r="AH146" s="7" t="b">
        <f>ISNUMBER(MATCH($B146,'2. Red CPM-Ruta Critica'!$A:$A,0))</f>
        <v>1</v>
      </c>
    </row>
    <row r="147" spans="1:34" x14ac:dyDescent="0.25">
      <c r="A147" s="7">
        <f t="shared" si="7"/>
        <v>142</v>
      </c>
      <c r="B147" s="14" t="str">
        <f>'1. Calculo PERT'!A146</f>
        <v>1.3.3.1.3</v>
      </c>
      <c r="C147" s="14" t="str">
        <f>'1. Calculo PERT'!C146</f>
        <v>Instalar pisos y adoquines en los Tramos 1-2</v>
      </c>
      <c r="D147" s="14">
        <f>'1. Calculo PERT'!B146</f>
        <v>5</v>
      </c>
      <c r="E147" s="14" t="str">
        <f>'1. Calculo PERT'!D146</f>
        <v>3-Construccion</v>
      </c>
      <c r="F147" s="5" t="s">
        <v>619</v>
      </c>
      <c r="G147" s="14">
        <f>VLOOKUP($B147,'2. Red CPM-Ruta Critica'!$A:$F,6,FALSE())</f>
        <v>15</v>
      </c>
      <c r="H147" s="14">
        <f>VLOOKUP($B147,'2. Red CPM-Ruta Critica'!$A:$H,8,FALSE())</f>
        <v>486</v>
      </c>
      <c r="I147" s="14">
        <f>VLOOKUP($B147,'2. Red CPM-Ruta Critica'!$A:$I,9,FALSE())</f>
        <v>501</v>
      </c>
      <c r="J147" s="27">
        <f>'0. Parametros'!$B$3+H147</f>
        <v>46156</v>
      </c>
      <c r="K147" s="27">
        <f>'0. Parametros'!$B$3+I147-1</f>
        <v>46170</v>
      </c>
      <c r="L147" s="14" t="str">
        <f>VLOOKUP($B147,'2. Red CPM-Ruta Critica'!$A:$M,13,FALSE())</f>
        <v>SI</v>
      </c>
      <c r="AH147" s="7" t="b">
        <f>ISNUMBER(MATCH($B147,'2. Red CPM-Ruta Critica'!$A:$A,0))</f>
        <v>1</v>
      </c>
    </row>
    <row r="148" spans="1:34" x14ac:dyDescent="0.25">
      <c r="A148" s="7">
        <f t="shared" si="7"/>
        <v>143</v>
      </c>
      <c r="B148" s="14" t="str">
        <f>'1. Calculo PERT'!A147</f>
        <v>1.3.3.1.4</v>
      </c>
      <c r="C148" s="14" t="str">
        <f>'1. Calculo PERT'!C147</f>
        <v>Instalar pisos y adoquines en el Tramo 3</v>
      </c>
      <c r="D148" s="14">
        <f>'1. Calculo PERT'!B147</f>
        <v>5</v>
      </c>
      <c r="E148" s="14" t="str">
        <f>'1. Calculo PERT'!D147</f>
        <v>3-Construccion</v>
      </c>
      <c r="F148" s="5" t="s">
        <v>627</v>
      </c>
      <c r="G148" s="14">
        <f>VLOOKUP($B148,'2. Red CPM-Ruta Critica'!$A:$F,6,FALSE())</f>
        <v>12</v>
      </c>
      <c r="H148" s="14">
        <f>VLOOKUP($B148,'2. Red CPM-Ruta Critica'!$A:$H,8,FALSE())</f>
        <v>501</v>
      </c>
      <c r="I148" s="14">
        <f>VLOOKUP($B148,'2. Red CPM-Ruta Critica'!$A:$I,9,FALSE())</f>
        <v>513</v>
      </c>
      <c r="J148" s="27">
        <f>'0. Parametros'!$B$3+H148</f>
        <v>46171</v>
      </c>
      <c r="K148" s="27">
        <f>'0. Parametros'!$B$3+I148-1</f>
        <v>46182</v>
      </c>
      <c r="L148" s="14" t="str">
        <f>VLOOKUP($B148,'2. Red CPM-Ruta Critica'!$A:$M,13,FALSE())</f>
        <v>SI</v>
      </c>
      <c r="AH148" s="7" t="b">
        <f>ISNUMBER(MATCH($B148,'2. Red CPM-Ruta Critica'!$A:$A,0))</f>
        <v>1</v>
      </c>
    </row>
    <row r="149" spans="1:34" x14ac:dyDescent="0.25">
      <c r="A149" s="7">
        <f t="shared" si="7"/>
        <v>144</v>
      </c>
      <c r="B149" s="14" t="str">
        <f>'1. Calculo PERT'!A148</f>
        <v>1.3.3.1.5</v>
      </c>
      <c r="C149" s="14" t="str">
        <f>'1. Calculo PERT'!C148</f>
        <v>Instalar bordillos, sardineles y elementos de drenaje</v>
      </c>
      <c r="D149" s="14">
        <f>'1. Calculo PERT'!B148</f>
        <v>5</v>
      </c>
      <c r="E149" s="14" t="str">
        <f>'1. Calculo PERT'!D148</f>
        <v>3-Construccion</v>
      </c>
      <c r="F149" s="5" t="s">
        <v>632</v>
      </c>
      <c r="G149" s="14">
        <f>VLOOKUP($B149,'2. Red CPM-Ruta Critica'!$A:$F,6,FALSE())</f>
        <v>15</v>
      </c>
      <c r="H149" s="14">
        <f>VLOOKUP($B149,'2. Red CPM-Ruta Critica'!$A:$H,8,FALSE())</f>
        <v>513</v>
      </c>
      <c r="I149" s="14">
        <f>VLOOKUP($B149,'2. Red CPM-Ruta Critica'!$A:$I,9,FALSE())</f>
        <v>528</v>
      </c>
      <c r="J149" s="27">
        <f>'0. Parametros'!$B$3+H149</f>
        <v>46183</v>
      </c>
      <c r="K149" s="27">
        <f>'0. Parametros'!$B$3+I149-1</f>
        <v>46197</v>
      </c>
      <c r="L149" s="14" t="str">
        <f>VLOOKUP($B149,'2. Red CPM-Ruta Critica'!$A:$M,13,FALSE())</f>
        <v>SI</v>
      </c>
      <c r="AH149" s="7" t="b">
        <f>ISNUMBER(MATCH($B149,'2. Red CPM-Ruta Critica'!$A:$A,0))</f>
        <v>1</v>
      </c>
    </row>
    <row r="150" spans="1:34" x14ac:dyDescent="0.25">
      <c r="A150" s="7">
        <f t="shared" si="7"/>
        <v>145</v>
      </c>
      <c r="B150" s="14" t="str">
        <f>'1. Calculo PERT'!A149</f>
        <v>1.3.3.1.6</v>
      </c>
      <c r="C150" s="14" t="str">
        <f>'1. Calculo PERT'!C149</f>
        <v>Construir rampas de accesibilidad y vados peatonales</v>
      </c>
      <c r="D150" s="14">
        <f>'1. Calculo PERT'!B149</f>
        <v>5</v>
      </c>
      <c r="E150" s="14" t="str">
        <f>'1. Calculo PERT'!D149</f>
        <v>3-Construccion</v>
      </c>
      <c r="F150" s="5" t="s">
        <v>637</v>
      </c>
      <c r="G150" s="14">
        <f>VLOOKUP($B150,'2. Red CPM-Ruta Critica'!$A:$F,6,FALSE())</f>
        <v>12</v>
      </c>
      <c r="H150" s="14">
        <f>VLOOKUP($B150,'2. Red CPM-Ruta Critica'!$A:$H,8,FALSE())</f>
        <v>528</v>
      </c>
      <c r="I150" s="14">
        <f>VLOOKUP($B150,'2. Red CPM-Ruta Critica'!$A:$I,9,FALSE())</f>
        <v>540</v>
      </c>
      <c r="J150" s="27">
        <f>'0. Parametros'!$B$3+H150</f>
        <v>46198</v>
      </c>
      <c r="K150" s="27">
        <f>'0. Parametros'!$B$3+I150-1</f>
        <v>46209</v>
      </c>
      <c r="L150" s="14" t="str">
        <f>VLOOKUP($B150,'2. Red CPM-Ruta Critica'!$A:$M,13,FALSE())</f>
        <v>no</v>
      </c>
      <c r="AH150" s="7" t="b">
        <f>ISNUMBER(MATCH($B150,'2. Red CPM-Ruta Critica'!$A:$A,0))</f>
        <v>1</v>
      </c>
    </row>
    <row r="151" spans="1:34" x14ac:dyDescent="0.25">
      <c r="A151" s="7">
        <f t="shared" si="7"/>
        <v>146</v>
      </c>
      <c r="B151" s="14" t="str">
        <f>'1. Calculo PERT'!A150</f>
        <v>1.3.3.1.7</v>
      </c>
      <c r="C151" s="14" t="str">
        <f>'1. Calculo PERT'!C150</f>
        <v>Instalar senalizacion podotactil y ejecutar acabados</v>
      </c>
      <c r="D151" s="14">
        <f>'1. Calculo PERT'!B150</f>
        <v>5</v>
      </c>
      <c r="E151" s="14" t="str">
        <f>'1. Calculo PERT'!D150</f>
        <v>3-Construccion</v>
      </c>
      <c r="F151" s="5" t="s">
        <v>642</v>
      </c>
      <c r="G151" s="14">
        <f>VLOOKUP($B151,'2. Red CPM-Ruta Critica'!$A:$F,6,FALSE())</f>
        <v>10</v>
      </c>
      <c r="H151" s="14">
        <f>VLOOKUP($B151,'2. Red CPM-Ruta Critica'!$A:$H,8,FALSE())</f>
        <v>540</v>
      </c>
      <c r="I151" s="14">
        <f>VLOOKUP($B151,'2. Red CPM-Ruta Critica'!$A:$I,9,FALSE())</f>
        <v>550</v>
      </c>
      <c r="J151" s="27">
        <f>'0. Parametros'!$B$3+H151</f>
        <v>46210</v>
      </c>
      <c r="K151" s="27">
        <f>'0. Parametros'!$B$3+I151-1</f>
        <v>46219</v>
      </c>
      <c r="L151" s="14" t="str">
        <f>VLOOKUP($B151,'2. Red CPM-Ruta Critica'!$A:$M,13,FALSE())</f>
        <v>no</v>
      </c>
      <c r="AH151" s="7" t="b">
        <f>ISNUMBER(MATCH($B151,'2. Red CPM-Ruta Critica'!$A:$A,0))</f>
        <v>1</v>
      </c>
    </row>
    <row r="152" spans="1:34" x14ac:dyDescent="0.25">
      <c r="A152" s="7">
        <f t="shared" si="7"/>
        <v>147</v>
      </c>
      <c r="B152" s="14" t="str">
        <f>'1. Calculo PERT'!A151</f>
        <v>1.3.3.1.8</v>
      </c>
      <c r="C152" s="14" t="str">
        <f>'1. Calculo PERT'!C151</f>
        <v>Instalar rejillas y registros en el anden</v>
      </c>
      <c r="D152" s="14">
        <f>'1. Calculo PERT'!B151</f>
        <v>5</v>
      </c>
      <c r="E152" s="14" t="str">
        <f>'1. Calculo PERT'!D151</f>
        <v>3-Construccion</v>
      </c>
      <c r="F152" s="5" t="s">
        <v>637</v>
      </c>
      <c r="G152" s="14">
        <f>VLOOKUP($B152,'2. Red CPM-Ruta Critica'!$A:$F,6,FALSE())</f>
        <v>6</v>
      </c>
      <c r="H152" s="14">
        <f>VLOOKUP($B152,'2. Red CPM-Ruta Critica'!$A:$H,8,FALSE())</f>
        <v>528</v>
      </c>
      <c r="I152" s="14">
        <f>VLOOKUP($B152,'2. Red CPM-Ruta Critica'!$A:$I,9,FALSE())</f>
        <v>534</v>
      </c>
      <c r="J152" s="27">
        <f>'0. Parametros'!$B$3+H152</f>
        <v>46198</v>
      </c>
      <c r="K152" s="27">
        <f>'0. Parametros'!$B$3+I152-1</f>
        <v>46203</v>
      </c>
      <c r="L152" s="14" t="str">
        <f>VLOOKUP($B152,'2. Red CPM-Ruta Critica'!$A:$M,13,FALSE())</f>
        <v>no</v>
      </c>
      <c r="AH152" s="7" t="b">
        <f>ISNUMBER(MATCH($B152,'2. Red CPM-Ruta Critica'!$A:$A,0))</f>
        <v>1</v>
      </c>
    </row>
    <row r="153" spans="1:34" x14ac:dyDescent="0.25">
      <c r="A153" s="13">
        <f t="shared" si="7"/>
        <v>148</v>
      </c>
      <c r="B153" s="28" t="str">
        <f>'1. Calculo PERT'!A152</f>
        <v>1.3.3.2</v>
      </c>
      <c r="C153" s="29" t="str">
        <f>'1. Calculo PERT'!C152</f>
        <v>Ciclorruta sur habilitada y conectada</v>
      </c>
      <c r="D153" s="28">
        <f>'1. Calculo PERT'!B152</f>
        <v>4</v>
      </c>
      <c r="E153" s="28" t="str">
        <f>'1. Calculo PERT'!D152</f>
        <v>3-Construccion</v>
      </c>
      <c r="F153" s="30"/>
      <c r="G153" s="13">
        <f>I153-H153</f>
        <v>39</v>
      </c>
      <c r="H153" s="13">
        <f t="array" ref="H153">MIN(IF(LEFT('2. Red CPM-Ruta Critica'!$A$5:$A$167,LEN($B153)+1)=$B153&amp;".",'2. Red CPM-Ruta Critica'!$H$5:$H$167))</f>
        <v>471</v>
      </c>
      <c r="I153" s="13">
        <f t="array" ref="I153">MAX(IF(LEFT('2. Red CPM-Ruta Critica'!$A$5:$A$167,LEN($B153)+1)=$B153&amp;".",'2. Red CPM-Ruta Critica'!$I$5:$I$167))</f>
        <v>510</v>
      </c>
      <c r="J153" s="31">
        <f>'0. Parametros'!$B$3+H153</f>
        <v>46141</v>
      </c>
      <c r="K153" s="31">
        <f>'0. Parametros'!$B$3+I153-1</f>
        <v>46179</v>
      </c>
      <c r="L153" s="13"/>
      <c r="AH153" s="7" t="b">
        <f>ISNUMBER(MATCH($B153,'2. Red CPM-Ruta Critica'!$A:$A,0))</f>
        <v>0</v>
      </c>
    </row>
    <row r="154" spans="1:34" x14ac:dyDescent="0.25">
      <c r="A154" s="7">
        <f t="shared" si="7"/>
        <v>149</v>
      </c>
      <c r="B154" s="14" t="str">
        <f>'1. Calculo PERT'!A153</f>
        <v>1.3.3.2.1</v>
      </c>
      <c r="C154" s="14" t="str">
        <f>'1. Calculo PERT'!C153</f>
        <v>Conformar la subbase de la ciclorruta</v>
      </c>
      <c r="D154" s="14">
        <f>'1. Calculo PERT'!B153</f>
        <v>5</v>
      </c>
      <c r="E154" s="14" t="str">
        <f>'1. Calculo PERT'!D153</f>
        <v>3-Construccion</v>
      </c>
      <c r="F154" s="5" t="s">
        <v>529</v>
      </c>
      <c r="G154" s="14">
        <f>VLOOKUP($B154,'2. Red CPM-Ruta Critica'!$A:$F,6,FALSE())</f>
        <v>12</v>
      </c>
      <c r="H154" s="14">
        <f>VLOOKUP($B154,'2. Red CPM-Ruta Critica'!$A:$H,8,FALSE())</f>
        <v>471</v>
      </c>
      <c r="I154" s="14">
        <f>VLOOKUP($B154,'2. Red CPM-Ruta Critica'!$A:$I,9,FALSE())</f>
        <v>483</v>
      </c>
      <c r="J154" s="27">
        <f>'0. Parametros'!$B$3+H154</f>
        <v>46141</v>
      </c>
      <c r="K154" s="27">
        <f>'0. Parametros'!$B$3+I154-1</f>
        <v>46152</v>
      </c>
      <c r="L154" s="14" t="str">
        <f>VLOOKUP($B154,'2. Red CPM-Ruta Critica'!$A:$M,13,FALSE())</f>
        <v>no</v>
      </c>
      <c r="AH154" s="7" t="b">
        <f>ISNUMBER(MATCH($B154,'2. Red CPM-Ruta Critica'!$A:$A,0))</f>
        <v>1</v>
      </c>
    </row>
    <row r="155" spans="1:34" x14ac:dyDescent="0.25">
      <c r="A155" s="7">
        <f t="shared" si="7"/>
        <v>150</v>
      </c>
      <c r="B155" s="14" t="str">
        <f>'1. Calculo PERT'!A154</f>
        <v>1.3.3.2.2</v>
      </c>
      <c r="C155" s="14" t="str">
        <f>'1. Calculo PERT'!C154</f>
        <v>Construir la carpeta de rodadura y demarcar la ciclorruta</v>
      </c>
      <c r="D155" s="14">
        <f>'1. Calculo PERT'!B154</f>
        <v>5</v>
      </c>
      <c r="E155" s="14" t="str">
        <f>'1. Calculo PERT'!D154</f>
        <v>3-Construccion</v>
      </c>
      <c r="F155" s="5" t="s">
        <v>657</v>
      </c>
      <c r="G155" s="14">
        <f>VLOOKUP($B155,'2. Red CPM-Ruta Critica'!$A:$F,6,FALSE())</f>
        <v>10</v>
      </c>
      <c r="H155" s="14">
        <f>VLOOKUP($B155,'2. Red CPM-Ruta Critica'!$A:$H,8,FALSE())</f>
        <v>483</v>
      </c>
      <c r="I155" s="14">
        <f>VLOOKUP($B155,'2. Red CPM-Ruta Critica'!$A:$I,9,FALSE())</f>
        <v>493</v>
      </c>
      <c r="J155" s="27">
        <f>'0. Parametros'!$B$3+H155</f>
        <v>46153</v>
      </c>
      <c r="K155" s="27">
        <f>'0. Parametros'!$B$3+I155-1</f>
        <v>46162</v>
      </c>
      <c r="L155" s="14" t="str">
        <f>VLOOKUP($B155,'2. Red CPM-Ruta Critica'!$A:$M,13,FALSE())</f>
        <v>no</v>
      </c>
      <c r="AH155" s="7" t="b">
        <f>ISNUMBER(MATCH($B155,'2. Red CPM-Ruta Critica'!$A:$A,0))</f>
        <v>1</v>
      </c>
    </row>
    <row r="156" spans="1:34" x14ac:dyDescent="0.25">
      <c r="A156" s="7">
        <f t="shared" si="7"/>
        <v>151</v>
      </c>
      <c r="B156" s="14" t="str">
        <f>'1. Calculo PERT'!A155</f>
        <v>1.3.3.2.3</v>
      </c>
      <c r="C156" s="14" t="str">
        <f>'1. Calculo PERT'!C155</f>
        <v>Conectar y empalmar con la red de ciclorrutas</v>
      </c>
      <c r="D156" s="14">
        <f>'1. Calculo PERT'!B155</f>
        <v>5</v>
      </c>
      <c r="E156" s="14" t="str">
        <f>'1. Calculo PERT'!D155</f>
        <v>3-Construccion</v>
      </c>
      <c r="F156" s="5" t="s">
        <v>662</v>
      </c>
      <c r="G156" s="14">
        <f>VLOOKUP($B156,'2. Red CPM-Ruta Critica'!$A:$F,6,FALSE())</f>
        <v>6</v>
      </c>
      <c r="H156" s="14">
        <f>VLOOKUP($B156,'2. Red CPM-Ruta Critica'!$A:$H,8,FALSE())</f>
        <v>493</v>
      </c>
      <c r="I156" s="14">
        <f>VLOOKUP($B156,'2. Red CPM-Ruta Critica'!$A:$I,9,FALSE())</f>
        <v>499</v>
      </c>
      <c r="J156" s="27">
        <f>'0. Parametros'!$B$3+H156</f>
        <v>46163</v>
      </c>
      <c r="K156" s="27">
        <f>'0. Parametros'!$B$3+I156-1</f>
        <v>46168</v>
      </c>
      <c r="L156" s="14" t="str">
        <f>VLOOKUP($B156,'2. Red CPM-Ruta Critica'!$A:$M,13,FALSE())</f>
        <v>no</v>
      </c>
      <c r="AH156" s="7" t="b">
        <f>ISNUMBER(MATCH($B156,'2. Red CPM-Ruta Critica'!$A:$A,0))</f>
        <v>1</v>
      </c>
    </row>
    <row r="157" spans="1:34" x14ac:dyDescent="0.25">
      <c r="A157" s="7">
        <f t="shared" si="7"/>
        <v>152</v>
      </c>
      <c r="B157" s="14" t="str">
        <f>'1. Calculo PERT'!A156</f>
        <v>1.3.3.2.4</v>
      </c>
      <c r="C157" s="14" t="str">
        <f>'1. Calculo PERT'!C156</f>
        <v>Instalar senalizacion y mobiliario de la ciclorruta</v>
      </c>
      <c r="D157" s="14">
        <f>'1. Calculo PERT'!B156</f>
        <v>5</v>
      </c>
      <c r="E157" s="14" t="str">
        <f>'1. Calculo PERT'!D156</f>
        <v>3-Construccion</v>
      </c>
      <c r="F157" s="5" t="s">
        <v>667</v>
      </c>
      <c r="G157" s="14">
        <f>VLOOKUP($B157,'2. Red CPM-Ruta Critica'!$A:$F,6,FALSE())</f>
        <v>6</v>
      </c>
      <c r="H157" s="14">
        <f>VLOOKUP($B157,'2. Red CPM-Ruta Critica'!$A:$H,8,FALSE())</f>
        <v>499</v>
      </c>
      <c r="I157" s="14">
        <f>VLOOKUP($B157,'2. Red CPM-Ruta Critica'!$A:$I,9,FALSE())</f>
        <v>505</v>
      </c>
      <c r="J157" s="27">
        <f>'0. Parametros'!$B$3+H157</f>
        <v>46169</v>
      </c>
      <c r="K157" s="27">
        <f>'0. Parametros'!$B$3+I157-1</f>
        <v>46174</v>
      </c>
      <c r="L157" s="14" t="str">
        <f>VLOOKUP($B157,'2. Red CPM-Ruta Critica'!$A:$M,13,FALSE())</f>
        <v>no</v>
      </c>
      <c r="AH157" s="7" t="b">
        <f>ISNUMBER(MATCH($B157,'2. Red CPM-Ruta Critica'!$A:$A,0))</f>
        <v>1</v>
      </c>
    </row>
    <row r="158" spans="1:34" x14ac:dyDescent="0.25">
      <c r="A158" s="7">
        <f t="shared" si="7"/>
        <v>153</v>
      </c>
      <c r="B158" s="14" t="str">
        <f>'1. Calculo PERT'!A157</f>
        <v>1.3.3.2.5</v>
      </c>
      <c r="C158" s="14" t="str">
        <f>'1. Calculo PERT'!C157</f>
        <v>Ejecutar pruebas de uso y entregar la ciclorruta</v>
      </c>
      <c r="D158" s="14">
        <f>'1. Calculo PERT'!B157</f>
        <v>5</v>
      </c>
      <c r="E158" s="14" t="str">
        <f>'1. Calculo PERT'!D157</f>
        <v>3-Construccion</v>
      </c>
      <c r="F158" s="5" t="s">
        <v>672</v>
      </c>
      <c r="G158" s="14">
        <f>VLOOKUP($B158,'2. Red CPM-Ruta Critica'!$A:$F,6,FALSE())</f>
        <v>5</v>
      </c>
      <c r="H158" s="14">
        <f>VLOOKUP($B158,'2. Red CPM-Ruta Critica'!$A:$H,8,FALSE())</f>
        <v>505</v>
      </c>
      <c r="I158" s="14">
        <f>VLOOKUP($B158,'2. Red CPM-Ruta Critica'!$A:$I,9,FALSE())</f>
        <v>510</v>
      </c>
      <c r="J158" s="27">
        <f>'0. Parametros'!$B$3+H158</f>
        <v>46175</v>
      </c>
      <c r="K158" s="27">
        <f>'0. Parametros'!$B$3+I158-1</f>
        <v>46179</v>
      </c>
      <c r="L158" s="14" t="str">
        <f>VLOOKUP($B158,'2. Red CPM-Ruta Critica'!$A:$M,13,FALSE())</f>
        <v>no</v>
      </c>
      <c r="AH158" s="7" t="b">
        <f>ISNUMBER(MATCH($B158,'2. Red CPM-Ruta Critica'!$A:$A,0))</f>
        <v>1</v>
      </c>
    </row>
    <row r="159" spans="1:34" x14ac:dyDescent="0.25">
      <c r="A159" s="13">
        <f t="shared" si="7"/>
        <v>154</v>
      </c>
      <c r="B159" s="28" t="str">
        <f>'1. Calculo PERT'!A158</f>
        <v>1.3.3.3</v>
      </c>
      <c r="C159" s="29" t="str">
        <f>'1. Calculo PERT'!C158</f>
        <v>Mobiliario urbano e infraestructura verde instalada</v>
      </c>
      <c r="D159" s="28">
        <f>'1. Calculo PERT'!B158</f>
        <v>4</v>
      </c>
      <c r="E159" s="28" t="str">
        <f>'1. Calculo PERT'!D158</f>
        <v>3-Construccion</v>
      </c>
      <c r="F159" s="30"/>
      <c r="G159" s="13">
        <f>I159-H159</f>
        <v>36</v>
      </c>
      <c r="H159" s="13">
        <f t="array" ref="H159">MIN(IF(LEFT('2. Red CPM-Ruta Critica'!$A$5:$A$167,LEN($B159)+1)=$B159&amp;".",'2. Red CPM-Ruta Critica'!$H$5:$H$167))</f>
        <v>493</v>
      </c>
      <c r="I159" s="13">
        <f t="array" ref="I159">MAX(IF(LEFT('2. Red CPM-Ruta Critica'!$A$5:$A$167,LEN($B159)+1)=$B159&amp;".",'2. Red CPM-Ruta Critica'!$I$5:$I$167))</f>
        <v>529</v>
      </c>
      <c r="J159" s="31">
        <f>'0. Parametros'!$B$3+H159</f>
        <v>46163</v>
      </c>
      <c r="K159" s="31">
        <f>'0. Parametros'!$B$3+I159-1</f>
        <v>46198</v>
      </c>
      <c r="L159" s="13"/>
      <c r="AH159" s="7" t="b">
        <f>ISNUMBER(MATCH($B159,'2. Red CPM-Ruta Critica'!$A:$A,0))</f>
        <v>0</v>
      </c>
    </row>
    <row r="160" spans="1:34" x14ac:dyDescent="0.25">
      <c r="A160" s="7">
        <f t="shared" si="7"/>
        <v>155</v>
      </c>
      <c r="B160" s="14" t="str">
        <f>'1. Calculo PERT'!A159</f>
        <v>1.3.3.3.1</v>
      </c>
      <c r="C160" s="14" t="str">
        <f>'1. Calculo PERT'!C159</f>
        <v>Instalar el mobiliario urbano</v>
      </c>
      <c r="D160" s="14">
        <f>'1. Calculo PERT'!B159</f>
        <v>5</v>
      </c>
      <c r="E160" s="14" t="str">
        <f>'1. Calculo PERT'!D159</f>
        <v>3-Construccion</v>
      </c>
      <c r="F160" s="5" t="s">
        <v>680</v>
      </c>
      <c r="G160" s="14">
        <f>VLOOKUP($B160,'2. Red CPM-Ruta Critica'!$A:$F,6,FALSE())</f>
        <v>12</v>
      </c>
      <c r="H160" s="14">
        <f>VLOOKUP($B160,'2. Red CPM-Ruta Critica'!$A:$H,8,FALSE())</f>
        <v>501</v>
      </c>
      <c r="I160" s="14">
        <f>VLOOKUP($B160,'2. Red CPM-Ruta Critica'!$A:$I,9,FALSE())</f>
        <v>513</v>
      </c>
      <c r="J160" s="27">
        <f>'0. Parametros'!$B$3+H160</f>
        <v>46171</v>
      </c>
      <c r="K160" s="27">
        <f>'0. Parametros'!$B$3+I160-1</f>
        <v>46182</v>
      </c>
      <c r="L160" s="14" t="str">
        <f>VLOOKUP($B160,'2. Red CPM-Ruta Critica'!$A:$M,13,FALSE())</f>
        <v>no</v>
      </c>
      <c r="AH160" s="7" t="b">
        <f>ISNUMBER(MATCH($B160,'2. Red CPM-Ruta Critica'!$A:$A,0))</f>
        <v>1</v>
      </c>
    </row>
    <row r="161" spans="1:34" x14ac:dyDescent="0.25">
      <c r="A161" s="7">
        <f t="shared" si="7"/>
        <v>156</v>
      </c>
      <c r="B161" s="14" t="str">
        <f>'1. Calculo PERT'!A160</f>
        <v>1.3.3.3.2</v>
      </c>
      <c r="C161" s="14" t="str">
        <f>'1. Calculo PERT'!C160</f>
        <v>Empradizar, ajardinar y arborizar</v>
      </c>
      <c r="D161" s="14">
        <f>'1. Calculo PERT'!B160</f>
        <v>5</v>
      </c>
      <c r="E161" s="14" t="str">
        <f>'1. Calculo PERT'!D160</f>
        <v>3-Construccion</v>
      </c>
      <c r="F161" s="5" t="s">
        <v>680</v>
      </c>
      <c r="G161" s="14">
        <f>VLOOKUP($B161,'2. Red CPM-Ruta Critica'!$A:$F,6,FALSE())</f>
        <v>16</v>
      </c>
      <c r="H161" s="14">
        <f>VLOOKUP($B161,'2. Red CPM-Ruta Critica'!$A:$H,8,FALSE())</f>
        <v>501</v>
      </c>
      <c r="I161" s="14">
        <f>VLOOKUP($B161,'2. Red CPM-Ruta Critica'!$A:$I,9,FALSE())</f>
        <v>517</v>
      </c>
      <c r="J161" s="27">
        <f>'0. Parametros'!$B$3+H161</f>
        <v>46171</v>
      </c>
      <c r="K161" s="27">
        <f>'0. Parametros'!$B$3+I161-1</f>
        <v>46186</v>
      </c>
      <c r="L161" s="14" t="str">
        <f>VLOOKUP($B161,'2. Red CPM-Ruta Critica'!$A:$M,13,FALSE())</f>
        <v>no</v>
      </c>
      <c r="AH161" s="7" t="b">
        <f>ISNUMBER(MATCH($B161,'2. Red CPM-Ruta Critica'!$A:$A,0))</f>
        <v>1</v>
      </c>
    </row>
    <row r="162" spans="1:34" x14ac:dyDescent="0.25">
      <c r="A162" s="7">
        <f t="shared" si="7"/>
        <v>157</v>
      </c>
      <c r="B162" s="14" t="str">
        <f>'1. Calculo PERT'!A161</f>
        <v>1.3.3.3.3</v>
      </c>
      <c r="C162" s="14" t="str">
        <f>'1. Calculo PERT'!C161</f>
        <v>Construir y adecuar el separador central</v>
      </c>
      <c r="D162" s="14">
        <f>'1. Calculo PERT'!B161</f>
        <v>5</v>
      </c>
      <c r="E162" s="14" t="str">
        <f>'1. Calculo PERT'!D161</f>
        <v>3-Construccion</v>
      </c>
      <c r="F162" s="5" t="s">
        <v>560</v>
      </c>
      <c r="G162" s="14">
        <f>VLOOKUP($B162,'2. Red CPM-Ruta Critica'!$A:$F,6,FALSE())</f>
        <v>12</v>
      </c>
      <c r="H162" s="14">
        <f>VLOOKUP($B162,'2. Red CPM-Ruta Critica'!$A:$H,8,FALSE())</f>
        <v>493</v>
      </c>
      <c r="I162" s="14">
        <f>VLOOKUP($B162,'2. Red CPM-Ruta Critica'!$A:$I,9,FALSE())</f>
        <v>505</v>
      </c>
      <c r="J162" s="27">
        <f>'0. Parametros'!$B$3+H162</f>
        <v>46163</v>
      </c>
      <c r="K162" s="27">
        <f>'0. Parametros'!$B$3+I162-1</f>
        <v>46174</v>
      </c>
      <c r="L162" s="14" t="str">
        <f>VLOOKUP($B162,'2. Red CPM-Ruta Critica'!$A:$M,13,FALSE())</f>
        <v>no</v>
      </c>
      <c r="AH162" s="7" t="b">
        <f>ISNUMBER(MATCH($B162,'2. Red CPM-Ruta Critica'!$A:$A,0))</f>
        <v>1</v>
      </c>
    </row>
    <row r="163" spans="1:34" x14ac:dyDescent="0.25">
      <c r="A163" s="7">
        <f t="shared" si="7"/>
        <v>158</v>
      </c>
      <c r="B163" s="14" t="str">
        <f>'1. Calculo PERT'!A162</f>
        <v>1.3.3.3.4</v>
      </c>
      <c r="C163" s="14" t="str">
        <f>'1. Calculo PERT'!C162</f>
        <v>Ejecutar riego, sostenimiento y entrega de zonas verdes</v>
      </c>
      <c r="D163" s="14">
        <f>'1. Calculo PERT'!B162</f>
        <v>5</v>
      </c>
      <c r="E163" s="14" t="str">
        <f>'1. Calculo PERT'!D162</f>
        <v>3-Construccion</v>
      </c>
      <c r="F163" s="5" t="s">
        <v>693</v>
      </c>
      <c r="G163" s="14">
        <f>VLOOKUP($B163,'2. Red CPM-Ruta Critica'!$A:$F,6,FALSE())</f>
        <v>10</v>
      </c>
      <c r="H163" s="14">
        <f>VLOOKUP($B163,'2. Red CPM-Ruta Critica'!$A:$H,8,FALSE())</f>
        <v>506</v>
      </c>
      <c r="I163" s="14">
        <f>VLOOKUP($B163,'2. Red CPM-Ruta Critica'!$A:$I,9,FALSE())</f>
        <v>516</v>
      </c>
      <c r="J163" s="27">
        <f>'0. Parametros'!$B$3+H163</f>
        <v>46176</v>
      </c>
      <c r="K163" s="27">
        <f>'0. Parametros'!$B$3+I163-1</f>
        <v>46185</v>
      </c>
      <c r="L163" s="14" t="str">
        <f>VLOOKUP($B163,'2. Red CPM-Ruta Critica'!$A:$M,13,FALSE())</f>
        <v>no</v>
      </c>
      <c r="AH163" s="7" t="b">
        <f>ISNUMBER(MATCH($B163,'2. Red CPM-Ruta Critica'!$A:$A,0))</f>
        <v>1</v>
      </c>
    </row>
    <row r="164" spans="1:34" x14ac:dyDescent="0.25">
      <c r="A164" s="7">
        <f t="shared" si="7"/>
        <v>159</v>
      </c>
      <c r="B164" s="14" t="str">
        <f>'1. Calculo PERT'!A163</f>
        <v>1.3.3.3.5</v>
      </c>
      <c r="C164" s="14" t="str">
        <f>'1. Calculo PERT'!C163</f>
        <v>Ejecutar arborizacion compensatoria y manejo silvicultural</v>
      </c>
      <c r="D164" s="14">
        <f>'1. Calculo PERT'!B163</f>
        <v>5</v>
      </c>
      <c r="E164" s="14" t="str">
        <f>'1. Calculo PERT'!D163</f>
        <v>3-Construccion</v>
      </c>
      <c r="F164" s="5" t="s">
        <v>698</v>
      </c>
      <c r="G164" s="14">
        <f>VLOOKUP($B164,'2. Red CPM-Ruta Critica'!$A:$F,6,FALSE())</f>
        <v>12</v>
      </c>
      <c r="H164" s="14">
        <f>VLOOKUP($B164,'2. Red CPM-Ruta Critica'!$A:$H,8,FALSE())</f>
        <v>517</v>
      </c>
      <c r="I164" s="14">
        <f>VLOOKUP($B164,'2. Red CPM-Ruta Critica'!$A:$I,9,FALSE())</f>
        <v>529</v>
      </c>
      <c r="J164" s="27">
        <f>'0. Parametros'!$B$3+H164</f>
        <v>46187</v>
      </c>
      <c r="K164" s="27">
        <f>'0. Parametros'!$B$3+I164-1</f>
        <v>46198</v>
      </c>
      <c r="L164" s="14" t="str">
        <f>VLOOKUP($B164,'2. Red CPM-Ruta Critica'!$A:$M,13,FALSE())</f>
        <v>no</v>
      </c>
      <c r="AH164" s="7" t="b">
        <f>ISNUMBER(MATCH($B164,'2. Red CPM-Ruta Critica'!$A:$A,0))</f>
        <v>1</v>
      </c>
    </row>
    <row r="165" spans="1:34" x14ac:dyDescent="0.25">
      <c r="A165" s="7">
        <f t="shared" si="7"/>
        <v>160</v>
      </c>
      <c r="B165" s="14" t="str">
        <f>'1. Calculo PERT'!A164</f>
        <v>1.3.3.3.6</v>
      </c>
      <c r="C165" s="14" t="str">
        <f>'1. Calculo PERT'!C164</f>
        <v>Instalar el sistema de riego de zonas verdes</v>
      </c>
      <c r="D165" s="14">
        <f>'1. Calculo PERT'!B164</f>
        <v>5</v>
      </c>
      <c r="E165" s="14" t="str">
        <f>'1. Calculo PERT'!D164</f>
        <v>3-Construccion</v>
      </c>
      <c r="F165" s="5" t="s">
        <v>703</v>
      </c>
      <c r="G165" s="14">
        <f>VLOOKUP($B165,'2. Red CPM-Ruta Critica'!$A:$F,6,FALSE())</f>
        <v>6</v>
      </c>
      <c r="H165" s="14">
        <f>VLOOKUP($B165,'2. Red CPM-Ruta Critica'!$A:$H,8,FALSE())</f>
        <v>505</v>
      </c>
      <c r="I165" s="14">
        <f>VLOOKUP($B165,'2. Red CPM-Ruta Critica'!$A:$I,9,FALSE())</f>
        <v>511</v>
      </c>
      <c r="J165" s="27">
        <f>'0. Parametros'!$B$3+H165</f>
        <v>46175</v>
      </c>
      <c r="K165" s="27">
        <f>'0. Parametros'!$B$3+I165-1</f>
        <v>46180</v>
      </c>
      <c r="L165" s="14" t="str">
        <f>VLOOKUP($B165,'2. Red CPM-Ruta Critica'!$A:$M,13,FALSE())</f>
        <v>no</v>
      </c>
      <c r="AH165" s="7" t="b">
        <f>ISNUMBER(MATCH($B165,'2. Red CPM-Ruta Critica'!$A:$A,0))</f>
        <v>1</v>
      </c>
    </row>
    <row r="166" spans="1:34" x14ac:dyDescent="0.25">
      <c r="A166" s="13">
        <f t="shared" si="7"/>
        <v>161</v>
      </c>
      <c r="B166" s="28" t="str">
        <f>'1. Calculo PERT'!A165</f>
        <v>1.3.4</v>
      </c>
      <c r="C166" s="29" t="str">
        <f>'1. Calculo PERT'!C165</f>
        <v>Cuenta de control: Dispositivos de Trafico y Seguridad</v>
      </c>
      <c r="D166" s="28">
        <f>'1. Calculo PERT'!B165</f>
        <v>3</v>
      </c>
      <c r="E166" s="28" t="str">
        <f>'1. Calculo PERT'!D165</f>
        <v>3-Construccion</v>
      </c>
      <c r="F166" s="30"/>
      <c r="G166" s="13">
        <f>I166-H166</f>
        <v>42</v>
      </c>
      <c r="H166" s="13">
        <f t="array" ref="H166">MIN(IF(LEFT('2. Red CPM-Ruta Critica'!$A$5:$A$167,LEN($B166)+1)=$B166&amp;".",'2. Red CPM-Ruta Critica'!$H$5:$H$167))</f>
        <v>528</v>
      </c>
      <c r="I166" s="13">
        <f t="array" ref="I166">MAX(IF(LEFT('2. Red CPM-Ruta Critica'!$A$5:$A$167,LEN($B166)+1)=$B166&amp;".",'2. Red CPM-Ruta Critica'!$I$5:$I$167))</f>
        <v>570</v>
      </c>
      <c r="J166" s="31">
        <f>'0. Parametros'!$B$3+H166</f>
        <v>46198</v>
      </c>
      <c r="K166" s="31">
        <f>'0. Parametros'!$B$3+I166-1</f>
        <v>46239</v>
      </c>
      <c r="L166" s="13"/>
      <c r="AH166" s="7" t="b">
        <f>ISNUMBER(MATCH($B166,'2. Red CPM-Ruta Critica'!$A:$A,0))</f>
        <v>0</v>
      </c>
    </row>
    <row r="167" spans="1:34" x14ac:dyDescent="0.25">
      <c r="A167" s="13">
        <f t="shared" si="7"/>
        <v>162</v>
      </c>
      <c r="B167" s="28" t="str">
        <f>'1. Calculo PERT'!A166</f>
        <v>1.3.4.1</v>
      </c>
      <c r="C167" s="29" t="str">
        <f>'1. Calculo PERT'!C166</f>
        <v>Sistema de senalizacion vial (horizontal y vertical) completado</v>
      </c>
      <c r="D167" s="28">
        <f>'1. Calculo PERT'!B166</f>
        <v>4</v>
      </c>
      <c r="E167" s="28" t="str">
        <f>'1. Calculo PERT'!D166</f>
        <v>3-Construccion</v>
      </c>
      <c r="F167" s="30"/>
      <c r="G167" s="13">
        <f>I167-H167</f>
        <v>27</v>
      </c>
      <c r="H167" s="13">
        <f t="array" ref="H167">MIN(IF(LEFT('2. Red CPM-Ruta Critica'!$A$5:$A$167,LEN($B167)+1)=$B167&amp;".",'2. Red CPM-Ruta Critica'!$H$5:$H$167))</f>
        <v>528</v>
      </c>
      <c r="I167" s="13">
        <f t="array" ref="I167">MAX(IF(LEFT('2. Red CPM-Ruta Critica'!$A$5:$A$167,LEN($B167)+1)=$B167&amp;".",'2. Red CPM-Ruta Critica'!$I$5:$I$167))</f>
        <v>555</v>
      </c>
      <c r="J167" s="31">
        <f>'0. Parametros'!$B$3+H167</f>
        <v>46198</v>
      </c>
      <c r="K167" s="31">
        <f>'0. Parametros'!$B$3+I167-1</f>
        <v>46224</v>
      </c>
      <c r="L167" s="13"/>
      <c r="AH167" s="7" t="b">
        <f>ISNUMBER(MATCH($B167,'2. Red CPM-Ruta Critica'!$A:$A,0))</f>
        <v>0</v>
      </c>
    </row>
    <row r="168" spans="1:34" x14ac:dyDescent="0.25">
      <c r="A168" s="7">
        <f t="shared" si="7"/>
        <v>163</v>
      </c>
      <c r="B168" s="14" t="str">
        <f>'1. Calculo PERT'!A167</f>
        <v>1.3.4.1.1</v>
      </c>
      <c r="C168" s="14" t="str">
        <f>'1. Calculo PERT'!C167</f>
        <v>Demarcar la senalizacion horizontal</v>
      </c>
      <c r="D168" s="14">
        <f>'1. Calculo PERT'!B167</f>
        <v>5</v>
      </c>
      <c r="E168" s="14" t="str">
        <f>'1. Calculo PERT'!D167</f>
        <v>3-Construccion</v>
      </c>
      <c r="F168" s="5" t="s">
        <v>714</v>
      </c>
      <c r="G168" s="14">
        <f>VLOOKUP($B168,'2. Red CPM-Ruta Critica'!$A:$F,6,FALSE())</f>
        <v>10</v>
      </c>
      <c r="H168" s="14">
        <f>VLOOKUP($B168,'2. Red CPM-Ruta Critica'!$A:$H,8,FALSE())</f>
        <v>528</v>
      </c>
      <c r="I168" s="14">
        <f>VLOOKUP($B168,'2. Red CPM-Ruta Critica'!$A:$I,9,FALSE())</f>
        <v>538</v>
      </c>
      <c r="J168" s="27">
        <f>'0. Parametros'!$B$3+H168</f>
        <v>46198</v>
      </c>
      <c r="K168" s="27">
        <f>'0. Parametros'!$B$3+I168-1</f>
        <v>46207</v>
      </c>
      <c r="L168" s="14" t="str">
        <f>VLOOKUP($B168,'2. Red CPM-Ruta Critica'!$A:$M,13,FALSE())</f>
        <v>SI</v>
      </c>
      <c r="AH168" s="7" t="b">
        <f>ISNUMBER(MATCH($B168,'2. Red CPM-Ruta Critica'!$A:$A,0))</f>
        <v>1</v>
      </c>
    </row>
    <row r="169" spans="1:34" x14ac:dyDescent="0.25">
      <c r="A169" s="7">
        <f t="shared" si="7"/>
        <v>164</v>
      </c>
      <c r="B169" s="14" t="str">
        <f>'1. Calculo PERT'!A168</f>
        <v>1.3.4.1.2</v>
      </c>
      <c r="C169" s="14" t="str">
        <f>'1. Calculo PERT'!C168</f>
        <v>Instalar la senalizacion vertical</v>
      </c>
      <c r="D169" s="14">
        <f>'1. Calculo PERT'!B168</f>
        <v>5</v>
      </c>
      <c r="E169" s="14" t="str">
        <f>'1. Calculo PERT'!D168</f>
        <v>3-Construccion</v>
      </c>
      <c r="F169" s="5" t="s">
        <v>719</v>
      </c>
      <c r="G169" s="14">
        <f>VLOOKUP($B169,'2. Red CPM-Ruta Critica'!$A:$F,6,FALSE())</f>
        <v>6</v>
      </c>
      <c r="H169" s="14">
        <f>VLOOKUP($B169,'2. Red CPM-Ruta Critica'!$A:$H,8,FALSE())</f>
        <v>538</v>
      </c>
      <c r="I169" s="14">
        <f>VLOOKUP($B169,'2. Red CPM-Ruta Critica'!$A:$I,9,FALSE())</f>
        <v>544</v>
      </c>
      <c r="J169" s="27">
        <f>'0. Parametros'!$B$3+H169</f>
        <v>46208</v>
      </c>
      <c r="K169" s="27">
        <f>'0. Parametros'!$B$3+I169-1</f>
        <v>46213</v>
      </c>
      <c r="L169" s="14" t="str">
        <f>VLOOKUP($B169,'2. Red CPM-Ruta Critica'!$A:$M,13,FALSE())</f>
        <v>SI</v>
      </c>
      <c r="AH169" s="7" t="b">
        <f>ISNUMBER(MATCH($B169,'2. Red CPM-Ruta Critica'!$A:$A,0))</f>
        <v>1</v>
      </c>
    </row>
    <row r="170" spans="1:34" x14ac:dyDescent="0.25">
      <c r="A170" s="7">
        <f t="shared" si="7"/>
        <v>165</v>
      </c>
      <c r="B170" s="14" t="str">
        <f>'1. Calculo PERT'!A169</f>
        <v>1.3.4.1.3</v>
      </c>
      <c r="C170" s="14" t="str">
        <f>'1. Calculo PERT'!C169</f>
        <v>Verificar y entregar la senalizacion</v>
      </c>
      <c r="D170" s="14">
        <f>'1. Calculo PERT'!B169</f>
        <v>5</v>
      </c>
      <c r="E170" s="14" t="str">
        <f>'1. Calculo PERT'!D169</f>
        <v>3-Construccion</v>
      </c>
      <c r="F170" s="5" t="s">
        <v>724</v>
      </c>
      <c r="G170" s="14">
        <f>VLOOKUP($B170,'2. Red CPM-Ruta Critica'!$A:$F,6,FALSE())</f>
        <v>5</v>
      </c>
      <c r="H170" s="14">
        <f>VLOOKUP($B170,'2. Red CPM-Ruta Critica'!$A:$H,8,FALSE())</f>
        <v>544</v>
      </c>
      <c r="I170" s="14">
        <f>VLOOKUP($B170,'2. Red CPM-Ruta Critica'!$A:$I,9,FALSE())</f>
        <v>549</v>
      </c>
      <c r="J170" s="27">
        <f>'0. Parametros'!$B$3+H170</f>
        <v>46214</v>
      </c>
      <c r="K170" s="27">
        <f>'0. Parametros'!$B$3+I170-1</f>
        <v>46218</v>
      </c>
      <c r="L170" s="14" t="str">
        <f>VLOOKUP($B170,'2. Red CPM-Ruta Critica'!$A:$M,13,FALSE())</f>
        <v>no</v>
      </c>
      <c r="AH170" s="7" t="b">
        <f>ISNUMBER(MATCH($B170,'2. Red CPM-Ruta Critica'!$A:$A,0))</f>
        <v>1</v>
      </c>
    </row>
    <row r="171" spans="1:34" x14ac:dyDescent="0.25">
      <c r="A171" s="7">
        <f t="shared" si="7"/>
        <v>166</v>
      </c>
      <c r="B171" s="14" t="str">
        <f>'1. Calculo PERT'!A170</f>
        <v>1.3.4.1.4</v>
      </c>
      <c r="C171" s="14" t="str">
        <f>'1. Calculo PERT'!C170</f>
        <v>Instalar senalizacion de obra y elementos de seguridad vial</v>
      </c>
      <c r="D171" s="14">
        <f>'1. Calculo PERT'!B170</f>
        <v>5</v>
      </c>
      <c r="E171" s="14" t="str">
        <f>'1. Calculo PERT'!D170</f>
        <v>3-Construccion</v>
      </c>
      <c r="F171" s="5" t="s">
        <v>724</v>
      </c>
      <c r="G171" s="14">
        <f>VLOOKUP($B171,'2. Red CPM-Ruta Critica'!$A:$F,6,FALSE())</f>
        <v>6</v>
      </c>
      <c r="H171" s="14">
        <f>VLOOKUP($B171,'2. Red CPM-Ruta Critica'!$A:$H,8,FALSE())</f>
        <v>544</v>
      </c>
      <c r="I171" s="14">
        <f>VLOOKUP($B171,'2. Red CPM-Ruta Critica'!$A:$I,9,FALSE())</f>
        <v>550</v>
      </c>
      <c r="J171" s="27">
        <f>'0. Parametros'!$B$3+H171</f>
        <v>46214</v>
      </c>
      <c r="K171" s="27">
        <f>'0. Parametros'!$B$3+I171-1</f>
        <v>46219</v>
      </c>
      <c r="L171" s="14" t="str">
        <f>VLOOKUP($B171,'2. Red CPM-Ruta Critica'!$A:$M,13,FALSE())</f>
        <v>no</v>
      </c>
      <c r="AH171" s="7" t="b">
        <f>ISNUMBER(MATCH($B171,'2. Red CPM-Ruta Critica'!$A:$A,0))</f>
        <v>1</v>
      </c>
    </row>
    <row r="172" spans="1:34" x14ac:dyDescent="0.25">
      <c r="A172" s="7">
        <f t="shared" si="7"/>
        <v>167</v>
      </c>
      <c r="B172" s="14" t="str">
        <f>'1. Calculo PERT'!A171</f>
        <v>1.3.4.1.5</v>
      </c>
      <c r="C172" s="14" t="str">
        <f>'1. Calculo PERT'!C171</f>
        <v>Instalar senalizacion informativa y nomenclatura vial</v>
      </c>
      <c r="D172" s="14">
        <f>'1. Calculo PERT'!B171</f>
        <v>5</v>
      </c>
      <c r="E172" s="14" t="str">
        <f>'1. Calculo PERT'!D171</f>
        <v>3-Construccion</v>
      </c>
      <c r="F172" s="5" t="s">
        <v>732</v>
      </c>
      <c r="G172" s="14">
        <f>VLOOKUP($B172,'2. Red CPM-Ruta Critica'!$A:$F,6,FALSE())</f>
        <v>6</v>
      </c>
      <c r="H172" s="14">
        <f>VLOOKUP($B172,'2. Red CPM-Ruta Critica'!$A:$H,8,FALSE())</f>
        <v>549</v>
      </c>
      <c r="I172" s="14">
        <f>VLOOKUP($B172,'2. Red CPM-Ruta Critica'!$A:$I,9,FALSE())</f>
        <v>555</v>
      </c>
      <c r="J172" s="27">
        <f>'0. Parametros'!$B$3+H172</f>
        <v>46219</v>
      </c>
      <c r="K172" s="27">
        <f>'0. Parametros'!$B$3+I172-1</f>
        <v>46224</v>
      </c>
      <c r="L172" s="14" t="str">
        <f>VLOOKUP($B172,'2. Red CPM-Ruta Critica'!$A:$M,13,FALSE())</f>
        <v>no</v>
      </c>
      <c r="AH172" s="7" t="b">
        <f>ISNUMBER(MATCH($B172,'2. Red CPM-Ruta Critica'!$A:$A,0))</f>
        <v>1</v>
      </c>
    </row>
    <row r="173" spans="1:34" x14ac:dyDescent="0.25">
      <c r="A173" s="13">
        <f t="shared" si="7"/>
        <v>168</v>
      </c>
      <c r="B173" s="28" t="str">
        <f>'1. Calculo PERT'!A172</f>
        <v>1.3.4.2</v>
      </c>
      <c r="C173" s="29" t="str">
        <f>'1. Calculo PERT'!C172</f>
        <v>Interseccion semaforica sincronizada y operativa</v>
      </c>
      <c r="D173" s="28">
        <f>'1. Calculo PERT'!B172</f>
        <v>4</v>
      </c>
      <c r="E173" s="28" t="str">
        <f>'1. Calculo PERT'!D172</f>
        <v>3-Construccion</v>
      </c>
      <c r="F173" s="30"/>
      <c r="G173" s="13">
        <f>I173-H173</f>
        <v>26</v>
      </c>
      <c r="H173" s="13">
        <f t="array" ref="H173">MIN(IF(LEFT('2. Red CPM-Ruta Critica'!$A$5:$A$167,LEN($B173)+1)=$B173&amp;".",'2. Red CPM-Ruta Critica'!$H$5:$H$167))</f>
        <v>544</v>
      </c>
      <c r="I173" s="13">
        <f t="array" ref="I173">MAX(IF(LEFT('2. Red CPM-Ruta Critica'!$A$5:$A$167,LEN($B173)+1)=$B173&amp;".",'2. Red CPM-Ruta Critica'!$I$5:$I$167))</f>
        <v>570</v>
      </c>
      <c r="J173" s="31">
        <f>'0. Parametros'!$B$3+H173</f>
        <v>46214</v>
      </c>
      <c r="K173" s="31">
        <f>'0. Parametros'!$B$3+I173-1</f>
        <v>46239</v>
      </c>
      <c r="L173" s="13"/>
      <c r="AH173" s="7" t="b">
        <f>ISNUMBER(MATCH($B173,'2. Red CPM-Ruta Critica'!$A:$A,0))</f>
        <v>0</v>
      </c>
    </row>
    <row r="174" spans="1:34" x14ac:dyDescent="0.25">
      <c r="A174" s="7">
        <f t="shared" si="7"/>
        <v>169</v>
      </c>
      <c r="B174" s="14" t="str">
        <f>'1. Calculo PERT'!A173</f>
        <v>1.3.4.2.1</v>
      </c>
      <c r="C174" s="14" t="str">
        <f>'1. Calculo PERT'!C173</f>
        <v>Instalar postes y equipos semaforicos</v>
      </c>
      <c r="D174" s="14">
        <f>'1. Calculo PERT'!B173</f>
        <v>5</v>
      </c>
      <c r="E174" s="14" t="str">
        <f>'1. Calculo PERT'!D173</f>
        <v>3-Construccion</v>
      </c>
      <c r="F174" s="5" t="s">
        <v>724</v>
      </c>
      <c r="G174" s="14">
        <f>VLOOKUP($B174,'2. Red CPM-Ruta Critica'!$A:$F,6,FALSE())</f>
        <v>10</v>
      </c>
      <c r="H174" s="14">
        <f>VLOOKUP($B174,'2. Red CPM-Ruta Critica'!$A:$H,8,FALSE())</f>
        <v>544</v>
      </c>
      <c r="I174" s="14">
        <f>VLOOKUP($B174,'2. Red CPM-Ruta Critica'!$A:$I,9,FALSE())</f>
        <v>554</v>
      </c>
      <c r="J174" s="27">
        <f>'0. Parametros'!$B$3+H174</f>
        <v>46214</v>
      </c>
      <c r="K174" s="27">
        <f>'0. Parametros'!$B$3+I174-1</f>
        <v>46223</v>
      </c>
      <c r="L174" s="14" t="str">
        <f>VLOOKUP($B174,'2. Red CPM-Ruta Critica'!$A:$M,13,FALSE())</f>
        <v>SI</v>
      </c>
      <c r="AH174" s="7" t="b">
        <f>ISNUMBER(MATCH($B174,'2. Red CPM-Ruta Critica'!$A:$A,0))</f>
        <v>1</v>
      </c>
    </row>
    <row r="175" spans="1:34" x14ac:dyDescent="0.25">
      <c r="A175" s="7">
        <f t="shared" si="7"/>
        <v>170</v>
      </c>
      <c r="B175" s="14" t="str">
        <f>'1. Calculo PERT'!A174</f>
        <v>1.3.4.2.2</v>
      </c>
      <c r="C175" s="14" t="str">
        <f>'1. Calculo PERT'!C174</f>
        <v>Cablear y conectar al sistema de control</v>
      </c>
      <c r="D175" s="14">
        <f>'1. Calculo PERT'!B174</f>
        <v>5</v>
      </c>
      <c r="E175" s="14" t="str">
        <f>'1. Calculo PERT'!D174</f>
        <v>3-Construccion</v>
      </c>
      <c r="F175" s="5" t="s">
        <v>743</v>
      </c>
      <c r="G175" s="14">
        <f>VLOOKUP($B175,'2. Red CPM-Ruta Critica'!$A:$F,6,FALSE())</f>
        <v>5</v>
      </c>
      <c r="H175" s="14">
        <f>VLOOKUP($B175,'2. Red CPM-Ruta Critica'!$A:$H,8,FALSE())</f>
        <v>554</v>
      </c>
      <c r="I175" s="14">
        <f>VLOOKUP($B175,'2. Red CPM-Ruta Critica'!$A:$I,9,FALSE())</f>
        <v>559</v>
      </c>
      <c r="J175" s="27">
        <f>'0. Parametros'!$B$3+H175</f>
        <v>46224</v>
      </c>
      <c r="K175" s="27">
        <f>'0. Parametros'!$B$3+I175-1</f>
        <v>46228</v>
      </c>
      <c r="L175" s="14" t="str">
        <f>VLOOKUP($B175,'2. Red CPM-Ruta Critica'!$A:$M,13,FALSE())</f>
        <v>SI</v>
      </c>
      <c r="AH175" s="7" t="b">
        <f>ISNUMBER(MATCH($B175,'2. Red CPM-Ruta Critica'!$A:$A,0))</f>
        <v>1</v>
      </c>
    </row>
    <row r="176" spans="1:34" x14ac:dyDescent="0.25">
      <c r="A176" s="7">
        <f t="shared" si="7"/>
        <v>171</v>
      </c>
      <c r="B176" s="14" t="str">
        <f>'1. Calculo PERT'!A175</f>
        <v>1.3.4.2.3</v>
      </c>
      <c r="C176" s="14" t="str">
        <f>'1. Calculo PERT'!C175</f>
        <v>Sincronizar, probar y poner en marcha los semaforos</v>
      </c>
      <c r="D176" s="14">
        <f>'1. Calculo PERT'!B175</f>
        <v>5</v>
      </c>
      <c r="E176" s="14" t="str">
        <f>'1. Calculo PERT'!D175</f>
        <v>3-Construccion</v>
      </c>
      <c r="F176" s="5" t="s">
        <v>748</v>
      </c>
      <c r="G176" s="14">
        <f>VLOOKUP($B176,'2. Red CPM-Ruta Critica'!$A:$F,6,FALSE())</f>
        <v>6</v>
      </c>
      <c r="H176" s="14">
        <f>VLOOKUP($B176,'2. Red CPM-Ruta Critica'!$A:$H,8,FALSE())</f>
        <v>559</v>
      </c>
      <c r="I176" s="14">
        <f>VLOOKUP($B176,'2. Red CPM-Ruta Critica'!$A:$I,9,FALSE())</f>
        <v>565</v>
      </c>
      <c r="J176" s="27">
        <f>'0. Parametros'!$B$3+H176</f>
        <v>46229</v>
      </c>
      <c r="K176" s="27">
        <f>'0. Parametros'!$B$3+I176-1</f>
        <v>46234</v>
      </c>
      <c r="L176" s="14" t="str">
        <f>VLOOKUP($B176,'2. Red CPM-Ruta Critica'!$A:$M,13,FALSE())</f>
        <v>no</v>
      </c>
      <c r="AH176" s="7" t="b">
        <f>ISNUMBER(MATCH($B176,'2. Red CPM-Ruta Critica'!$A:$A,0))</f>
        <v>1</v>
      </c>
    </row>
    <row r="177" spans="1:34" x14ac:dyDescent="0.25">
      <c r="A177" s="7">
        <f t="shared" si="7"/>
        <v>172</v>
      </c>
      <c r="B177" s="14" t="str">
        <f>'1. Calculo PERT'!A176</f>
        <v>1.3.4.2.4</v>
      </c>
      <c r="C177" s="14" t="str">
        <f>'1. Calculo PERT'!C176</f>
        <v>Instalar espiras y deteccion vehicular</v>
      </c>
      <c r="D177" s="14">
        <f>'1. Calculo PERT'!B176</f>
        <v>5</v>
      </c>
      <c r="E177" s="14" t="str">
        <f>'1. Calculo PERT'!D176</f>
        <v>3-Construccion</v>
      </c>
      <c r="F177" s="5" t="s">
        <v>748</v>
      </c>
      <c r="G177" s="14">
        <f>VLOOKUP($B177,'2. Red CPM-Ruta Critica'!$A:$F,6,FALSE())</f>
        <v>6</v>
      </c>
      <c r="H177" s="14">
        <f>VLOOKUP($B177,'2. Red CPM-Ruta Critica'!$A:$H,8,FALSE())</f>
        <v>559</v>
      </c>
      <c r="I177" s="14">
        <f>VLOOKUP($B177,'2. Red CPM-Ruta Critica'!$A:$I,9,FALSE())</f>
        <v>565</v>
      </c>
      <c r="J177" s="27">
        <f>'0. Parametros'!$B$3+H177</f>
        <v>46229</v>
      </c>
      <c r="K177" s="27">
        <f>'0. Parametros'!$B$3+I177-1</f>
        <v>46234</v>
      </c>
      <c r="L177" s="14" t="str">
        <f>VLOOKUP($B177,'2. Red CPM-Ruta Critica'!$A:$M,13,FALSE())</f>
        <v>SI</v>
      </c>
      <c r="AH177" s="7" t="b">
        <f>ISNUMBER(MATCH($B177,'2. Red CPM-Ruta Critica'!$A:$A,0))</f>
        <v>1</v>
      </c>
    </row>
    <row r="178" spans="1:34" x14ac:dyDescent="0.25">
      <c r="A178" s="7">
        <f t="shared" si="7"/>
        <v>173</v>
      </c>
      <c r="B178" s="14" t="str">
        <f>'1. Calculo PERT'!A177</f>
        <v>1.3.4.2.5</v>
      </c>
      <c r="C178" s="14" t="str">
        <f>'1. Calculo PERT'!C177</f>
        <v>Ejecutar pruebas de operacion y recibir por la SDM</v>
      </c>
      <c r="D178" s="14">
        <f>'1. Calculo PERT'!B177</f>
        <v>5</v>
      </c>
      <c r="E178" s="14" t="str">
        <f>'1. Calculo PERT'!D177</f>
        <v>3-Construccion</v>
      </c>
      <c r="F178" s="5" t="s">
        <v>756</v>
      </c>
      <c r="G178" s="14">
        <f>VLOOKUP($B178,'2. Red CPM-Ruta Critica'!$A:$F,6,FALSE())</f>
        <v>5</v>
      </c>
      <c r="H178" s="14">
        <f>VLOOKUP($B178,'2. Red CPM-Ruta Critica'!$A:$H,8,FALSE())</f>
        <v>565</v>
      </c>
      <c r="I178" s="14">
        <f>VLOOKUP($B178,'2. Red CPM-Ruta Critica'!$A:$I,9,FALSE())</f>
        <v>570</v>
      </c>
      <c r="J178" s="27">
        <f>'0. Parametros'!$B$3+H178</f>
        <v>46235</v>
      </c>
      <c r="K178" s="27">
        <f>'0. Parametros'!$B$3+I178-1</f>
        <v>46239</v>
      </c>
      <c r="L178" s="14" t="str">
        <f>VLOOKUP($B178,'2. Red CPM-Ruta Critica'!$A:$M,13,FALSE())</f>
        <v>SI</v>
      </c>
      <c r="AH178" s="7" t="b">
        <f>ISNUMBER(MATCH($B178,'2. Red CPM-Ruta Critica'!$A:$A,0))</f>
        <v>1</v>
      </c>
    </row>
    <row r="179" spans="1:34" x14ac:dyDescent="0.25">
      <c r="A179" s="7">
        <f t="shared" si="7"/>
        <v>174</v>
      </c>
      <c r="B179" s="14" t="str">
        <f>'1. Calculo PERT'!A178</f>
        <v>1.3.5</v>
      </c>
      <c r="C179" s="14" t="str">
        <f>'1. Calculo PERT'!C178</f>
        <v>Hito: Acta de terminacion de obra</v>
      </c>
      <c r="D179" s="14">
        <f>'1. Calculo PERT'!B178</f>
        <v>3</v>
      </c>
      <c r="E179" s="14" t="str">
        <f>'1. Calculo PERT'!D178</f>
        <v>3-Construccion</v>
      </c>
      <c r="F179" s="5" t="s">
        <v>760</v>
      </c>
      <c r="G179" s="14">
        <f>VLOOKUP($B179,'2. Red CPM-Ruta Critica'!$A:$F,6,FALSE())</f>
        <v>0</v>
      </c>
      <c r="H179" s="14">
        <f>VLOOKUP($B179,'2. Red CPM-Ruta Critica'!$A:$H,8,FALSE())</f>
        <v>570</v>
      </c>
      <c r="I179" s="14">
        <f>VLOOKUP($B179,'2. Red CPM-Ruta Critica'!$A:$I,9,FALSE())</f>
        <v>570</v>
      </c>
      <c r="J179" s="27">
        <f>'0. Parametros'!$B$3+I179-1</f>
        <v>46239</v>
      </c>
      <c r="K179" s="27">
        <f>'0. Parametros'!$B$3+I179-1</f>
        <v>46239</v>
      </c>
      <c r="L179" s="14" t="str">
        <f>VLOOKUP($B179,'2. Red CPM-Ruta Critica'!$A:$M,13,FALSE())</f>
        <v>SI</v>
      </c>
      <c r="M179" s="32" t="str">
        <f t="shared" ref="M179:AG179" si="8">IF(AND($I179&gt;(M$4-1)*30,$I179&lt;=M$4*30),"X","")</f>
        <v/>
      </c>
      <c r="N179" s="32" t="str">
        <f t="shared" si="8"/>
        <v/>
      </c>
      <c r="O179" s="32" t="str">
        <f t="shared" si="8"/>
        <v/>
      </c>
      <c r="P179" s="32" t="str">
        <f t="shared" si="8"/>
        <v/>
      </c>
      <c r="Q179" s="32" t="str">
        <f t="shared" si="8"/>
        <v/>
      </c>
      <c r="R179" s="32" t="str">
        <f t="shared" si="8"/>
        <v/>
      </c>
      <c r="S179" s="32" t="str">
        <f t="shared" si="8"/>
        <v/>
      </c>
      <c r="T179" s="32" t="str">
        <f t="shared" si="8"/>
        <v/>
      </c>
      <c r="U179" s="32" t="str">
        <f t="shared" si="8"/>
        <v/>
      </c>
      <c r="V179" s="32" t="str">
        <f t="shared" si="8"/>
        <v/>
      </c>
      <c r="W179" s="32" t="str">
        <f t="shared" si="8"/>
        <v/>
      </c>
      <c r="X179" s="32" t="str">
        <f t="shared" si="8"/>
        <v/>
      </c>
      <c r="Y179" s="32" t="str">
        <f t="shared" si="8"/>
        <v/>
      </c>
      <c r="Z179" s="32" t="str">
        <f t="shared" si="8"/>
        <v/>
      </c>
      <c r="AA179" s="32" t="str">
        <f t="shared" si="8"/>
        <v/>
      </c>
      <c r="AB179" s="32" t="str">
        <f t="shared" si="8"/>
        <v/>
      </c>
      <c r="AC179" s="32" t="str">
        <f t="shared" si="8"/>
        <v/>
      </c>
      <c r="AD179" s="32" t="str">
        <f t="shared" si="8"/>
        <v/>
      </c>
      <c r="AE179" s="32" t="str">
        <f t="shared" si="8"/>
        <v>X</v>
      </c>
      <c r="AF179" s="32" t="str">
        <f t="shared" si="8"/>
        <v/>
      </c>
      <c r="AG179" s="32" t="str">
        <f t="shared" si="8"/>
        <v/>
      </c>
      <c r="AH179" s="7" t="b">
        <f>ISNUMBER(MATCH($B179,'2. Red CPM-Ruta Critica'!$A:$A,0))</f>
        <v>1</v>
      </c>
    </row>
    <row r="180" spans="1:34" x14ac:dyDescent="0.25">
      <c r="A180" s="11">
        <f t="shared" si="7"/>
        <v>175</v>
      </c>
      <c r="B180" s="23" t="str">
        <f>'1. Calculo PERT'!A179</f>
        <v>1.4</v>
      </c>
      <c r="C180" s="24" t="str">
        <f>'1. Calculo PERT'!C179</f>
        <v>Fase: Liquidacion y Cierre</v>
      </c>
      <c r="D180" s="23">
        <f>'1. Calculo PERT'!B179</f>
        <v>2</v>
      </c>
      <c r="E180" s="23" t="str">
        <f>'1. Calculo PERT'!D179</f>
        <v>4-Liquidacion</v>
      </c>
      <c r="F180" s="25"/>
      <c r="G180" s="11">
        <f>I180-H180</f>
        <v>60</v>
      </c>
      <c r="H180" s="11">
        <f t="array" ref="H180">MIN(IF(LEFT('2. Red CPM-Ruta Critica'!$A$5:$A$167,LEN($B180)+1)=$B180&amp;".",'2. Red CPM-Ruta Critica'!$H$5:$H$167))</f>
        <v>570</v>
      </c>
      <c r="I180" s="11">
        <f t="array" ref="I180">MAX(IF(LEFT('2. Red CPM-Ruta Critica'!$A$5:$A$167,LEN($B180)+1)=$B180&amp;".",'2. Red CPM-Ruta Critica'!$I$5:$I$167))</f>
        <v>630</v>
      </c>
      <c r="J180" s="26">
        <f>'0. Parametros'!$B$3+H180</f>
        <v>46240</v>
      </c>
      <c r="K180" s="26">
        <f>'0. Parametros'!$B$3+I180-1</f>
        <v>46299</v>
      </c>
      <c r="L180" s="11"/>
      <c r="AH180" s="7" t="b">
        <f>ISNUMBER(MATCH($B180,'2. Red CPM-Ruta Critica'!$A:$A,0))</f>
        <v>0</v>
      </c>
    </row>
    <row r="181" spans="1:34" x14ac:dyDescent="0.25">
      <c r="A181" s="13">
        <f t="shared" si="7"/>
        <v>176</v>
      </c>
      <c r="B181" s="28" t="str">
        <f>'1. Calculo PERT'!A180</f>
        <v>1.4.1</v>
      </c>
      <c r="C181" s="29" t="str">
        <f>'1. Calculo PERT'!C180</f>
        <v>Cuenta de control: Cierre Tecnico y Administrativo</v>
      </c>
      <c r="D181" s="28">
        <f>'1. Calculo PERT'!B180</f>
        <v>3</v>
      </c>
      <c r="E181" s="28" t="str">
        <f>'1. Calculo PERT'!D180</f>
        <v>4-Liquidacion</v>
      </c>
      <c r="F181" s="30"/>
      <c r="G181" s="13">
        <f>I181-H181</f>
        <v>60</v>
      </c>
      <c r="H181" s="13">
        <f t="array" ref="H181">MIN(IF(LEFT('2. Red CPM-Ruta Critica'!$A$5:$A$167,LEN($B181)+1)=$B181&amp;".",'2. Red CPM-Ruta Critica'!$H$5:$H$167))</f>
        <v>570</v>
      </c>
      <c r="I181" s="13">
        <f t="array" ref="I181">MAX(IF(LEFT('2. Red CPM-Ruta Critica'!$A$5:$A$167,LEN($B181)+1)=$B181&amp;".",'2. Red CPM-Ruta Critica'!$I$5:$I$167))</f>
        <v>630</v>
      </c>
      <c r="J181" s="31">
        <f>'0. Parametros'!$B$3+H181</f>
        <v>46240</v>
      </c>
      <c r="K181" s="31">
        <f>'0. Parametros'!$B$3+I181-1</f>
        <v>46299</v>
      </c>
      <c r="L181" s="13"/>
      <c r="AH181" s="7" t="b">
        <f>ISNUMBER(MATCH($B181,'2. Red CPM-Ruta Critica'!$A:$A,0))</f>
        <v>0</v>
      </c>
    </row>
    <row r="182" spans="1:34" x14ac:dyDescent="0.25">
      <c r="A182" s="13">
        <f t="shared" si="7"/>
        <v>177</v>
      </c>
      <c r="B182" s="28" t="str">
        <f>'1. Calculo PERT'!A181</f>
        <v>1.4.1.1</v>
      </c>
      <c r="C182" s="29" t="str">
        <f>'1. Calculo PERT'!C181</f>
        <v>Planos Record (As-Built) de la obra finalizada</v>
      </c>
      <c r="D182" s="28">
        <f>'1. Calculo PERT'!B181</f>
        <v>4</v>
      </c>
      <c r="E182" s="28" t="str">
        <f>'1. Calculo PERT'!D181</f>
        <v>4-Liquidacion</v>
      </c>
      <c r="F182" s="30"/>
      <c r="G182" s="13">
        <f>I182-H182</f>
        <v>28</v>
      </c>
      <c r="H182" s="13">
        <f t="array" ref="H182">MIN(IF(LEFT('2. Red CPM-Ruta Critica'!$A$5:$A$167,LEN($B182)+1)=$B182&amp;".",'2. Red CPM-Ruta Critica'!$H$5:$H$167))</f>
        <v>570</v>
      </c>
      <c r="I182" s="13">
        <f t="array" ref="I182">MAX(IF(LEFT('2. Red CPM-Ruta Critica'!$A$5:$A$167,LEN($B182)+1)=$B182&amp;".",'2. Red CPM-Ruta Critica'!$I$5:$I$167))</f>
        <v>598</v>
      </c>
      <c r="J182" s="31">
        <f>'0. Parametros'!$B$3+H182</f>
        <v>46240</v>
      </c>
      <c r="K182" s="31">
        <f>'0. Parametros'!$B$3+I182-1</f>
        <v>46267</v>
      </c>
      <c r="L182" s="13"/>
      <c r="AH182" s="7" t="b">
        <f>ISNUMBER(MATCH($B182,'2. Red CPM-Ruta Critica'!$A:$A,0))</f>
        <v>0</v>
      </c>
    </row>
    <row r="183" spans="1:34" x14ac:dyDescent="0.25">
      <c r="A183" s="7">
        <f t="shared" si="7"/>
        <v>178</v>
      </c>
      <c r="B183" s="14" t="str">
        <f>'1. Calculo PERT'!A182</f>
        <v>1.4.1.1.1</v>
      </c>
      <c r="C183" s="14" t="str">
        <f>'1. Calculo PERT'!C182</f>
        <v>Levantar la obra construida</v>
      </c>
      <c r="D183" s="14">
        <f>'1. Calculo PERT'!B182</f>
        <v>5</v>
      </c>
      <c r="E183" s="14" t="str">
        <f>'1. Calculo PERT'!D182</f>
        <v>4-Liquidacion</v>
      </c>
      <c r="F183" s="5" t="s">
        <v>772</v>
      </c>
      <c r="G183" s="14">
        <f>VLOOKUP($B183,'2. Red CPM-Ruta Critica'!$A:$F,6,FALSE())</f>
        <v>10</v>
      </c>
      <c r="H183" s="14">
        <f>VLOOKUP($B183,'2. Red CPM-Ruta Critica'!$A:$H,8,FALSE())</f>
        <v>570</v>
      </c>
      <c r="I183" s="14">
        <f>VLOOKUP($B183,'2. Red CPM-Ruta Critica'!$A:$I,9,FALSE())</f>
        <v>580</v>
      </c>
      <c r="J183" s="27">
        <f>'0. Parametros'!$B$3+H183</f>
        <v>46240</v>
      </c>
      <c r="K183" s="27">
        <f>'0. Parametros'!$B$3+I183-1</f>
        <v>46249</v>
      </c>
      <c r="L183" s="14" t="str">
        <f>VLOOKUP($B183,'2. Red CPM-Ruta Critica'!$A:$M,13,FALSE())</f>
        <v>SI</v>
      </c>
      <c r="AH183" s="7" t="b">
        <f>ISNUMBER(MATCH($B183,'2. Red CPM-Ruta Critica'!$A:$A,0))</f>
        <v>1</v>
      </c>
    </row>
    <row r="184" spans="1:34" x14ac:dyDescent="0.25">
      <c r="A184" s="7">
        <f t="shared" si="7"/>
        <v>179</v>
      </c>
      <c r="B184" s="14" t="str">
        <f>'1. Calculo PERT'!A183</f>
        <v>1.4.1.1.2</v>
      </c>
      <c r="C184" s="14" t="str">
        <f>'1. Calculo PERT'!C183</f>
        <v>Elaborar los planos record</v>
      </c>
      <c r="D184" s="14">
        <f>'1. Calculo PERT'!B183</f>
        <v>5</v>
      </c>
      <c r="E184" s="14" t="str">
        <f>'1. Calculo PERT'!D183</f>
        <v>4-Liquidacion</v>
      </c>
      <c r="F184" s="5" t="s">
        <v>777</v>
      </c>
      <c r="G184" s="14">
        <f>VLOOKUP($B184,'2. Red CPM-Ruta Critica'!$A:$F,6,FALSE())</f>
        <v>10</v>
      </c>
      <c r="H184" s="14">
        <f>VLOOKUP($B184,'2. Red CPM-Ruta Critica'!$A:$H,8,FALSE())</f>
        <v>580</v>
      </c>
      <c r="I184" s="14">
        <f>VLOOKUP($B184,'2. Red CPM-Ruta Critica'!$A:$I,9,FALSE())</f>
        <v>590</v>
      </c>
      <c r="J184" s="27">
        <f>'0. Parametros'!$B$3+H184</f>
        <v>46250</v>
      </c>
      <c r="K184" s="27">
        <f>'0. Parametros'!$B$3+I184-1</f>
        <v>46259</v>
      </c>
      <c r="L184" s="14" t="str">
        <f>VLOOKUP($B184,'2. Red CPM-Ruta Critica'!$A:$M,13,FALSE())</f>
        <v>SI</v>
      </c>
      <c r="AH184" s="7" t="b">
        <f>ISNUMBER(MATCH($B184,'2. Red CPM-Ruta Critica'!$A:$A,0))</f>
        <v>1</v>
      </c>
    </row>
    <row r="185" spans="1:34" x14ac:dyDescent="0.25">
      <c r="A185" s="7">
        <f t="shared" si="7"/>
        <v>180</v>
      </c>
      <c r="B185" s="14" t="str">
        <f>'1. Calculo PERT'!A184</f>
        <v>1.4.1.1.3</v>
      </c>
      <c r="C185" s="14" t="str">
        <f>'1. Calculo PERT'!C184</f>
        <v>Aprobar los planos record por interventoria</v>
      </c>
      <c r="D185" s="14">
        <f>'1. Calculo PERT'!B184</f>
        <v>5</v>
      </c>
      <c r="E185" s="14" t="str">
        <f>'1. Calculo PERT'!D184</f>
        <v>4-Liquidacion</v>
      </c>
      <c r="F185" s="5" t="s">
        <v>782</v>
      </c>
      <c r="G185" s="14">
        <f>VLOOKUP($B185,'2. Red CPM-Ruta Critica'!$A:$F,6,FALSE())</f>
        <v>8</v>
      </c>
      <c r="H185" s="14">
        <f>VLOOKUP($B185,'2. Red CPM-Ruta Critica'!$A:$H,8,FALSE())</f>
        <v>590</v>
      </c>
      <c r="I185" s="14">
        <f>VLOOKUP($B185,'2. Red CPM-Ruta Critica'!$A:$I,9,FALSE())</f>
        <v>598</v>
      </c>
      <c r="J185" s="27">
        <f>'0. Parametros'!$B$3+H185</f>
        <v>46260</v>
      </c>
      <c r="K185" s="27">
        <f>'0. Parametros'!$B$3+I185-1</f>
        <v>46267</v>
      </c>
      <c r="L185" s="14" t="str">
        <f>VLOOKUP($B185,'2. Red CPM-Ruta Critica'!$A:$M,13,FALSE())</f>
        <v>SI</v>
      </c>
      <c r="AH185" s="7" t="b">
        <f>ISNUMBER(MATCH($B185,'2. Red CPM-Ruta Critica'!$A:$A,0))</f>
        <v>1</v>
      </c>
    </row>
    <row r="186" spans="1:34" x14ac:dyDescent="0.25">
      <c r="A186" s="7">
        <f t="shared" si="7"/>
        <v>181</v>
      </c>
      <c r="B186" s="14" t="str">
        <f>'1. Calculo PERT'!A185</f>
        <v>1.4.1.1.4</v>
      </c>
      <c r="C186" s="14" t="str">
        <f>'1. Calculo PERT'!C185</f>
        <v>Georreferenciar las redes y activos construidos</v>
      </c>
      <c r="D186" s="14">
        <f>'1. Calculo PERT'!B185</f>
        <v>5</v>
      </c>
      <c r="E186" s="14" t="str">
        <f>'1. Calculo PERT'!D185</f>
        <v>4-Liquidacion</v>
      </c>
      <c r="F186" s="5" t="s">
        <v>782</v>
      </c>
      <c r="G186" s="14">
        <f>VLOOKUP($B186,'2. Red CPM-Ruta Critica'!$A:$F,6,FALSE())</f>
        <v>6</v>
      </c>
      <c r="H186" s="14">
        <f>VLOOKUP($B186,'2. Red CPM-Ruta Critica'!$A:$H,8,FALSE())</f>
        <v>590</v>
      </c>
      <c r="I186" s="14">
        <f>VLOOKUP($B186,'2. Red CPM-Ruta Critica'!$A:$I,9,FALSE())</f>
        <v>596</v>
      </c>
      <c r="J186" s="27">
        <f>'0. Parametros'!$B$3+H186</f>
        <v>46260</v>
      </c>
      <c r="K186" s="27">
        <f>'0. Parametros'!$B$3+I186-1</f>
        <v>46265</v>
      </c>
      <c r="L186" s="14" t="str">
        <f>VLOOKUP($B186,'2. Red CPM-Ruta Critica'!$A:$M,13,FALSE())</f>
        <v>no</v>
      </c>
      <c r="AH186" s="7" t="b">
        <f>ISNUMBER(MATCH($B186,'2. Red CPM-Ruta Critica'!$A:$A,0))</f>
        <v>1</v>
      </c>
    </row>
    <row r="187" spans="1:34" x14ac:dyDescent="0.25">
      <c r="A187" s="7">
        <f t="shared" si="7"/>
        <v>182</v>
      </c>
      <c r="B187" s="14" t="str">
        <f>'1. Calculo PERT'!A186</f>
        <v>1.4.1.1.5</v>
      </c>
      <c r="C187" s="14" t="str">
        <f>'1. Calculo PERT'!C186</f>
        <v>Consolidar memorias de calculo y ensayos</v>
      </c>
      <c r="D187" s="14">
        <f>'1. Calculo PERT'!B186</f>
        <v>5</v>
      </c>
      <c r="E187" s="14" t="str">
        <f>'1. Calculo PERT'!D186</f>
        <v>4-Liquidacion</v>
      </c>
      <c r="F187" s="5" t="s">
        <v>782</v>
      </c>
      <c r="G187" s="14">
        <f>VLOOKUP($B187,'2. Red CPM-Ruta Critica'!$A:$F,6,FALSE())</f>
        <v>8</v>
      </c>
      <c r="H187" s="14">
        <f>VLOOKUP($B187,'2. Red CPM-Ruta Critica'!$A:$H,8,FALSE())</f>
        <v>590</v>
      </c>
      <c r="I187" s="14">
        <f>VLOOKUP($B187,'2. Red CPM-Ruta Critica'!$A:$I,9,FALSE())</f>
        <v>598</v>
      </c>
      <c r="J187" s="27">
        <f>'0. Parametros'!$B$3+H187</f>
        <v>46260</v>
      </c>
      <c r="K187" s="27">
        <f>'0. Parametros'!$B$3+I187-1</f>
        <v>46267</v>
      </c>
      <c r="L187" s="14" t="str">
        <f>VLOOKUP($B187,'2. Red CPM-Ruta Critica'!$A:$M,13,FALSE())</f>
        <v>no</v>
      </c>
      <c r="AH187" s="7" t="b">
        <f>ISNUMBER(MATCH($B187,'2. Red CPM-Ruta Critica'!$A:$A,0))</f>
        <v>1</v>
      </c>
    </row>
    <row r="188" spans="1:34" x14ac:dyDescent="0.25">
      <c r="A188" s="13">
        <f t="shared" si="7"/>
        <v>183</v>
      </c>
      <c r="B188" s="28" t="str">
        <f>'1. Calculo PERT'!A187</f>
        <v>1.4.1.2</v>
      </c>
      <c r="C188" s="29" t="str">
        <f>'1. Calculo PERT'!C187</f>
        <v>Acta de recibo final suscrita por el IDU e Interventoria</v>
      </c>
      <c r="D188" s="28">
        <f>'1. Calculo PERT'!B187</f>
        <v>4</v>
      </c>
      <c r="E188" s="28" t="str">
        <f>'1. Calculo PERT'!D187</f>
        <v>4-Liquidacion</v>
      </c>
      <c r="F188" s="30"/>
      <c r="G188" s="13">
        <f>I188-H188</f>
        <v>38</v>
      </c>
      <c r="H188" s="13">
        <f t="array" ref="H188">MIN(IF(LEFT('2. Red CPM-Ruta Critica'!$A$5:$A$167,LEN($B188)+1)=$B188&amp;".",'2. Red CPM-Ruta Critica'!$H$5:$H$167))</f>
        <v>570</v>
      </c>
      <c r="I188" s="13">
        <f t="array" ref="I188">MAX(IF(LEFT('2. Red CPM-Ruta Critica'!$A$5:$A$167,LEN($B188)+1)=$B188&amp;".",'2. Red CPM-Ruta Critica'!$I$5:$I$167))</f>
        <v>608</v>
      </c>
      <c r="J188" s="31">
        <f>'0. Parametros'!$B$3+H188</f>
        <v>46240</v>
      </c>
      <c r="K188" s="31">
        <f>'0. Parametros'!$B$3+I188-1</f>
        <v>46277</v>
      </c>
      <c r="L188" s="13"/>
      <c r="AH188" s="7" t="b">
        <f>ISNUMBER(MATCH($B188,'2. Red CPM-Ruta Critica'!$A:$A,0))</f>
        <v>0</v>
      </c>
    </row>
    <row r="189" spans="1:34" x14ac:dyDescent="0.25">
      <c r="A189" s="7">
        <f t="shared" si="7"/>
        <v>184</v>
      </c>
      <c r="B189" s="14" t="str">
        <f>'1. Calculo PERT'!A188</f>
        <v>1.4.1.2.1</v>
      </c>
      <c r="C189" s="14" t="str">
        <f>'1. Calculo PERT'!C188</f>
        <v>Gestionar y obtener el recibo de redes por las Empresas de Servicios Publicos (EAAB, Enel-Codensa, Vanti)</v>
      </c>
      <c r="D189" s="14">
        <f>'1. Calculo PERT'!B188</f>
        <v>5</v>
      </c>
      <c r="E189" s="14" t="str">
        <f>'1. Calculo PERT'!D188</f>
        <v>4-Liquidacion</v>
      </c>
      <c r="F189" s="5" t="s">
        <v>772</v>
      </c>
      <c r="G189" s="14">
        <f>VLOOKUP($B189,'2. Red CPM-Ruta Critica'!$A:$F,6,FALSE())</f>
        <v>14</v>
      </c>
      <c r="H189" s="14">
        <f>VLOOKUP($B189,'2. Red CPM-Ruta Critica'!$A:$H,8,FALSE())</f>
        <v>570</v>
      </c>
      <c r="I189" s="14">
        <f>VLOOKUP($B189,'2. Red CPM-Ruta Critica'!$A:$I,9,FALSE())</f>
        <v>584</v>
      </c>
      <c r="J189" s="27">
        <f>'0. Parametros'!$B$3+H189</f>
        <v>46240</v>
      </c>
      <c r="K189" s="27">
        <f>'0. Parametros'!$B$3+I189-1</f>
        <v>46253</v>
      </c>
      <c r="L189" s="14" t="str">
        <f>VLOOKUP($B189,'2. Red CPM-Ruta Critica'!$A:$M,13,FALSE())</f>
        <v>no</v>
      </c>
      <c r="AH189" s="7" t="b">
        <f>ISNUMBER(MATCH($B189,'2. Red CPM-Ruta Critica'!$A:$A,0))</f>
        <v>1</v>
      </c>
    </row>
    <row r="190" spans="1:34" x14ac:dyDescent="0.25">
      <c r="A190" s="7">
        <f t="shared" si="7"/>
        <v>185</v>
      </c>
      <c r="B190" s="14" t="str">
        <f>'1. Calculo PERT'!A189</f>
        <v>1.4.1.2.2</v>
      </c>
      <c r="C190" s="14" t="str">
        <f>'1. Calculo PERT'!C189</f>
        <v>Hito: Recibo de redes por las Empresas de Servicios Publicos</v>
      </c>
      <c r="D190" s="14">
        <f>'1. Calculo PERT'!B189</f>
        <v>5</v>
      </c>
      <c r="E190" s="14" t="str">
        <f>'1. Calculo PERT'!D189</f>
        <v>4-Liquidacion</v>
      </c>
      <c r="F190" s="5" t="s">
        <v>797</v>
      </c>
      <c r="G190" s="14">
        <f>VLOOKUP($B190,'2. Red CPM-Ruta Critica'!$A:$F,6,FALSE())</f>
        <v>0</v>
      </c>
      <c r="H190" s="14">
        <f>VLOOKUP($B190,'2. Red CPM-Ruta Critica'!$A:$H,8,FALSE())</f>
        <v>584</v>
      </c>
      <c r="I190" s="14">
        <f>VLOOKUP($B190,'2. Red CPM-Ruta Critica'!$A:$I,9,FALSE())</f>
        <v>584</v>
      </c>
      <c r="J190" s="27">
        <f>'0. Parametros'!$B$3+I190-1</f>
        <v>46253</v>
      </c>
      <c r="K190" s="27">
        <f>'0. Parametros'!$B$3+I190-1</f>
        <v>46253</v>
      </c>
      <c r="L190" s="14" t="str">
        <f>VLOOKUP($B190,'2. Red CPM-Ruta Critica'!$A:$M,13,FALSE())</f>
        <v>no</v>
      </c>
      <c r="M190" s="32" t="str">
        <f t="shared" ref="M190:AG190" si="9">IF(AND($I190&gt;(M$4-1)*30,$I190&lt;=M$4*30),"X","")</f>
        <v/>
      </c>
      <c r="N190" s="32" t="str">
        <f t="shared" si="9"/>
        <v/>
      </c>
      <c r="O190" s="32" t="str">
        <f t="shared" si="9"/>
        <v/>
      </c>
      <c r="P190" s="32" t="str">
        <f t="shared" si="9"/>
        <v/>
      </c>
      <c r="Q190" s="32" t="str">
        <f t="shared" si="9"/>
        <v/>
      </c>
      <c r="R190" s="32" t="str">
        <f t="shared" si="9"/>
        <v/>
      </c>
      <c r="S190" s="32" t="str">
        <f t="shared" si="9"/>
        <v/>
      </c>
      <c r="T190" s="32" t="str">
        <f t="shared" si="9"/>
        <v/>
      </c>
      <c r="U190" s="32" t="str">
        <f t="shared" si="9"/>
        <v/>
      </c>
      <c r="V190" s="32" t="str">
        <f t="shared" si="9"/>
        <v/>
      </c>
      <c r="W190" s="32" t="str">
        <f t="shared" si="9"/>
        <v/>
      </c>
      <c r="X190" s="32" t="str">
        <f t="shared" si="9"/>
        <v/>
      </c>
      <c r="Y190" s="32" t="str">
        <f t="shared" si="9"/>
        <v/>
      </c>
      <c r="Z190" s="32" t="str">
        <f t="shared" si="9"/>
        <v/>
      </c>
      <c r="AA190" s="32" t="str">
        <f t="shared" si="9"/>
        <v/>
      </c>
      <c r="AB190" s="32" t="str">
        <f t="shared" si="9"/>
        <v/>
      </c>
      <c r="AC190" s="32" t="str">
        <f t="shared" si="9"/>
        <v/>
      </c>
      <c r="AD190" s="32" t="str">
        <f t="shared" si="9"/>
        <v/>
      </c>
      <c r="AE190" s="32" t="str">
        <f t="shared" si="9"/>
        <v/>
      </c>
      <c r="AF190" s="32" t="str">
        <f t="shared" si="9"/>
        <v>X</v>
      </c>
      <c r="AG190" s="32" t="str">
        <f t="shared" si="9"/>
        <v/>
      </c>
      <c r="AH190" s="7" t="b">
        <f>ISNUMBER(MATCH($B190,'2. Red CPM-Ruta Critica'!$A:$A,0))</f>
        <v>1</v>
      </c>
    </row>
    <row r="191" spans="1:34" x14ac:dyDescent="0.25">
      <c r="A191" s="7">
        <f t="shared" si="7"/>
        <v>186</v>
      </c>
      <c r="B191" s="14" t="str">
        <f>'1. Calculo PERT'!A190</f>
        <v>1.4.1.2.3</v>
      </c>
      <c r="C191" s="14" t="str">
        <f>'1. Calculo PERT'!C190</f>
        <v>Inspeccionar la obra y elaborar lista de pendientes</v>
      </c>
      <c r="D191" s="14">
        <f>'1. Calculo PERT'!B190</f>
        <v>5</v>
      </c>
      <c r="E191" s="14" t="str">
        <f>'1. Calculo PERT'!D190</f>
        <v>4-Liquidacion</v>
      </c>
      <c r="F191" s="5" t="s">
        <v>772</v>
      </c>
      <c r="G191" s="14">
        <f>VLOOKUP($B191,'2. Red CPM-Ruta Critica'!$A:$F,6,FALSE())</f>
        <v>10</v>
      </c>
      <c r="H191" s="14">
        <f>VLOOKUP($B191,'2. Red CPM-Ruta Critica'!$A:$H,8,FALSE())</f>
        <v>570</v>
      </c>
      <c r="I191" s="14">
        <f>VLOOKUP($B191,'2. Red CPM-Ruta Critica'!$A:$I,9,FALSE())</f>
        <v>580</v>
      </c>
      <c r="J191" s="27">
        <f>'0. Parametros'!$B$3+H191</f>
        <v>46240</v>
      </c>
      <c r="K191" s="27">
        <f>'0. Parametros'!$B$3+I191-1</f>
        <v>46249</v>
      </c>
      <c r="L191" s="14" t="str">
        <f>VLOOKUP($B191,'2. Red CPM-Ruta Critica'!$A:$M,13,FALSE())</f>
        <v>no</v>
      </c>
      <c r="AH191" s="7" t="b">
        <f>ISNUMBER(MATCH($B191,'2. Red CPM-Ruta Critica'!$A:$A,0))</f>
        <v>1</v>
      </c>
    </row>
    <row r="192" spans="1:34" x14ac:dyDescent="0.25">
      <c r="A192" s="7">
        <f t="shared" si="7"/>
        <v>187</v>
      </c>
      <c r="B192" s="14" t="str">
        <f>'1. Calculo PERT'!A191</f>
        <v>1.4.1.2.4</v>
      </c>
      <c r="C192" s="14" t="str">
        <f>'1. Calculo PERT'!C191</f>
        <v>Subsanar las observaciones (punch list)</v>
      </c>
      <c r="D192" s="14">
        <f>'1. Calculo PERT'!B191</f>
        <v>5</v>
      </c>
      <c r="E192" s="14" t="str">
        <f>'1. Calculo PERT'!D191</f>
        <v>4-Liquidacion</v>
      </c>
      <c r="F192" s="5" t="s">
        <v>805</v>
      </c>
      <c r="G192" s="14">
        <f>VLOOKUP($B192,'2. Red CPM-Ruta Critica'!$A:$F,6,FALSE())</f>
        <v>12</v>
      </c>
      <c r="H192" s="14">
        <f>VLOOKUP($B192,'2. Red CPM-Ruta Critica'!$A:$H,8,FALSE())</f>
        <v>580</v>
      </c>
      <c r="I192" s="14">
        <f>VLOOKUP($B192,'2. Red CPM-Ruta Critica'!$A:$I,9,FALSE())</f>
        <v>592</v>
      </c>
      <c r="J192" s="27">
        <f>'0. Parametros'!$B$3+H192</f>
        <v>46250</v>
      </c>
      <c r="K192" s="27">
        <f>'0. Parametros'!$B$3+I192-1</f>
        <v>46261</v>
      </c>
      <c r="L192" s="14" t="str">
        <f>VLOOKUP($B192,'2. Red CPM-Ruta Critica'!$A:$M,13,FALSE())</f>
        <v>no</v>
      </c>
      <c r="AH192" s="7" t="b">
        <f>ISNUMBER(MATCH($B192,'2. Red CPM-Ruta Critica'!$A:$A,0))</f>
        <v>1</v>
      </c>
    </row>
    <row r="193" spans="1:34" x14ac:dyDescent="0.25">
      <c r="A193" s="7">
        <f t="shared" si="7"/>
        <v>188</v>
      </c>
      <c r="B193" s="14" t="str">
        <f>'1. Calculo PERT'!A192</f>
        <v>1.4.1.2.5</v>
      </c>
      <c r="C193" s="14" t="str">
        <f>'1. Calculo PERT'!C192</f>
        <v>Suscribir el acta de recibo final</v>
      </c>
      <c r="D193" s="14">
        <f>'1. Calculo PERT'!B192</f>
        <v>5</v>
      </c>
      <c r="E193" s="14" t="str">
        <f>'1. Calculo PERT'!D192</f>
        <v>4-Liquidacion</v>
      </c>
      <c r="F193" s="5" t="s">
        <v>810</v>
      </c>
      <c r="G193" s="14">
        <f>VLOOKUP($B193,'2. Red CPM-Ruta Critica'!$A:$F,6,FALSE())</f>
        <v>5</v>
      </c>
      <c r="H193" s="14">
        <f>VLOOKUP($B193,'2. Red CPM-Ruta Critica'!$A:$H,8,FALSE())</f>
        <v>598</v>
      </c>
      <c r="I193" s="14">
        <f>VLOOKUP($B193,'2. Red CPM-Ruta Critica'!$A:$I,9,FALSE())</f>
        <v>603</v>
      </c>
      <c r="J193" s="27">
        <f>'0. Parametros'!$B$3+H193</f>
        <v>46268</v>
      </c>
      <c r="K193" s="27">
        <f>'0. Parametros'!$B$3+I193-1</f>
        <v>46272</v>
      </c>
      <c r="L193" s="14" t="str">
        <f>VLOOKUP($B193,'2. Red CPM-Ruta Critica'!$A:$M,13,FALSE())</f>
        <v>SI</v>
      </c>
      <c r="AH193" s="7" t="b">
        <f>ISNUMBER(MATCH($B193,'2. Red CPM-Ruta Critica'!$A:$A,0))</f>
        <v>1</v>
      </c>
    </row>
    <row r="194" spans="1:34" x14ac:dyDescent="0.25">
      <c r="A194" s="7">
        <f t="shared" si="7"/>
        <v>189</v>
      </c>
      <c r="B194" s="14" t="str">
        <f>'1. Calculo PERT'!A193</f>
        <v>1.4.1.2.6</v>
      </c>
      <c r="C194" s="14" t="str">
        <f>'1. Calculo PERT'!C193</f>
        <v>Hito: Acta de recibo final firmada</v>
      </c>
      <c r="D194" s="14">
        <f>'1. Calculo PERT'!B193</f>
        <v>5</v>
      </c>
      <c r="E194" s="14" t="str">
        <f>'1. Calculo PERT'!D193</f>
        <v>4-Liquidacion</v>
      </c>
      <c r="F194" s="5" t="s">
        <v>814</v>
      </c>
      <c r="G194" s="14">
        <f>VLOOKUP($B194,'2. Red CPM-Ruta Critica'!$A:$F,6,FALSE())</f>
        <v>0</v>
      </c>
      <c r="H194" s="14">
        <f>VLOOKUP($B194,'2. Red CPM-Ruta Critica'!$A:$H,8,FALSE())</f>
        <v>603</v>
      </c>
      <c r="I194" s="14">
        <f>VLOOKUP($B194,'2. Red CPM-Ruta Critica'!$A:$I,9,FALSE())</f>
        <v>603</v>
      </c>
      <c r="J194" s="27">
        <f>'0. Parametros'!$B$3+I194-1</f>
        <v>46272</v>
      </c>
      <c r="K194" s="27">
        <f>'0. Parametros'!$B$3+I194-1</f>
        <v>46272</v>
      </c>
      <c r="L194" s="14" t="str">
        <f>VLOOKUP($B194,'2. Red CPM-Ruta Critica'!$A:$M,13,FALSE())</f>
        <v>no</v>
      </c>
      <c r="M194" s="32" t="str">
        <f t="shared" ref="M194:AG194" si="10">IF(AND($I194&gt;(M$4-1)*30,$I194&lt;=M$4*30),"X","")</f>
        <v/>
      </c>
      <c r="N194" s="32" t="str">
        <f t="shared" si="10"/>
        <v/>
      </c>
      <c r="O194" s="32" t="str">
        <f t="shared" si="10"/>
        <v/>
      </c>
      <c r="P194" s="32" t="str">
        <f t="shared" si="10"/>
        <v/>
      </c>
      <c r="Q194" s="32" t="str">
        <f t="shared" si="10"/>
        <v/>
      </c>
      <c r="R194" s="32" t="str">
        <f t="shared" si="10"/>
        <v/>
      </c>
      <c r="S194" s="32" t="str">
        <f t="shared" si="10"/>
        <v/>
      </c>
      <c r="T194" s="32" t="str">
        <f t="shared" si="10"/>
        <v/>
      </c>
      <c r="U194" s="32" t="str">
        <f t="shared" si="10"/>
        <v/>
      </c>
      <c r="V194" s="32" t="str">
        <f t="shared" si="10"/>
        <v/>
      </c>
      <c r="W194" s="32" t="str">
        <f t="shared" si="10"/>
        <v/>
      </c>
      <c r="X194" s="32" t="str">
        <f t="shared" si="10"/>
        <v/>
      </c>
      <c r="Y194" s="32" t="str">
        <f t="shared" si="10"/>
        <v/>
      </c>
      <c r="Z194" s="32" t="str">
        <f t="shared" si="10"/>
        <v/>
      </c>
      <c r="AA194" s="32" t="str">
        <f t="shared" si="10"/>
        <v/>
      </c>
      <c r="AB194" s="32" t="str">
        <f t="shared" si="10"/>
        <v/>
      </c>
      <c r="AC194" s="32" t="str">
        <f t="shared" si="10"/>
        <v/>
      </c>
      <c r="AD194" s="32" t="str">
        <f t="shared" si="10"/>
        <v/>
      </c>
      <c r="AE194" s="32" t="str">
        <f t="shared" si="10"/>
        <v/>
      </c>
      <c r="AF194" s="32" t="str">
        <f t="shared" si="10"/>
        <v/>
      </c>
      <c r="AG194" s="32" t="str">
        <f t="shared" si="10"/>
        <v>X</v>
      </c>
      <c r="AH194" s="7" t="b">
        <f>ISNUMBER(MATCH($B194,'2. Red CPM-Ruta Critica'!$A:$A,0))</f>
        <v>1</v>
      </c>
    </row>
    <row r="195" spans="1:34" x14ac:dyDescent="0.25">
      <c r="A195" s="7">
        <f t="shared" si="7"/>
        <v>190</v>
      </c>
      <c r="B195" s="14" t="str">
        <f>'1. Calculo PERT'!A194</f>
        <v>1.4.1.2.7</v>
      </c>
      <c r="C195" s="14" t="str">
        <f>'1. Calculo PERT'!C194</f>
        <v>Verificar las cantidades de obra ejecutadas</v>
      </c>
      <c r="D195" s="14">
        <f>'1. Calculo PERT'!B194</f>
        <v>5</v>
      </c>
      <c r="E195" s="14" t="str">
        <f>'1. Calculo PERT'!D194</f>
        <v>4-Liquidacion</v>
      </c>
      <c r="F195" s="5" t="s">
        <v>819</v>
      </c>
      <c r="G195" s="14">
        <f>VLOOKUP($B195,'2. Red CPM-Ruta Critica'!$A:$F,6,FALSE())</f>
        <v>8</v>
      </c>
      <c r="H195" s="14">
        <f>VLOOKUP($B195,'2. Red CPM-Ruta Critica'!$A:$H,8,FALSE())</f>
        <v>592</v>
      </c>
      <c r="I195" s="14">
        <f>VLOOKUP($B195,'2. Red CPM-Ruta Critica'!$A:$I,9,FALSE())</f>
        <v>600</v>
      </c>
      <c r="J195" s="27">
        <f>'0. Parametros'!$B$3+H195</f>
        <v>46262</v>
      </c>
      <c r="K195" s="27">
        <f>'0. Parametros'!$B$3+I195-1</f>
        <v>46269</v>
      </c>
      <c r="L195" s="14" t="str">
        <f>VLOOKUP($B195,'2. Red CPM-Ruta Critica'!$A:$M,13,FALSE())</f>
        <v>no</v>
      </c>
      <c r="AH195" s="7" t="b">
        <f>ISNUMBER(MATCH($B195,'2. Red CPM-Ruta Critica'!$A:$A,0))</f>
        <v>1</v>
      </c>
    </row>
    <row r="196" spans="1:34" x14ac:dyDescent="0.25">
      <c r="A196" s="7">
        <f t="shared" si="7"/>
        <v>191</v>
      </c>
      <c r="B196" s="14" t="str">
        <f>'1. Calculo PERT'!A195</f>
        <v>1.4.1.2.8</v>
      </c>
      <c r="C196" s="14" t="str">
        <f>'1. Calculo PERT'!C195</f>
        <v>Conciliar las mayores y menores cantidades</v>
      </c>
      <c r="D196" s="14">
        <f>'1. Calculo PERT'!B195</f>
        <v>5</v>
      </c>
      <c r="E196" s="14" t="str">
        <f>'1. Calculo PERT'!D195</f>
        <v>4-Liquidacion</v>
      </c>
      <c r="F196" s="5" t="s">
        <v>824</v>
      </c>
      <c r="G196" s="14">
        <f>VLOOKUP($B196,'2. Red CPM-Ruta Critica'!$A:$F,6,FALSE())</f>
        <v>8</v>
      </c>
      <c r="H196" s="14">
        <f>VLOOKUP($B196,'2. Red CPM-Ruta Critica'!$A:$H,8,FALSE())</f>
        <v>600</v>
      </c>
      <c r="I196" s="14">
        <f>VLOOKUP($B196,'2. Red CPM-Ruta Critica'!$A:$I,9,FALSE())</f>
        <v>608</v>
      </c>
      <c r="J196" s="27">
        <f>'0. Parametros'!$B$3+H196</f>
        <v>46270</v>
      </c>
      <c r="K196" s="27">
        <f>'0. Parametros'!$B$3+I196-1</f>
        <v>46277</v>
      </c>
      <c r="L196" s="14" t="str">
        <f>VLOOKUP($B196,'2. Red CPM-Ruta Critica'!$A:$M,13,FALSE())</f>
        <v>no</v>
      </c>
      <c r="AH196" s="7" t="b">
        <f>ISNUMBER(MATCH($B196,'2. Red CPM-Ruta Critica'!$A:$A,0))</f>
        <v>1</v>
      </c>
    </row>
    <row r="197" spans="1:34" x14ac:dyDescent="0.25">
      <c r="A197" s="13">
        <f t="shared" si="7"/>
        <v>192</v>
      </c>
      <c r="B197" s="28" t="str">
        <f>'1. Calculo PERT'!A196</f>
        <v>1.4.1.3</v>
      </c>
      <c r="C197" s="29" t="str">
        <f>'1. Calculo PERT'!C196</f>
        <v>Manuales de mantenimiento y operacion de activos</v>
      </c>
      <c r="D197" s="28">
        <f>'1. Calculo PERT'!B196</f>
        <v>4</v>
      </c>
      <c r="E197" s="28" t="str">
        <f>'1. Calculo PERT'!D196</f>
        <v>4-Liquidacion</v>
      </c>
      <c r="F197" s="30"/>
      <c r="G197" s="13">
        <f>I197-H197</f>
        <v>23</v>
      </c>
      <c r="H197" s="13">
        <f t="array" ref="H197">MIN(IF(LEFT('2. Red CPM-Ruta Critica'!$A$5:$A$167,LEN($B197)+1)=$B197&amp;".",'2. Red CPM-Ruta Critica'!$H$5:$H$167))</f>
        <v>590</v>
      </c>
      <c r="I197" s="13">
        <f t="array" ref="I197">MAX(IF(LEFT('2. Red CPM-Ruta Critica'!$A$5:$A$167,LEN($B197)+1)=$B197&amp;".",'2. Red CPM-Ruta Critica'!$I$5:$I$167))</f>
        <v>613</v>
      </c>
      <c r="J197" s="31">
        <f>'0. Parametros'!$B$3+H197</f>
        <v>46260</v>
      </c>
      <c r="K197" s="31">
        <f>'0. Parametros'!$B$3+I197-1</f>
        <v>46282</v>
      </c>
      <c r="L197" s="13"/>
      <c r="AH197" s="7" t="b">
        <f>ISNUMBER(MATCH($B197,'2. Red CPM-Ruta Critica'!$A:$A,0))</f>
        <v>0</v>
      </c>
    </row>
    <row r="198" spans="1:34" x14ac:dyDescent="0.25">
      <c r="A198" s="7">
        <f t="shared" ref="A198:A208" si="11">ROW()-5</f>
        <v>193</v>
      </c>
      <c r="B198" s="14" t="str">
        <f>'1. Calculo PERT'!A197</f>
        <v>1.4.1.3.1</v>
      </c>
      <c r="C198" s="14" t="str">
        <f>'1. Calculo PERT'!C197</f>
        <v>Recopilar fichas tecnicas y garantias</v>
      </c>
      <c r="D198" s="14">
        <f>'1. Calculo PERT'!B197</f>
        <v>5</v>
      </c>
      <c r="E198" s="14" t="str">
        <f>'1. Calculo PERT'!D197</f>
        <v>4-Liquidacion</v>
      </c>
      <c r="F198" s="5" t="s">
        <v>782</v>
      </c>
      <c r="G198" s="14">
        <f>VLOOKUP($B198,'2. Red CPM-Ruta Critica'!$A:$F,6,FALSE())</f>
        <v>8</v>
      </c>
      <c r="H198" s="14">
        <f>VLOOKUP($B198,'2. Red CPM-Ruta Critica'!$A:$H,8,FALSE())</f>
        <v>590</v>
      </c>
      <c r="I198" s="14">
        <f>VLOOKUP($B198,'2. Red CPM-Ruta Critica'!$A:$I,9,FALSE())</f>
        <v>598</v>
      </c>
      <c r="J198" s="27">
        <f>'0. Parametros'!$B$3+H198</f>
        <v>46260</v>
      </c>
      <c r="K198" s="27">
        <f>'0. Parametros'!$B$3+I198-1</f>
        <v>46267</v>
      </c>
      <c r="L198" s="14" t="str">
        <f>VLOOKUP($B198,'2. Red CPM-Ruta Critica'!$A:$M,13,FALSE())</f>
        <v>no</v>
      </c>
      <c r="AH198" s="7" t="b">
        <f>ISNUMBER(MATCH($B198,'2. Red CPM-Ruta Critica'!$A:$A,0))</f>
        <v>1</v>
      </c>
    </row>
    <row r="199" spans="1:34" x14ac:dyDescent="0.25">
      <c r="A199" s="7">
        <f t="shared" si="11"/>
        <v>194</v>
      </c>
      <c r="B199" s="14" t="str">
        <f>'1. Calculo PERT'!A198</f>
        <v>1.4.1.3.2</v>
      </c>
      <c r="C199" s="14" t="str">
        <f>'1. Calculo PERT'!C198</f>
        <v>Elaborar los manuales de operacion y mantenimiento</v>
      </c>
      <c r="D199" s="14">
        <f>'1. Calculo PERT'!B198</f>
        <v>5</v>
      </c>
      <c r="E199" s="14" t="str">
        <f>'1. Calculo PERT'!D198</f>
        <v>4-Liquidacion</v>
      </c>
      <c r="F199" s="5" t="s">
        <v>835</v>
      </c>
      <c r="G199" s="14">
        <f>VLOOKUP($B199,'2. Red CPM-Ruta Critica'!$A:$F,6,FALSE())</f>
        <v>10</v>
      </c>
      <c r="H199" s="14">
        <f>VLOOKUP($B199,'2. Red CPM-Ruta Critica'!$A:$H,8,FALSE())</f>
        <v>598</v>
      </c>
      <c r="I199" s="14">
        <f>VLOOKUP($B199,'2. Red CPM-Ruta Critica'!$A:$I,9,FALSE())</f>
        <v>608</v>
      </c>
      <c r="J199" s="27">
        <f>'0. Parametros'!$B$3+H199</f>
        <v>46268</v>
      </c>
      <c r="K199" s="27">
        <f>'0. Parametros'!$B$3+I199-1</f>
        <v>46277</v>
      </c>
      <c r="L199" s="14" t="str">
        <f>VLOOKUP($B199,'2. Red CPM-Ruta Critica'!$A:$M,13,FALSE())</f>
        <v>no</v>
      </c>
      <c r="AH199" s="7" t="b">
        <f>ISNUMBER(MATCH($B199,'2. Red CPM-Ruta Critica'!$A:$A,0))</f>
        <v>1</v>
      </c>
    </row>
    <row r="200" spans="1:34" x14ac:dyDescent="0.25">
      <c r="A200" s="7">
        <f t="shared" si="11"/>
        <v>195</v>
      </c>
      <c r="B200" s="14" t="str">
        <f>'1. Calculo PERT'!A199</f>
        <v>1.4.1.3.3</v>
      </c>
      <c r="C200" s="14" t="str">
        <f>'1. Calculo PERT'!C199</f>
        <v>Capacitar y suscribir acta de transferencia al operador (UAERMV)</v>
      </c>
      <c r="D200" s="14">
        <f>'1. Calculo PERT'!B199</f>
        <v>5</v>
      </c>
      <c r="E200" s="14" t="str">
        <f>'1. Calculo PERT'!D199</f>
        <v>4-Liquidacion</v>
      </c>
      <c r="F200" s="5" t="s">
        <v>840</v>
      </c>
      <c r="G200" s="14">
        <f>VLOOKUP($B200,'2. Red CPM-Ruta Critica'!$A:$F,6,FALSE())</f>
        <v>5</v>
      </c>
      <c r="H200" s="14">
        <f>VLOOKUP($B200,'2. Red CPM-Ruta Critica'!$A:$H,8,FALSE())</f>
        <v>608</v>
      </c>
      <c r="I200" s="14">
        <f>VLOOKUP($B200,'2. Red CPM-Ruta Critica'!$A:$I,9,FALSE())</f>
        <v>613</v>
      </c>
      <c r="J200" s="27">
        <f>'0. Parametros'!$B$3+H200</f>
        <v>46278</v>
      </c>
      <c r="K200" s="27">
        <f>'0. Parametros'!$B$3+I200-1</f>
        <v>46282</v>
      </c>
      <c r="L200" s="14" t="str">
        <f>VLOOKUP($B200,'2. Red CPM-Ruta Critica'!$A:$M,13,FALSE())</f>
        <v>no</v>
      </c>
      <c r="AH200" s="7" t="b">
        <f>ISNUMBER(MATCH($B200,'2. Red CPM-Ruta Critica'!$A:$A,0))</f>
        <v>1</v>
      </c>
    </row>
    <row r="201" spans="1:34" x14ac:dyDescent="0.25">
      <c r="A201" s="7">
        <f t="shared" si="11"/>
        <v>196</v>
      </c>
      <c r="B201" s="14" t="str">
        <f>'1. Calculo PERT'!A200</f>
        <v>1.4.1.3.4</v>
      </c>
      <c r="C201" s="14" t="str">
        <f>'1. Calculo PERT'!C200</f>
        <v>Entregar garantias y polizas de estabilidad post-obra</v>
      </c>
      <c r="D201" s="14">
        <f>'1. Calculo PERT'!B200</f>
        <v>5</v>
      </c>
      <c r="E201" s="14" t="str">
        <f>'1. Calculo PERT'!D200</f>
        <v>4-Liquidacion</v>
      </c>
      <c r="F201" s="5" t="s">
        <v>840</v>
      </c>
      <c r="G201" s="14">
        <f>VLOOKUP($B201,'2. Red CPM-Ruta Critica'!$A:$F,6,FALSE())</f>
        <v>5</v>
      </c>
      <c r="H201" s="14">
        <f>VLOOKUP($B201,'2. Red CPM-Ruta Critica'!$A:$H,8,FALSE())</f>
        <v>608</v>
      </c>
      <c r="I201" s="14">
        <f>VLOOKUP($B201,'2. Red CPM-Ruta Critica'!$A:$I,9,FALSE())</f>
        <v>613</v>
      </c>
      <c r="J201" s="27">
        <f>'0. Parametros'!$B$3+H201</f>
        <v>46278</v>
      </c>
      <c r="K201" s="27">
        <f>'0. Parametros'!$B$3+I201-1</f>
        <v>46282</v>
      </c>
      <c r="L201" s="14" t="str">
        <f>VLOOKUP($B201,'2. Red CPM-Ruta Critica'!$A:$M,13,FALSE())</f>
        <v>no</v>
      </c>
      <c r="AH201" s="7" t="b">
        <f>ISNUMBER(MATCH($B201,'2. Red CPM-Ruta Critica'!$A:$A,0))</f>
        <v>1</v>
      </c>
    </row>
    <row r="202" spans="1:34" x14ac:dyDescent="0.25">
      <c r="A202" s="13">
        <f t="shared" si="11"/>
        <v>197</v>
      </c>
      <c r="B202" s="28" t="str">
        <f>'1. Calculo PERT'!A201</f>
        <v>1.4.1.4</v>
      </c>
      <c r="C202" s="29" t="str">
        <f>'1. Calculo PERT'!C201</f>
        <v>Informe final de liquidacion financiera y de gestion social</v>
      </c>
      <c r="D202" s="28">
        <f>'1. Calculo PERT'!B201</f>
        <v>4</v>
      </c>
      <c r="E202" s="28" t="str">
        <f>'1. Calculo PERT'!D201</f>
        <v>4-Liquidacion</v>
      </c>
      <c r="F202" s="30"/>
      <c r="G202" s="13">
        <f>I202-H202</f>
        <v>27</v>
      </c>
      <c r="H202" s="13">
        <f t="array" ref="H202">MIN(IF(LEFT('2. Red CPM-Ruta Critica'!$A$5:$A$167,LEN($B202)+1)=$B202&amp;".",'2. Red CPM-Ruta Critica'!$H$5:$H$167))</f>
        <v>603</v>
      </c>
      <c r="I202" s="13">
        <f t="array" ref="I202">MAX(IF(LEFT('2. Red CPM-Ruta Critica'!$A$5:$A$167,LEN($B202)+1)=$B202&amp;".",'2. Red CPM-Ruta Critica'!$I$5:$I$167))</f>
        <v>630</v>
      </c>
      <c r="J202" s="31">
        <f>'0. Parametros'!$B$3+H202</f>
        <v>46273</v>
      </c>
      <c r="K202" s="31">
        <f>'0. Parametros'!$B$3+I202-1</f>
        <v>46299</v>
      </c>
      <c r="L202" s="13"/>
      <c r="AH202" s="7" t="b">
        <f>ISNUMBER(MATCH($B202,'2. Red CPM-Ruta Critica'!$A:$A,0))</f>
        <v>0</v>
      </c>
    </row>
    <row r="203" spans="1:34" x14ac:dyDescent="0.25">
      <c r="A203" s="7">
        <f t="shared" si="11"/>
        <v>198</v>
      </c>
      <c r="B203" s="14" t="str">
        <f>'1. Calculo PERT'!A202</f>
        <v>1.4.1.4.1</v>
      </c>
      <c r="C203" s="14" t="str">
        <f>'1. Calculo PERT'!C202</f>
        <v>Conciliar las finanzas y el balance de cantidades</v>
      </c>
      <c r="D203" s="14">
        <f>'1. Calculo PERT'!B202</f>
        <v>5</v>
      </c>
      <c r="E203" s="14" t="str">
        <f>'1. Calculo PERT'!D202</f>
        <v>4-Liquidacion</v>
      </c>
      <c r="F203" s="5" t="s">
        <v>814</v>
      </c>
      <c r="G203" s="14">
        <f>VLOOKUP($B203,'2. Red CPM-Ruta Critica'!$A:$F,6,FALSE())</f>
        <v>11</v>
      </c>
      <c r="H203" s="14">
        <f>VLOOKUP($B203,'2. Red CPM-Ruta Critica'!$A:$H,8,FALSE())</f>
        <v>603</v>
      </c>
      <c r="I203" s="14">
        <f>VLOOKUP($B203,'2. Red CPM-Ruta Critica'!$A:$I,9,FALSE())</f>
        <v>614</v>
      </c>
      <c r="J203" s="27">
        <f>'0. Parametros'!$B$3+H203</f>
        <v>46273</v>
      </c>
      <c r="K203" s="27">
        <f>'0. Parametros'!$B$3+I203-1</f>
        <v>46283</v>
      </c>
      <c r="L203" s="14" t="str">
        <f>VLOOKUP($B203,'2. Red CPM-Ruta Critica'!$A:$M,13,FALSE())</f>
        <v>SI</v>
      </c>
      <c r="AH203" s="7" t="b">
        <f>ISNUMBER(MATCH($B203,'2. Red CPM-Ruta Critica'!$A:$A,0))</f>
        <v>1</v>
      </c>
    </row>
    <row r="204" spans="1:34" x14ac:dyDescent="0.25">
      <c r="A204" s="7">
        <f t="shared" si="11"/>
        <v>199</v>
      </c>
      <c r="B204" s="14" t="str">
        <f>'1. Calculo PERT'!A203</f>
        <v>1.4.1.4.2</v>
      </c>
      <c r="C204" s="14" t="str">
        <f>'1. Calculo PERT'!C203</f>
        <v>Elaborar el informe de gestion social y ambiental</v>
      </c>
      <c r="D204" s="14">
        <f>'1. Calculo PERT'!B203</f>
        <v>5</v>
      </c>
      <c r="E204" s="14" t="str">
        <f>'1. Calculo PERT'!D203</f>
        <v>4-Liquidacion</v>
      </c>
      <c r="F204" s="5" t="s">
        <v>853</v>
      </c>
      <c r="G204" s="14">
        <f>VLOOKUP($B204,'2. Red CPM-Ruta Critica'!$A:$F,6,FALSE())</f>
        <v>8</v>
      </c>
      <c r="H204" s="14">
        <f>VLOOKUP($B204,'2. Red CPM-Ruta Critica'!$A:$H,8,FALSE())</f>
        <v>614</v>
      </c>
      <c r="I204" s="14">
        <f>VLOOKUP($B204,'2. Red CPM-Ruta Critica'!$A:$I,9,FALSE())</f>
        <v>622</v>
      </c>
      <c r="J204" s="27">
        <f>'0. Parametros'!$B$3+H204</f>
        <v>46284</v>
      </c>
      <c r="K204" s="27">
        <f>'0. Parametros'!$B$3+I204-1</f>
        <v>46291</v>
      </c>
      <c r="L204" s="14" t="str">
        <f>VLOOKUP($B204,'2. Red CPM-Ruta Critica'!$A:$M,13,FALSE())</f>
        <v>SI</v>
      </c>
      <c r="AH204" s="7" t="b">
        <f>ISNUMBER(MATCH($B204,'2. Red CPM-Ruta Critica'!$A:$A,0))</f>
        <v>1</v>
      </c>
    </row>
    <row r="205" spans="1:34" x14ac:dyDescent="0.25">
      <c r="A205" s="7">
        <f t="shared" si="11"/>
        <v>200</v>
      </c>
      <c r="B205" s="14" t="str">
        <f>'1. Calculo PERT'!A204</f>
        <v>1.4.1.4.3</v>
      </c>
      <c r="C205" s="14" t="str">
        <f>'1. Calculo PERT'!C204</f>
        <v>Suscribir el acta de liquidacion del contrato</v>
      </c>
      <c r="D205" s="14">
        <f>'1. Calculo PERT'!B204</f>
        <v>5</v>
      </c>
      <c r="E205" s="14" t="str">
        <f>'1. Calculo PERT'!D204</f>
        <v>4-Liquidacion</v>
      </c>
      <c r="F205" s="5" t="s">
        <v>858</v>
      </c>
      <c r="G205" s="14">
        <f>VLOOKUP($B205,'2. Red CPM-Ruta Critica'!$A:$F,6,FALSE())</f>
        <v>6</v>
      </c>
      <c r="H205" s="14">
        <f>VLOOKUP($B205,'2. Red CPM-Ruta Critica'!$A:$H,8,FALSE())</f>
        <v>622</v>
      </c>
      <c r="I205" s="14">
        <f>VLOOKUP($B205,'2. Red CPM-Ruta Critica'!$A:$I,9,FALSE())</f>
        <v>628</v>
      </c>
      <c r="J205" s="27">
        <f>'0. Parametros'!$B$3+H205</f>
        <v>46292</v>
      </c>
      <c r="K205" s="27">
        <f>'0. Parametros'!$B$3+I205-1</f>
        <v>46297</v>
      </c>
      <c r="L205" s="14" t="str">
        <f>VLOOKUP($B205,'2. Red CPM-Ruta Critica'!$A:$M,13,FALSE())</f>
        <v>no</v>
      </c>
      <c r="AH205" s="7" t="b">
        <f>ISNUMBER(MATCH($B205,'2. Red CPM-Ruta Critica'!$A:$A,0))</f>
        <v>1</v>
      </c>
    </row>
    <row r="206" spans="1:34" x14ac:dyDescent="0.25">
      <c r="A206" s="7">
        <f t="shared" si="11"/>
        <v>201</v>
      </c>
      <c r="B206" s="14" t="str">
        <f>'1. Calculo PERT'!A205</f>
        <v>1.4.1.4.4</v>
      </c>
      <c r="C206" s="14" t="str">
        <f>'1. Calculo PERT'!C205</f>
        <v>Tramitar paz y salvo de proveedores y subcontratistas</v>
      </c>
      <c r="D206" s="14">
        <f>'1. Calculo PERT'!B205</f>
        <v>5</v>
      </c>
      <c r="E206" s="14" t="str">
        <f>'1. Calculo PERT'!D205</f>
        <v>4-Liquidacion</v>
      </c>
      <c r="F206" s="5" t="s">
        <v>863</v>
      </c>
      <c r="G206" s="14">
        <f>VLOOKUP($B206,'2. Red CPM-Ruta Critica'!$A:$F,6,FALSE())</f>
        <v>6</v>
      </c>
      <c r="H206" s="14">
        <f>VLOOKUP($B206,'2. Red CPM-Ruta Critica'!$A:$H,8,FALSE())</f>
        <v>622</v>
      </c>
      <c r="I206" s="14">
        <f>VLOOKUP($B206,'2. Red CPM-Ruta Critica'!$A:$I,9,FALSE())</f>
        <v>628</v>
      </c>
      <c r="J206" s="27">
        <f>'0. Parametros'!$B$3+H206</f>
        <v>46292</v>
      </c>
      <c r="K206" s="27">
        <f>'0. Parametros'!$B$3+I206-1</f>
        <v>46297</v>
      </c>
      <c r="L206" s="14" t="str">
        <f>VLOOKUP($B206,'2. Red CPM-Ruta Critica'!$A:$M,13,FALSE())</f>
        <v>no</v>
      </c>
      <c r="AH206" s="7" t="b">
        <f>ISNUMBER(MATCH($B206,'2. Red CPM-Ruta Critica'!$A:$A,0))</f>
        <v>1</v>
      </c>
    </row>
    <row r="207" spans="1:34" x14ac:dyDescent="0.25">
      <c r="A207" s="7">
        <f t="shared" si="11"/>
        <v>202</v>
      </c>
      <c r="B207" s="14" t="str">
        <f>'1. Calculo PERT'!A206</f>
        <v>1.4.1.4.5</v>
      </c>
      <c r="C207" s="14" t="str">
        <f>'1. Calculo PERT'!C206</f>
        <v>Cerrar permisos ambientales y compensaciones</v>
      </c>
      <c r="D207" s="14">
        <f>'1. Calculo PERT'!B206</f>
        <v>5</v>
      </c>
      <c r="E207" s="14" t="str">
        <f>'1. Calculo PERT'!D206</f>
        <v>4-Liquidacion</v>
      </c>
      <c r="F207" s="5" t="s">
        <v>863</v>
      </c>
      <c r="G207" s="14">
        <f>VLOOKUP($B207,'2. Red CPM-Ruta Critica'!$A:$F,6,FALSE())</f>
        <v>8</v>
      </c>
      <c r="H207" s="14">
        <f>VLOOKUP($B207,'2. Red CPM-Ruta Critica'!$A:$H,8,FALSE())</f>
        <v>622</v>
      </c>
      <c r="I207" s="14">
        <f>VLOOKUP($B207,'2. Red CPM-Ruta Critica'!$A:$I,9,FALSE())</f>
        <v>630</v>
      </c>
      <c r="J207" s="27">
        <f>'0. Parametros'!$B$3+H207</f>
        <v>46292</v>
      </c>
      <c r="K207" s="27">
        <f>'0. Parametros'!$B$3+I207-1</f>
        <v>46299</v>
      </c>
      <c r="L207" s="14" t="str">
        <f>VLOOKUP($B207,'2. Red CPM-Ruta Critica'!$A:$M,13,FALSE())</f>
        <v>SI</v>
      </c>
      <c r="AH207" s="7" t="b">
        <f>ISNUMBER(MATCH($B207,'2. Red CPM-Ruta Critica'!$A:$A,0))</f>
        <v>1</v>
      </c>
    </row>
    <row r="208" spans="1:34" x14ac:dyDescent="0.25">
      <c r="A208" s="7">
        <f t="shared" si="11"/>
        <v>203</v>
      </c>
      <c r="B208" s="14" t="str">
        <f>'1. Calculo PERT'!A207</f>
        <v>1.4.9</v>
      </c>
      <c r="C208" s="14" t="str">
        <f>'1. Calculo PERT'!C207</f>
        <v>Hito: Cierre del proyecto</v>
      </c>
      <c r="D208" s="14">
        <f>'1. Calculo PERT'!B207</f>
        <v>3</v>
      </c>
      <c r="E208" s="14" t="str">
        <f>'1. Calculo PERT'!D207</f>
        <v>4-Liquidacion</v>
      </c>
      <c r="F208" s="5" t="s">
        <v>870</v>
      </c>
      <c r="G208" s="14">
        <f>VLOOKUP($B208,'2. Red CPM-Ruta Critica'!$A:$F,6,FALSE())</f>
        <v>0</v>
      </c>
      <c r="H208" s="14">
        <f>VLOOKUP($B208,'2. Red CPM-Ruta Critica'!$A:$H,8,FALSE())</f>
        <v>630</v>
      </c>
      <c r="I208" s="14">
        <f>VLOOKUP($B208,'2. Red CPM-Ruta Critica'!$A:$I,9,FALSE())</f>
        <v>630</v>
      </c>
      <c r="J208" s="27">
        <f>'0. Parametros'!$B$3+I208-1</f>
        <v>46299</v>
      </c>
      <c r="K208" s="27">
        <f>'0. Parametros'!$B$3+I208-1</f>
        <v>46299</v>
      </c>
      <c r="L208" s="14" t="str">
        <f>VLOOKUP($B208,'2. Red CPM-Ruta Critica'!$A:$M,13,FALSE())</f>
        <v>SI</v>
      </c>
      <c r="M208" s="32" t="str">
        <f t="shared" ref="M208:AG208" si="12">IF(AND($I208&gt;(M$4-1)*30,$I208&lt;=M$4*30),"X","")</f>
        <v/>
      </c>
      <c r="N208" s="32" t="str">
        <f t="shared" si="12"/>
        <v/>
      </c>
      <c r="O208" s="32" t="str">
        <f t="shared" si="12"/>
        <v/>
      </c>
      <c r="P208" s="32" t="str">
        <f t="shared" si="12"/>
        <v/>
      </c>
      <c r="Q208" s="32" t="str">
        <f t="shared" si="12"/>
        <v/>
      </c>
      <c r="R208" s="32" t="str">
        <f t="shared" si="12"/>
        <v/>
      </c>
      <c r="S208" s="32" t="str">
        <f t="shared" si="12"/>
        <v/>
      </c>
      <c r="T208" s="32" t="str">
        <f t="shared" si="12"/>
        <v/>
      </c>
      <c r="U208" s="32" t="str">
        <f t="shared" si="12"/>
        <v/>
      </c>
      <c r="V208" s="32" t="str">
        <f t="shared" si="12"/>
        <v/>
      </c>
      <c r="W208" s="32" t="str">
        <f t="shared" si="12"/>
        <v/>
      </c>
      <c r="X208" s="32" t="str">
        <f t="shared" si="12"/>
        <v/>
      </c>
      <c r="Y208" s="32" t="str">
        <f t="shared" si="12"/>
        <v/>
      </c>
      <c r="Z208" s="32" t="str">
        <f t="shared" si="12"/>
        <v/>
      </c>
      <c r="AA208" s="32" t="str">
        <f t="shared" si="12"/>
        <v/>
      </c>
      <c r="AB208" s="32" t="str">
        <f t="shared" si="12"/>
        <v/>
      </c>
      <c r="AC208" s="32" t="str">
        <f t="shared" si="12"/>
        <v/>
      </c>
      <c r="AD208" s="32" t="str">
        <f t="shared" si="12"/>
        <v/>
      </c>
      <c r="AE208" s="32" t="str">
        <f t="shared" si="12"/>
        <v/>
      </c>
      <c r="AF208" s="32" t="str">
        <f t="shared" si="12"/>
        <v/>
      </c>
      <c r="AG208" s="32" t="str">
        <f t="shared" si="12"/>
        <v>X</v>
      </c>
      <c r="AH208" s="7" t="b">
        <f>ISNUMBER(MATCH($B208,'2. Red CPM-Ruta Critica'!$A:$A,0))</f>
        <v>1</v>
      </c>
    </row>
    <row r="210" spans="2:33" x14ac:dyDescent="0.25">
      <c r="B210" s="8" t="s">
        <v>1160</v>
      </c>
    </row>
    <row r="211" spans="2:33" x14ac:dyDescent="0.25">
      <c r="B211" s="7" t="s">
        <v>1161</v>
      </c>
      <c r="M211" s="33">
        <f t="array" ref="M211">SUM(IF(('2. Red CPM-Ruta Critica'!$H$5:$H$167&lt;M$4*30)*('2. Red CPM-Ruta Critica'!$I$5:$I$167&gt;(M$4-1)*30)*('2. Red CPM-Ruta Critica'!$F$5:$F$167&gt;0),'2. Red CPM-Ruta Critica'!$Q$5:$Q$167*(IF('2. Red CPM-Ruta Critica'!$I$5:$I$167&lt;M$4*30,'2. Red CPM-Ruta Critica'!$I$5:$I$167,M$4*30)-IF('2. Red CPM-Ruta Critica'!$H$5:$H$167&gt;(M$4-1)*30,'2. Red CPM-Ruta Critica'!$H$5:$H$167,(M$4-1)*30))/'2. Red CPM-Ruta Critica'!$F$5:$F$167,0))</f>
        <v>296722953.32379681</v>
      </c>
      <c r="N211" s="33">
        <f t="array" ref="N211">SUM(IF(('2. Red CPM-Ruta Critica'!$H$5:$H$167&lt;N$4*30)*('2. Red CPM-Ruta Critica'!$I$5:$I$167&gt;(N$4-1)*30)*('2. Red CPM-Ruta Critica'!$F$5:$F$167&gt;0),'2. Red CPM-Ruta Critica'!$Q$5:$Q$167*(IF('2. Red CPM-Ruta Critica'!$I$5:$I$167&lt;N$4*30,'2. Red CPM-Ruta Critica'!$I$5:$I$167,N$4*30)-IF('2. Red CPM-Ruta Critica'!$H$5:$H$167&gt;(N$4-1)*30,'2. Red CPM-Ruta Critica'!$H$5:$H$167,(N$4-1)*30))/'2. Red CPM-Ruta Critica'!$F$5:$F$167,0))</f>
        <v>348878795.75016928</v>
      </c>
      <c r="O211" s="33">
        <f t="array" ref="O211">SUM(IF(('2. Red CPM-Ruta Critica'!$H$5:$H$167&lt;O$4*30)*('2. Red CPM-Ruta Critica'!$I$5:$I$167&gt;(O$4-1)*30)*('2. Red CPM-Ruta Critica'!$F$5:$F$167&gt;0),'2. Red CPM-Ruta Critica'!$Q$5:$Q$167*(IF('2. Red CPM-Ruta Critica'!$I$5:$I$167&lt;O$4*30,'2. Red CPM-Ruta Critica'!$I$5:$I$167,O$4*30)-IF('2. Red CPM-Ruta Critica'!$H$5:$H$167&gt;(O$4-1)*30,'2. Red CPM-Ruta Critica'!$H$5:$H$167,(O$4-1)*30))/'2. Red CPM-Ruta Critica'!$F$5:$F$167,0))</f>
        <v>161417244.92603397</v>
      </c>
      <c r="P211" s="33">
        <f t="array" ref="P211">SUM(IF(('2. Red CPM-Ruta Critica'!$H$5:$H$167&lt;P$4*30)*('2. Red CPM-Ruta Critica'!$I$5:$I$167&gt;(P$4-1)*30)*('2. Red CPM-Ruta Critica'!$F$5:$F$167&gt;0),'2. Red CPM-Ruta Critica'!$Q$5:$Q$167*(IF('2. Red CPM-Ruta Critica'!$I$5:$I$167&lt;P$4*30,'2. Red CPM-Ruta Critica'!$I$5:$I$167,P$4*30)-IF('2. Red CPM-Ruta Critica'!$H$5:$H$167&gt;(P$4-1)*30,'2. Red CPM-Ruta Critica'!$H$5:$H$167,(P$4-1)*30))/'2. Red CPM-Ruta Critica'!$F$5:$F$167,0))</f>
        <v>90375773.817813769</v>
      </c>
      <c r="Q211" s="33">
        <f t="array" ref="Q211">SUM(IF(('2. Red CPM-Ruta Critica'!$H$5:$H$167&lt;Q$4*30)*('2. Red CPM-Ruta Critica'!$I$5:$I$167&gt;(Q$4-1)*30)*('2. Red CPM-Ruta Critica'!$F$5:$F$167&gt;0),'2. Red CPM-Ruta Critica'!$Q$5:$Q$167*(IF('2. Red CPM-Ruta Critica'!$I$5:$I$167&lt;Q$4*30,'2. Red CPM-Ruta Critica'!$I$5:$I$167,Q$4*30)-IF('2. Red CPM-Ruta Critica'!$H$5:$H$167&gt;(Q$4-1)*30,'2. Red CPM-Ruta Critica'!$H$5:$H$167,(Q$4-1)*30))/'2. Red CPM-Ruta Critica'!$F$5:$F$167,0))</f>
        <v>111845614.39271255</v>
      </c>
      <c r="R211" s="33">
        <f t="array" ref="R211">SUM(IF(('2. Red CPM-Ruta Critica'!$H$5:$H$167&lt;R$4*30)*('2. Red CPM-Ruta Critica'!$I$5:$I$167&gt;(R$4-1)*30)*('2. Red CPM-Ruta Critica'!$F$5:$F$167&gt;0),'2. Red CPM-Ruta Critica'!$Q$5:$Q$167*(IF('2. Red CPM-Ruta Critica'!$I$5:$I$167&lt;R$4*30,'2. Red CPM-Ruta Critica'!$I$5:$I$167,R$4*30)-IF('2. Red CPM-Ruta Critica'!$H$5:$H$167&gt;(R$4-1)*30,'2. Red CPM-Ruta Critica'!$H$5:$H$167,(R$4-1)*30))/'2. Red CPM-Ruta Critica'!$F$5:$F$167,0))</f>
        <v>135870042.53947368</v>
      </c>
      <c r="S211" s="33">
        <f t="array" ref="S211">SUM(IF(('2. Red CPM-Ruta Critica'!$H$5:$H$167&lt;S$4*30)*('2. Red CPM-Ruta Critica'!$I$5:$I$167&gt;(S$4-1)*30)*('2. Red CPM-Ruta Critica'!$F$5:$F$167&gt;0),'2. Red CPM-Ruta Critica'!$Q$5:$Q$167*(IF('2. Red CPM-Ruta Critica'!$I$5:$I$167&lt;S$4*30,'2. Red CPM-Ruta Critica'!$I$5:$I$167,S$4*30)-IF('2. Red CPM-Ruta Critica'!$H$5:$H$167&gt;(S$4-1)*30,'2. Red CPM-Ruta Critica'!$H$5:$H$167,(S$4-1)*30))/'2. Red CPM-Ruta Critica'!$F$5:$F$167,0))</f>
        <v>268174803.95334929</v>
      </c>
      <c r="T211" s="33">
        <f t="array" ref="T211">SUM(IF(('2. Red CPM-Ruta Critica'!$H$5:$H$167&lt;T$4*30)*('2. Red CPM-Ruta Critica'!$I$5:$I$167&gt;(T$4-1)*30)*('2. Red CPM-Ruta Critica'!$F$5:$F$167&gt;0),'2. Red CPM-Ruta Critica'!$Q$5:$Q$167*(IF('2. Red CPM-Ruta Critica'!$I$5:$I$167&lt;T$4*30,'2. Red CPM-Ruta Critica'!$I$5:$I$167,T$4*30)-IF('2. Red CPM-Ruta Critica'!$H$5:$H$167&gt;(T$4-1)*30,'2. Red CPM-Ruta Critica'!$H$5:$H$167,(T$4-1)*30))/'2. Red CPM-Ruta Critica'!$F$5:$F$167,0))</f>
        <v>159927982.9966507</v>
      </c>
      <c r="U211" s="33">
        <f t="array" ref="U211">SUM(IF(('2. Red CPM-Ruta Critica'!$H$5:$H$167&lt;U$4*30)*('2. Red CPM-Ruta Critica'!$I$5:$I$167&gt;(U$4-1)*30)*('2. Red CPM-Ruta Critica'!$F$5:$F$167&gt;0),'2. Red CPM-Ruta Critica'!$Q$5:$Q$167*(IF('2. Red CPM-Ruta Critica'!$I$5:$I$167&lt;U$4*30,'2. Red CPM-Ruta Critica'!$I$5:$I$167,U$4*30)-IF('2. Red CPM-Ruta Critica'!$H$5:$H$167&gt;(U$4-1)*30,'2. Red CPM-Ruta Critica'!$H$5:$H$167,(U$4-1)*30))/'2. Red CPM-Ruta Critica'!$F$5:$F$167,0))</f>
        <v>107574546.3</v>
      </c>
      <c r="V211" s="33">
        <f t="array" ref="V211">SUM(IF(('2. Red CPM-Ruta Critica'!$H$5:$H$167&lt;V$4*30)*('2. Red CPM-Ruta Critica'!$I$5:$I$167&gt;(V$4-1)*30)*('2. Red CPM-Ruta Critica'!$F$5:$F$167&gt;0),'2. Red CPM-Ruta Critica'!$Q$5:$Q$167*(IF('2. Red CPM-Ruta Critica'!$I$5:$I$167&lt;V$4*30,'2. Red CPM-Ruta Critica'!$I$5:$I$167,V$4*30)-IF('2. Red CPM-Ruta Critica'!$H$5:$H$167&gt;(V$4-1)*30,'2. Red CPM-Ruta Critica'!$H$5:$H$167,(V$4-1)*30))/'2. Red CPM-Ruta Critica'!$F$5:$F$167,0))</f>
        <v>646449280.42857146</v>
      </c>
      <c r="W211" s="33">
        <f t="array" ref="W211">SUM(IF(('2. Red CPM-Ruta Critica'!$H$5:$H$167&lt;W$4*30)*('2. Red CPM-Ruta Critica'!$I$5:$I$167&gt;(W$4-1)*30)*('2. Red CPM-Ruta Critica'!$F$5:$F$167&gt;0),'2. Red CPM-Ruta Critica'!$Q$5:$Q$167*(IF('2. Red CPM-Ruta Critica'!$I$5:$I$167&lt;W$4*30,'2. Red CPM-Ruta Critica'!$I$5:$I$167,W$4*30)-IF('2. Red CPM-Ruta Critica'!$H$5:$H$167&gt;(W$4-1)*30,'2. Red CPM-Ruta Critica'!$H$5:$H$167,(W$4-1)*30))/'2. Red CPM-Ruta Critica'!$F$5:$F$167,0))</f>
        <v>843139177.09556639</v>
      </c>
      <c r="X211" s="33">
        <f t="array" ref="X211">SUM(IF(('2. Red CPM-Ruta Critica'!$H$5:$H$167&lt;X$4*30)*('2. Red CPM-Ruta Critica'!$I$5:$I$167&gt;(X$4-1)*30)*('2. Red CPM-Ruta Critica'!$F$5:$F$167&gt;0),'2. Red CPM-Ruta Critica'!$Q$5:$Q$167*(IF('2. Red CPM-Ruta Critica'!$I$5:$I$167&lt;X$4*30,'2. Red CPM-Ruta Critica'!$I$5:$I$167,X$4*30)-IF('2. Red CPM-Ruta Critica'!$H$5:$H$167&gt;(X$4-1)*30,'2. Red CPM-Ruta Critica'!$H$5:$H$167,(X$4-1)*30))/'2. Red CPM-Ruta Critica'!$F$5:$F$167,0))</f>
        <v>1025224936.0299023</v>
      </c>
      <c r="Y211" s="33">
        <f t="array" ref="Y211">SUM(IF(('2. Red CPM-Ruta Critica'!$H$5:$H$167&lt;Y$4*30)*('2. Red CPM-Ruta Critica'!$I$5:$I$167&gt;(Y$4-1)*30)*('2. Red CPM-Ruta Critica'!$F$5:$F$167&gt;0),'2. Red CPM-Ruta Critica'!$Q$5:$Q$167*(IF('2. Red CPM-Ruta Critica'!$I$5:$I$167&lt;Y$4*30,'2. Red CPM-Ruta Critica'!$I$5:$I$167,Y$4*30)-IF('2. Red CPM-Ruta Critica'!$H$5:$H$167&gt;(Y$4-1)*30,'2. Red CPM-Ruta Critica'!$H$5:$H$167,(Y$4-1)*30))/'2. Red CPM-Ruta Critica'!$F$5:$F$167,0))</f>
        <v>981218111.20959592</v>
      </c>
      <c r="Z211" s="33">
        <f t="array" ref="Z211">SUM(IF(('2. Red CPM-Ruta Critica'!$H$5:$H$167&lt;Z$4*30)*('2. Red CPM-Ruta Critica'!$I$5:$I$167&gt;(Z$4-1)*30)*('2. Red CPM-Ruta Critica'!$F$5:$F$167&gt;0),'2. Red CPM-Ruta Critica'!$Q$5:$Q$167*(IF('2. Red CPM-Ruta Critica'!$I$5:$I$167&lt;Z$4*30,'2. Red CPM-Ruta Critica'!$I$5:$I$167,Z$4*30)-IF('2. Red CPM-Ruta Critica'!$H$5:$H$167&gt;(Z$4-1)*30,'2. Red CPM-Ruta Critica'!$H$5:$H$167,(Z$4-1)*30))/'2. Red CPM-Ruta Critica'!$F$5:$F$167,0))</f>
        <v>403579512.56969696</v>
      </c>
      <c r="AA211" s="33">
        <f t="array" ref="AA211">SUM(IF(('2. Red CPM-Ruta Critica'!$H$5:$H$167&lt;AA$4*30)*('2. Red CPM-Ruta Critica'!$I$5:$I$167&gt;(AA$4-1)*30)*('2. Red CPM-Ruta Critica'!$F$5:$F$167&gt;0),'2. Red CPM-Ruta Critica'!$Q$5:$Q$167*(IF('2. Red CPM-Ruta Critica'!$I$5:$I$167&lt;AA$4*30,'2. Red CPM-Ruta Critica'!$I$5:$I$167,AA$4*30)-IF('2. Red CPM-Ruta Critica'!$H$5:$H$167&gt;(AA$4-1)*30,'2. Red CPM-Ruta Critica'!$H$5:$H$167,(AA$4-1)*30))/'2. Red CPM-Ruta Critica'!$F$5:$F$167,0))</f>
        <v>1203568809.3333335</v>
      </c>
      <c r="AB211" s="33">
        <f t="array" ref="AB211">SUM(IF(('2. Red CPM-Ruta Critica'!$H$5:$H$167&lt;AB$4*30)*('2. Red CPM-Ruta Critica'!$I$5:$I$167&gt;(AB$4-1)*30)*('2. Red CPM-Ruta Critica'!$F$5:$F$167&gt;0),'2. Red CPM-Ruta Critica'!$Q$5:$Q$167*(IF('2. Red CPM-Ruta Critica'!$I$5:$I$167&lt;AB$4*30,'2. Red CPM-Ruta Critica'!$I$5:$I$167,AB$4*30)-IF('2. Red CPM-Ruta Critica'!$H$5:$H$167&gt;(AB$4-1)*30,'2. Red CPM-Ruta Critica'!$H$5:$H$167,(AB$4-1)*30))/'2. Red CPM-Ruta Critica'!$F$5:$F$167,0))</f>
        <v>1906091936.6333334</v>
      </c>
      <c r="AC211" s="33">
        <f t="array" ref="AC211">SUM(IF(('2. Red CPM-Ruta Critica'!$H$5:$H$167&lt;AC$4*30)*('2. Red CPM-Ruta Critica'!$I$5:$I$167&gt;(AC$4-1)*30)*('2. Red CPM-Ruta Critica'!$F$5:$F$167&gt;0),'2. Red CPM-Ruta Critica'!$Q$5:$Q$167*(IF('2. Red CPM-Ruta Critica'!$I$5:$I$167&lt;AC$4*30,'2. Red CPM-Ruta Critica'!$I$5:$I$167,AC$4*30)-IF('2. Red CPM-Ruta Critica'!$H$5:$H$167&gt;(AC$4-1)*30,'2. Red CPM-Ruta Critica'!$H$5:$H$167,(AC$4-1)*30))/'2. Red CPM-Ruta Critica'!$F$5:$F$167,0))</f>
        <v>1727776663.5666668</v>
      </c>
      <c r="AD211" s="33">
        <f t="array" ref="AD211">SUM(IF(('2. Red CPM-Ruta Critica'!$H$5:$H$167&lt;AD$4*30)*('2. Red CPM-Ruta Critica'!$I$5:$I$167&gt;(AD$4-1)*30)*('2. Red CPM-Ruta Critica'!$F$5:$F$167&gt;0),'2. Red CPM-Ruta Critica'!$Q$5:$Q$167*(IF('2. Red CPM-Ruta Critica'!$I$5:$I$167&lt;AD$4*30,'2. Red CPM-Ruta Critica'!$I$5:$I$167,AD$4*30)-IF('2. Red CPM-Ruta Critica'!$H$5:$H$167&gt;(AD$4-1)*30,'2. Red CPM-Ruta Critica'!$H$5:$H$167,(AD$4-1)*30))/'2. Red CPM-Ruta Critica'!$F$5:$F$167,0))</f>
        <v>1038413936.8</v>
      </c>
      <c r="AE211" s="33">
        <f t="array" ref="AE211">SUM(IF(('2. Red CPM-Ruta Critica'!$H$5:$H$167&lt;AE$4*30)*('2. Red CPM-Ruta Critica'!$I$5:$I$167&gt;(AE$4-1)*30)*('2. Red CPM-Ruta Critica'!$F$5:$F$167&gt;0),'2. Red CPM-Ruta Critica'!$Q$5:$Q$167*(IF('2. Red CPM-Ruta Critica'!$I$5:$I$167&lt;AE$4*30,'2. Red CPM-Ruta Critica'!$I$5:$I$167,AE$4*30)-IF('2. Red CPM-Ruta Critica'!$H$5:$H$167&gt;(AE$4-1)*30,'2. Red CPM-Ruta Critica'!$H$5:$H$167,(AE$4-1)*30))/'2. Red CPM-Ruta Critica'!$F$5:$F$167,0))</f>
        <v>422008473.33333337</v>
      </c>
      <c r="AF211" s="33">
        <f t="array" ref="AF211">SUM(IF(('2. Red CPM-Ruta Critica'!$H$5:$H$167&lt;AF$4*30)*('2. Red CPM-Ruta Critica'!$I$5:$I$167&gt;(AF$4-1)*30)*('2. Red CPM-Ruta Critica'!$F$5:$F$167&gt;0),'2. Red CPM-Ruta Critica'!$Q$5:$Q$167*(IF('2. Red CPM-Ruta Critica'!$I$5:$I$167&lt;AF$4*30,'2. Red CPM-Ruta Critica'!$I$5:$I$167,AF$4*30)-IF('2. Red CPM-Ruta Critica'!$H$5:$H$167&gt;(AF$4-1)*30,'2. Red CPM-Ruta Critica'!$H$5:$H$167,(AF$4-1)*30))/'2. Red CPM-Ruta Critica'!$F$5:$F$167,0))</f>
        <v>266082346.19999999</v>
      </c>
      <c r="AG211" s="33">
        <f t="array" ref="AG211">SUM(IF(('2. Red CPM-Ruta Critica'!$H$5:$H$167&lt;AG$4*30)*('2. Red CPM-Ruta Critica'!$I$5:$I$167&gt;(AG$4-1)*30)*('2. Red CPM-Ruta Critica'!$F$5:$F$167&gt;0),'2. Red CPM-Ruta Critica'!$Q$5:$Q$167*(IF('2. Red CPM-Ruta Critica'!$I$5:$I$167&lt;AG$4*30,'2. Red CPM-Ruta Critica'!$I$5:$I$167,AG$4*30)-IF('2. Red CPM-Ruta Critica'!$H$5:$H$167&gt;(AG$4-1)*30,'2. Red CPM-Ruta Critica'!$H$5:$H$167,(AG$4-1)*30))/'2. Red CPM-Ruta Critica'!$F$5:$F$167,0))</f>
        <v>190560623.80000001</v>
      </c>
    </row>
    <row r="212" spans="2:33" x14ac:dyDescent="0.25">
      <c r="B212" s="7" t="s">
        <v>1162</v>
      </c>
      <c r="M212" s="33">
        <f>SUM($M$211:M211)</f>
        <v>296722953.32379681</v>
      </c>
      <c r="N212" s="33">
        <f>SUM($M$211:N211)</f>
        <v>645601749.07396603</v>
      </c>
      <c r="O212" s="33">
        <f>SUM($M$211:O211)</f>
        <v>807018994</v>
      </c>
      <c r="P212" s="33">
        <f>SUM($M$211:P211)</f>
        <v>897394767.81781375</v>
      </c>
      <c r="Q212" s="33">
        <f>SUM($M$211:Q211)</f>
        <v>1009240382.2105263</v>
      </c>
      <c r="R212" s="33">
        <f>SUM($M$211:R211)</f>
        <v>1145110424.75</v>
      </c>
      <c r="S212" s="33">
        <f>SUM($M$211:S211)</f>
        <v>1413285228.7033494</v>
      </c>
      <c r="T212" s="33">
        <f>SUM($M$211:T211)</f>
        <v>1573213211.7</v>
      </c>
      <c r="U212" s="33">
        <f>SUM($M$211:U211)</f>
        <v>1680787758</v>
      </c>
      <c r="V212" s="33">
        <f>SUM($M$211:V211)</f>
        <v>2327237038.4285717</v>
      </c>
      <c r="W212" s="33">
        <f>SUM($M$211:W211)</f>
        <v>3170376215.524138</v>
      </c>
      <c r="X212" s="33">
        <f>SUM($M$211:X211)</f>
        <v>4195601151.5540404</v>
      </c>
      <c r="Y212" s="33">
        <f>SUM($M$211:Y211)</f>
        <v>5176819262.7636366</v>
      </c>
      <c r="Z212" s="33">
        <f>SUM($M$211:Z211)</f>
        <v>5580398775.333334</v>
      </c>
      <c r="AA212" s="33">
        <f>SUM($M$211:AA211)</f>
        <v>6783967584.6666679</v>
      </c>
      <c r="AB212" s="33">
        <f>SUM($M$211:AB211)</f>
        <v>8690059521.3000011</v>
      </c>
      <c r="AC212" s="33">
        <f>SUM($M$211:AC211)</f>
        <v>10417836184.866669</v>
      </c>
      <c r="AD212" s="33">
        <f>SUM($M$211:AD211)</f>
        <v>11456250121.666668</v>
      </c>
      <c r="AE212" s="33">
        <f>SUM($M$211:AE211)</f>
        <v>11878258595.000002</v>
      </c>
      <c r="AF212" s="33">
        <f>SUM($M$211:AF211)</f>
        <v>12144340941.200003</v>
      </c>
      <c r="AG212" s="33">
        <f>SUM($M$211:AG211)</f>
        <v>12334901565.000002</v>
      </c>
    </row>
    <row r="213" spans="2:33" x14ac:dyDescent="0.25">
      <c r="B213" s="7" t="s">
        <v>1163</v>
      </c>
      <c r="M213" s="34">
        <f>M212/SUM('2. Red CPM-Ruta Critica'!$Q$5:$Q$167)</f>
        <v>2.4055559078455996E-2</v>
      </c>
      <c r="N213" s="34">
        <f>N212/SUM('2. Red CPM-Ruta Critica'!$Q$5:$Q$167)</f>
        <v>5.2339432598785075E-2</v>
      </c>
      <c r="O213" s="34">
        <f>O212/SUM('2. Red CPM-Ruta Critica'!$Q$5:$Q$167)</f>
        <v>6.5425653358264155E-2</v>
      </c>
      <c r="P213" s="34">
        <f>P212/SUM('2. Red CPM-Ruta Critica'!$Q$5:$Q$167)</f>
        <v>7.2752487167319663E-2</v>
      </c>
      <c r="Q213" s="34">
        <f>Q212/SUM('2. Red CPM-Ruta Critica'!$Q$5:$Q$167)</f>
        <v>8.1819897539695235E-2</v>
      </c>
      <c r="R213" s="34">
        <f>R212/SUM('2. Red CPM-Ruta Critica'!$Q$5:$Q$167)</f>
        <v>9.2834986863553459E-2</v>
      </c>
      <c r="S213" s="34">
        <f>S212/SUM('2. Red CPM-Ruta Critica'!$Q$5:$Q$167)</f>
        <v>0.11457612541582932</v>
      </c>
      <c r="T213" s="34">
        <f>T212/SUM('2. Red CPM-Ruta Critica'!$Q$5:$Q$167)</f>
        <v>0.12754161056006774</v>
      </c>
      <c r="U213" s="34">
        <f>U212/SUM('2. Red CPM-Ruta Critica'!$Q$5:$Q$167)</f>
        <v>0.13626276214227737</v>
      </c>
      <c r="V213" s="34">
        <f>V212/SUM('2. Red CPM-Ruta Critica'!$Q$5:$Q$167)</f>
        <v>0.18867090476279547</v>
      </c>
      <c r="W213" s="34">
        <f>W212/SUM('2. Red CPM-Ruta Critica'!$Q$5:$Q$167)</f>
        <v>0.25702484927159919</v>
      </c>
      <c r="X213" s="34">
        <f>X212/SUM('2. Red CPM-Ruta Critica'!$Q$5:$Q$167)</f>
        <v>0.34014062693933145</v>
      </c>
      <c r="Y213" s="34">
        <f>Y212/SUM('2. Red CPM-Ruta Critica'!$Q$5:$Q$167)</f>
        <v>0.4196887373185646</v>
      </c>
      <c r="Z213" s="34">
        <f>Z212/SUM('2. Red CPM-Ruta Critica'!$Q$5:$Q$167)</f>
        <v>0.45240724021402712</v>
      </c>
      <c r="AA213" s="34">
        <f>AA212/SUM('2. Red CPM-Ruta Critica'!$Q$5:$Q$167)</f>
        <v>0.54998149348155478</v>
      </c>
      <c r="AB213" s="34">
        <f>AB212/SUM('2. Red CPM-Ruta Critica'!$Q$5:$Q$167)</f>
        <v>0.70450983945894186</v>
      </c>
      <c r="AC213" s="34">
        <f>AC212/SUM('2. Red CPM-Ruta Critica'!$Q$5:$Q$167)</f>
        <v>0.84458202847982511</v>
      </c>
      <c r="AD213" s="34">
        <f>AD212/SUM('2. Red CPM-Ruta Critica'!$Q$5:$Q$167)</f>
        <v>0.92876704863000403</v>
      </c>
      <c r="AE213" s="34">
        <f>AE212/SUM('2. Red CPM-Ruta Critica'!$Q$5:$Q$167)</f>
        <v>0.96297960161305929</v>
      </c>
      <c r="AF213" s="34">
        <f>AF212/SUM('2. Red CPM-Ruta Critica'!$Q$5:$Q$167)</f>
        <v>0.98455110299860771</v>
      </c>
      <c r="AG213" s="34">
        <f>AG212/SUM('2. Red CPM-Ruta Critica'!$Q$5:$Q$167)</f>
        <v>1.0000000000000002</v>
      </c>
    </row>
  </sheetData>
  <conditionalFormatting sqref="M6:AG208">
    <cfRule type="expression" dxfId="3" priority="2">
      <formula>AND($AH6,$L6="SI",$G6&gt;0,$H6&lt;M$4*30,$I6&gt;(M$4-1)*30)</formula>
    </cfRule>
    <cfRule type="expression" dxfId="2" priority="3">
      <formula>AND($AH6,$L6="no",$G6&gt;0,$H6&lt;M$4*30,$I6&gt;(M$4-1)*30)</formula>
    </cfRule>
    <cfRule type="expression" dxfId="1" priority="4">
      <formula>AND(NOT($AH6),$H6&lt;M$4*30,$I6&gt;(M$4-1)*30)</formula>
    </cfRule>
  </conditionalFormatting>
  <pageMargins left="0.75" right="0.75" top="1" bottom="1" header="0.511811023622047" footer="0.511811023622047"/>
  <pageSetup paperSize="9" orientation="portrait" horizontalDpi="300" verticalDpi="300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5" id="{00000000-000E-0000-0900-000005000000}">
            <xm:f>AND('0. Parametros'!$B$14&gt;(M$4-1)*30,'0. Parametros'!$B$14&lt;=M$4*30)</xm:f>
            <x14:dxf>
              <fill>
                <patternFill>
                  <bgColor rgb="FFFFF2A8"/>
                </patternFill>
              </fill>
            </x14:dxf>
          </x14:cfRule>
          <xm:sqref>M6:AG208</xm:sqref>
        </x14:conditionalFormatting>
      </x14:conditionalFormattings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C45"/>
  <sheetViews>
    <sheetView zoomScaleNormal="100" workbookViewId="0">
      <selection activeCell="S37" sqref="S37"/>
    </sheetView>
  </sheetViews>
  <sheetFormatPr baseColWidth="10" defaultColWidth="8.7109375" defaultRowHeight="15" x14ac:dyDescent="0.25"/>
  <cols>
    <col min="1" max="1" width="26" customWidth="1"/>
    <col min="2" max="3" width="12" customWidth="1"/>
  </cols>
  <sheetData>
    <row r="1" spans="1:1" ht="16.5" x14ac:dyDescent="0.25">
      <c r="A1" s="1" t="s">
        <v>1164</v>
      </c>
    </row>
    <row r="2" spans="1:1" x14ac:dyDescent="0.25">
      <c r="A2" s="2" t="s">
        <v>1165</v>
      </c>
    </row>
    <row r="40" spans="1:3" x14ac:dyDescent="0.25">
      <c r="A40" s="8" t="s">
        <v>1166</v>
      </c>
    </row>
    <row r="41" spans="1:3" x14ac:dyDescent="0.25">
      <c r="A41" s="6" t="s">
        <v>5</v>
      </c>
      <c r="B41" s="6" t="s">
        <v>8</v>
      </c>
      <c r="C41" s="6" t="s">
        <v>1167</v>
      </c>
    </row>
    <row r="42" spans="1:3" x14ac:dyDescent="0.25">
      <c r="A42" s="7" t="s">
        <v>1168</v>
      </c>
      <c r="B42" s="14">
        <f>'8. Cronograma Gantt'!H7</f>
        <v>0</v>
      </c>
      <c r="C42" s="14">
        <f>'8. Cronograma Gantt'!G7</f>
        <v>90</v>
      </c>
    </row>
    <row r="43" spans="1:3" x14ac:dyDescent="0.25">
      <c r="A43" s="7" t="s">
        <v>1169</v>
      </c>
      <c r="B43" s="14">
        <f>'8. Cronograma Gantt'!H49</f>
        <v>90</v>
      </c>
      <c r="C43" s="14">
        <f>'8. Cronograma Gantt'!G49</f>
        <v>180</v>
      </c>
    </row>
    <row r="44" spans="1:3" x14ac:dyDescent="0.25">
      <c r="A44" s="7" t="s">
        <v>1170</v>
      </c>
      <c r="B44" s="14">
        <f>'8. Cronograma Gantt'!H85</f>
        <v>270</v>
      </c>
      <c r="C44" s="14">
        <f>'8. Cronograma Gantt'!G85</f>
        <v>300</v>
      </c>
    </row>
    <row r="45" spans="1:3" x14ac:dyDescent="0.25">
      <c r="A45" s="7" t="s">
        <v>1171</v>
      </c>
      <c r="B45" s="14">
        <f>'8. Cronograma Gantt'!H180</f>
        <v>570</v>
      </c>
      <c r="C45" s="14">
        <f>'8. Cronograma Gantt'!G180</f>
        <v>60</v>
      </c>
    </row>
  </sheetData>
  <pageMargins left="0.75" right="0.75" top="1" bottom="1" header="0.511811023622047" footer="0.511811023622047"/>
  <pageSetup paperSize="9" orientation="portrait" horizontalDpi="300" verticalDpi="300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E47"/>
  <sheetViews>
    <sheetView zoomScaleNormal="100" workbookViewId="0"/>
  </sheetViews>
  <sheetFormatPr baseColWidth="10" defaultColWidth="8.7109375" defaultRowHeight="15" outlineLevelRow="1" x14ac:dyDescent="0.25"/>
  <cols>
    <col min="1" max="1" width="38.140625" customWidth="1"/>
    <col min="2" max="2" width="52" customWidth="1"/>
    <col min="3" max="4" width="20" customWidth="1"/>
    <col min="5" max="5" width="22" customWidth="1"/>
  </cols>
  <sheetData>
    <row r="1" spans="1:5" ht="16.5" x14ac:dyDescent="0.25">
      <c r="A1" s="1" t="s">
        <v>1202</v>
      </c>
    </row>
    <row r="3" spans="1:5" outlineLevel="1" x14ac:dyDescent="0.25">
      <c r="A3" s="8" t="s">
        <v>1172</v>
      </c>
    </row>
    <row r="4" spans="1:5" ht="25.5" outlineLevel="1" x14ac:dyDescent="0.25">
      <c r="A4" s="6" t="s">
        <v>1009</v>
      </c>
      <c r="B4" s="6" t="s">
        <v>1007</v>
      </c>
      <c r="C4" s="6" t="s">
        <v>1010</v>
      </c>
      <c r="D4" s="6" t="s">
        <v>1011</v>
      </c>
      <c r="E4" s="6" t="s">
        <v>1173</v>
      </c>
    </row>
    <row r="5" spans="1:5" outlineLevel="1" x14ac:dyDescent="0.25">
      <c r="A5" s="7" t="s">
        <v>366</v>
      </c>
      <c r="B5" s="16">
        <f>SUMIF('1. Calculo PERT'!$E$5:$E$207,$A5,'1. Calculo PERT'!$P$5:$P$207)</f>
        <v>637623487</v>
      </c>
      <c r="C5" s="12">
        <v>637623487</v>
      </c>
      <c r="D5" s="19">
        <f t="shared" ref="D5:D20" si="0">C5-B5</f>
        <v>0</v>
      </c>
      <c r="E5" s="34">
        <f t="shared" ref="E5:E17" si="1">B5/$B$18</f>
        <v>5.1692628728326619E-2</v>
      </c>
    </row>
    <row r="6" spans="1:5" outlineLevel="1" x14ac:dyDescent="0.25">
      <c r="A6" s="7" t="s">
        <v>498</v>
      </c>
      <c r="B6" s="16">
        <f>SUMIF('1. Calculo PERT'!$E$5:$E$207,$A6,'1. Calculo PERT'!$P$5:$P$207)</f>
        <v>4300085158</v>
      </c>
      <c r="C6" s="12">
        <v>4300085158</v>
      </c>
      <c r="D6" s="19">
        <f t="shared" si="0"/>
        <v>0</v>
      </c>
      <c r="E6" s="34">
        <f t="shared" si="1"/>
        <v>0.34861122606777772</v>
      </c>
    </row>
    <row r="7" spans="1:5" outlineLevel="1" x14ac:dyDescent="0.25">
      <c r="A7" s="7" t="s">
        <v>651</v>
      </c>
      <c r="B7" s="16">
        <f>SUMIF('1. Calculo PERT'!$E$5:$E$207,$A7,'1. Calculo PERT'!$P$5:$P$207)</f>
        <v>164032076</v>
      </c>
      <c r="C7" s="12">
        <v>164032076</v>
      </c>
      <c r="D7" s="19">
        <f t="shared" si="0"/>
        <v>0</v>
      </c>
      <c r="E7" s="34">
        <f t="shared" si="1"/>
        <v>1.3298207134902255E-2</v>
      </c>
    </row>
    <row r="8" spans="1:5" outlineLevel="1" x14ac:dyDescent="0.25">
      <c r="A8" s="7" t="s">
        <v>687</v>
      </c>
      <c r="B8" s="16">
        <f>SUMIF('1. Calculo PERT'!$E$5:$E$207,$A8,'1. Calculo PERT'!$P$5:$P$207)</f>
        <v>132387870</v>
      </c>
      <c r="C8" s="12">
        <v>132387870</v>
      </c>
      <c r="D8" s="19">
        <f t="shared" si="0"/>
        <v>0</v>
      </c>
      <c r="E8" s="34">
        <f t="shared" si="1"/>
        <v>1.073278690570564E-2</v>
      </c>
    </row>
    <row r="9" spans="1:5" outlineLevel="1" x14ac:dyDescent="0.25">
      <c r="A9" s="7" t="s">
        <v>613</v>
      </c>
      <c r="B9" s="16">
        <f>SUMIF('1. Calculo PERT'!$E$5:$E$207,$A9,'1. Calculo PERT'!$P$5:$P$207)</f>
        <v>1156485475</v>
      </c>
      <c r="C9" s="12">
        <v>1156485475</v>
      </c>
      <c r="D9" s="19">
        <f t="shared" si="0"/>
        <v>0</v>
      </c>
      <c r="E9" s="34">
        <f t="shared" si="1"/>
        <v>9.3757170975851234E-2</v>
      </c>
    </row>
    <row r="10" spans="1:5" outlineLevel="1" x14ac:dyDescent="0.25">
      <c r="A10" s="7" t="s">
        <v>683</v>
      </c>
      <c r="B10" s="16">
        <f>SUMIF('1. Calculo PERT'!$E$5:$E$207,$A10,'1. Calculo PERT'!$P$5:$P$207)</f>
        <v>196595189</v>
      </c>
      <c r="C10" s="12">
        <v>196595189</v>
      </c>
      <c r="D10" s="19">
        <f t="shared" si="0"/>
        <v>0</v>
      </c>
      <c r="E10" s="34">
        <f t="shared" si="1"/>
        <v>1.5938123864549868E-2</v>
      </c>
    </row>
    <row r="11" spans="1:5" outlineLevel="1" x14ac:dyDescent="0.25">
      <c r="A11" s="7" t="s">
        <v>677</v>
      </c>
      <c r="B11" s="16">
        <f>SUMIF('1. Calculo PERT'!$E$5:$E$207,$A11,'1. Calculo PERT'!$P$5:$P$207)</f>
        <v>5078343</v>
      </c>
      <c r="C11" s="12">
        <v>5078343</v>
      </c>
      <c r="D11" s="19">
        <f t="shared" si="0"/>
        <v>0</v>
      </c>
      <c r="E11" s="34">
        <f t="shared" si="1"/>
        <v>4.1170519061211496E-4</v>
      </c>
    </row>
    <row r="12" spans="1:5" outlineLevel="1" x14ac:dyDescent="0.25">
      <c r="A12" s="7" t="s">
        <v>387</v>
      </c>
      <c r="B12" s="16">
        <f>SUMIF('1. Calculo PERT'!$E$5:$E$207,$A12,'1. Calculo PERT'!$P$5:$P$207)</f>
        <v>2007868013</v>
      </c>
      <c r="C12" s="12">
        <v>2007868013</v>
      </c>
      <c r="D12" s="19">
        <f t="shared" si="0"/>
        <v>0</v>
      </c>
      <c r="E12" s="34">
        <f t="shared" si="1"/>
        <v>0.16277941112211866</v>
      </c>
    </row>
    <row r="13" spans="1:5" outlineLevel="1" x14ac:dyDescent="0.25">
      <c r="A13" s="7" t="s">
        <v>460</v>
      </c>
      <c r="B13" s="16">
        <f>SUMIF('1. Calculo PERT'!$E$5:$E$207,$A13,'1. Calculo PERT'!$P$5:$P$207)</f>
        <v>816088532</v>
      </c>
      <c r="C13" s="12">
        <v>816088532</v>
      </c>
      <c r="D13" s="19">
        <f t="shared" si="0"/>
        <v>0</v>
      </c>
      <c r="E13" s="34">
        <f t="shared" si="1"/>
        <v>6.6160927811181935E-2</v>
      </c>
    </row>
    <row r="14" spans="1:5" outlineLevel="1" x14ac:dyDescent="0.25">
      <c r="A14" s="7" t="s">
        <v>711</v>
      </c>
      <c r="B14" s="16">
        <f>SUMIF('1. Calculo PERT'!$E$5:$E$207,$A14,'1. Calculo PERT'!$P$5:$P$207)</f>
        <v>371066631</v>
      </c>
      <c r="C14" s="12">
        <v>371066631</v>
      </c>
      <c r="D14" s="19">
        <f t="shared" si="0"/>
        <v>0</v>
      </c>
      <c r="E14" s="34">
        <f t="shared" si="1"/>
        <v>3.0082658466679058E-2</v>
      </c>
    </row>
    <row r="15" spans="1:5" outlineLevel="1" x14ac:dyDescent="0.25">
      <c r="A15" s="7" t="s">
        <v>177</v>
      </c>
      <c r="B15" s="16">
        <f>SUMIF('1. Calculo PERT'!$E$5:$E$207,$A15,'1. Calculo PERT'!$P$5:$P$207)</f>
        <v>3502998</v>
      </c>
      <c r="C15" s="12">
        <v>3502998</v>
      </c>
      <c r="D15" s="19">
        <f t="shared" si="0"/>
        <v>0</v>
      </c>
      <c r="E15" s="34">
        <f t="shared" si="1"/>
        <v>2.8399075432751541E-4</v>
      </c>
    </row>
    <row r="16" spans="1:5" outlineLevel="1" x14ac:dyDescent="0.25">
      <c r="A16" s="7" t="s">
        <v>578</v>
      </c>
      <c r="B16" s="16">
        <f>SUMIF('1. Calculo PERT'!$E$5:$E$207,$A16,'1. Calculo PERT'!$P$5:$P$207)</f>
        <v>410160063</v>
      </c>
      <c r="C16" s="12">
        <v>410160063</v>
      </c>
      <c r="D16" s="19">
        <f t="shared" si="0"/>
        <v>0</v>
      </c>
      <c r="E16" s="34">
        <f t="shared" si="1"/>
        <v>3.3251993203076688E-2</v>
      </c>
    </row>
    <row r="17" spans="1:5" outlineLevel="1" x14ac:dyDescent="0.25">
      <c r="A17" s="7" t="s">
        <v>54</v>
      </c>
      <c r="B17" s="16">
        <f>SUMIF('1. Calculo PERT'!$E$5:$E$207,$A17,'1. Calculo PERT'!$P$5:$P$207)</f>
        <v>2133927730</v>
      </c>
      <c r="C17" s="12">
        <v>2133927730</v>
      </c>
      <c r="D17" s="19">
        <f t="shared" si="0"/>
        <v>0</v>
      </c>
      <c r="E17" s="34">
        <f t="shared" si="1"/>
        <v>0.17299916977489069</v>
      </c>
    </row>
    <row r="18" spans="1:5" outlineLevel="1" x14ac:dyDescent="0.25">
      <c r="A18" s="8" t="s">
        <v>1174</v>
      </c>
      <c r="B18" s="20">
        <f>SUM(B5:B17)</f>
        <v>12334901565</v>
      </c>
      <c r="C18" s="21">
        <f>SUM(C5:C17)</f>
        <v>12334901565</v>
      </c>
      <c r="D18" s="21">
        <f t="shared" si="0"/>
        <v>0</v>
      </c>
    </row>
    <row r="19" spans="1:5" outlineLevel="1" x14ac:dyDescent="0.25">
      <c r="A19" t="s">
        <v>1175</v>
      </c>
      <c r="B19" s="12">
        <v>996658470</v>
      </c>
      <c r="C19" s="12">
        <v>996658470</v>
      </c>
      <c r="D19" s="21">
        <f t="shared" si="0"/>
        <v>0</v>
      </c>
    </row>
    <row r="20" spans="1:5" outlineLevel="1" x14ac:dyDescent="0.25">
      <c r="A20" s="8" t="s">
        <v>1176</v>
      </c>
      <c r="B20" s="20">
        <f>B18+B19</f>
        <v>13331560035</v>
      </c>
      <c r="C20" s="21">
        <f>C18+C19</f>
        <v>13331560035</v>
      </c>
      <c r="D20" s="21">
        <f t="shared" si="0"/>
        <v>0</v>
      </c>
    </row>
    <row r="21" spans="1:5" outlineLevel="1" x14ac:dyDescent="0.25">
      <c r="A21" t="s">
        <v>1177</v>
      </c>
      <c r="B21" s="12">
        <v>13331560035</v>
      </c>
      <c r="C21" s="21"/>
      <c r="D21" s="21"/>
    </row>
    <row r="22" spans="1:5" outlineLevel="1" x14ac:dyDescent="0.25">
      <c r="A22" s="8" t="s">
        <v>1178</v>
      </c>
      <c r="B22" s="20">
        <f>B20-B21</f>
        <v>0</v>
      </c>
      <c r="C22" s="21"/>
      <c r="D22" s="21"/>
    </row>
    <row r="24" spans="1:5" x14ac:dyDescent="0.25">
      <c r="A24" s="8" t="s">
        <v>1179</v>
      </c>
    </row>
    <row r="25" spans="1:5" ht="25.5" x14ac:dyDescent="0.25">
      <c r="A25" s="6" t="s">
        <v>5</v>
      </c>
      <c r="B25" s="6" t="s">
        <v>1007</v>
      </c>
      <c r="C25" s="6" t="s">
        <v>1180</v>
      </c>
      <c r="D25" s="6" t="s">
        <v>1167</v>
      </c>
      <c r="E25" s="6" t="s">
        <v>1181</v>
      </c>
    </row>
    <row r="26" spans="1:5" x14ac:dyDescent="0.25">
      <c r="A26" s="7" t="s">
        <v>12</v>
      </c>
      <c r="B26" s="16">
        <f>SUMIF('2. Red CPM-Ruta Critica'!$E$5:$E$167,$A26,'2. Red CPM-Ruta Critica'!$Q$5:$Q$167)</f>
        <v>807018994</v>
      </c>
      <c r="C26" s="34">
        <f>B26/$B$18</f>
        <v>6.5425653358264155E-2</v>
      </c>
      <c r="D26" s="14">
        <f>'0. Parametros'!C8</f>
        <v>90</v>
      </c>
      <c r="E26" s="19">
        <f>B26/D26</f>
        <v>8966877.7111111116</v>
      </c>
    </row>
    <row r="27" spans="1:5" x14ac:dyDescent="0.25">
      <c r="A27" s="7" t="s">
        <v>13</v>
      </c>
      <c r="B27" s="16">
        <f>SUMIF('2. Red CPM-Ruta Critica'!$E$5:$E$167,$A27,'2. Red CPM-Ruta Critica'!$Q$5:$Q$167)</f>
        <v>873768764</v>
      </c>
      <c r="C27" s="34">
        <f>B27/$B$18</f>
        <v>7.0837108784013225E-2</v>
      </c>
      <c r="D27" s="14">
        <f>'0. Parametros'!C9</f>
        <v>180</v>
      </c>
      <c r="E27" s="19">
        <f>B27/D27</f>
        <v>4854270.9111111108</v>
      </c>
    </row>
    <row r="28" spans="1:5" x14ac:dyDescent="0.25">
      <c r="A28" s="7" t="s">
        <v>14</v>
      </c>
      <c r="B28" s="16">
        <f>SUMIF('2. Red CPM-Ruta Critica'!$E$5:$E$167,$A28,'2. Red CPM-Ruta Critica'!$Q$5:$Q$167)</f>
        <v>10197470837</v>
      </c>
      <c r="C28" s="34">
        <f>B28/$B$18</f>
        <v>0.82671683947078178</v>
      </c>
      <c r="D28" s="14">
        <f>'0. Parametros'!C10</f>
        <v>300</v>
      </c>
      <c r="E28" s="19">
        <f>B28/D28</f>
        <v>33991569.456666663</v>
      </c>
    </row>
    <row r="29" spans="1:5" x14ac:dyDescent="0.25">
      <c r="A29" s="7" t="s">
        <v>15</v>
      </c>
      <c r="B29" s="16">
        <f>SUMIF('2. Red CPM-Ruta Critica'!$E$5:$E$167,$A29,'2. Red CPM-Ruta Critica'!$Q$5:$Q$167)</f>
        <v>456642970</v>
      </c>
      <c r="C29" s="34">
        <f>B29/$B$18</f>
        <v>3.7020398386940837E-2</v>
      </c>
      <c r="D29" s="14">
        <f>'0. Parametros'!C11</f>
        <v>60</v>
      </c>
      <c r="E29" s="19">
        <f>B29/D29</f>
        <v>7610716.166666667</v>
      </c>
    </row>
    <row r="30" spans="1:5" x14ac:dyDescent="0.25">
      <c r="A30" s="8" t="s">
        <v>16</v>
      </c>
      <c r="B30" s="20">
        <f>SUM(B26:B29)</f>
        <v>12334901565</v>
      </c>
      <c r="D30">
        <f>'0. Parametros'!C12</f>
        <v>630</v>
      </c>
      <c r="E30" s="21">
        <f>B30/D30</f>
        <v>19579208.833333332</v>
      </c>
    </row>
    <row r="32" spans="1:5" x14ac:dyDescent="0.25">
      <c r="A32" s="8" t="s">
        <v>1182</v>
      </c>
    </row>
    <row r="33" spans="1:4" ht="25.5" x14ac:dyDescent="0.25">
      <c r="A33" s="6" t="s">
        <v>1157</v>
      </c>
      <c r="B33" s="6" t="s">
        <v>1183</v>
      </c>
      <c r="C33" s="6" t="s">
        <v>1007</v>
      </c>
      <c r="D33" s="6" t="s">
        <v>1180</v>
      </c>
    </row>
    <row r="34" spans="1:4" x14ac:dyDescent="0.25">
      <c r="A34" s="7" t="s">
        <v>58</v>
      </c>
      <c r="B34" s="7" t="s">
        <v>59</v>
      </c>
      <c r="C34" s="19">
        <f t="array" ref="C34">SUM(IF(LEFT('1. Calculo PERT'!$A$5:$A$207,LEN($A34)+1)=$A34&amp;".",'1. Calculo PERT'!$P$5:$P$207))</f>
        <v>403953397</v>
      </c>
      <c r="D34" s="34">
        <f t="shared" ref="D34:D43" si="2">C34/$B$18</f>
        <v>3.2748813995095709E-2</v>
      </c>
    </row>
    <row r="35" spans="1:4" x14ac:dyDescent="0.25">
      <c r="A35" s="7" t="s">
        <v>131</v>
      </c>
      <c r="B35" s="7" t="s">
        <v>132</v>
      </c>
      <c r="C35" s="19">
        <f t="array" ref="C35">SUM(IF(LEFT('1. Calculo PERT'!$A$5:$A$207,LEN($A35)+1)=$A35&amp;".",'1. Calculo PERT'!$P$5:$P$207))</f>
        <v>394284001</v>
      </c>
      <c r="D35" s="34">
        <f t="shared" si="2"/>
        <v>3.1964908590658869E-2</v>
      </c>
    </row>
    <row r="36" spans="1:4" x14ac:dyDescent="0.25">
      <c r="A36" s="7" t="s">
        <v>219</v>
      </c>
      <c r="B36" s="7" t="s">
        <v>220</v>
      </c>
      <c r="C36" s="19">
        <f t="array" ref="C36">SUM(IF(LEFT('1. Calculo PERT'!$A$5:$A$207,LEN($A36)+1)=$A36&amp;".",'1. Calculo PERT'!$P$5:$P$207))</f>
        <v>360045420</v>
      </c>
      <c r="D36" s="34">
        <f t="shared" si="2"/>
        <v>2.9189160375760161E-2</v>
      </c>
    </row>
    <row r="37" spans="1:4" x14ac:dyDescent="0.25">
      <c r="A37" s="7" t="s">
        <v>270</v>
      </c>
      <c r="B37" s="7" t="s">
        <v>271</v>
      </c>
      <c r="C37" s="19">
        <f t="array" ref="C37">SUM(IF(LEFT('1. Calculo PERT'!$A$5:$A$207,LEN($A37)+1)=$A37&amp;".",'1. Calculo PERT'!$P$5:$P$207))</f>
        <v>496160153</v>
      </c>
      <c r="D37" s="34">
        <f t="shared" si="2"/>
        <v>4.0224086944304689E-2</v>
      </c>
    </row>
    <row r="38" spans="1:4" x14ac:dyDescent="0.25">
      <c r="A38" s="7" t="s">
        <v>359</v>
      </c>
      <c r="B38" s="7" t="s">
        <v>360</v>
      </c>
      <c r="C38" s="19">
        <f t="array" ref="C38">SUM(IF(LEFT('1. Calculo PERT'!$A$5:$A$207,LEN($A38)+1)=$A38&amp;".",'1. Calculo PERT'!$P$5:$P$207))</f>
        <v>3461580032</v>
      </c>
      <c r="D38" s="34">
        <f t="shared" si="2"/>
        <v>0.28063296766162721</v>
      </c>
    </row>
    <row r="39" spans="1:4" x14ac:dyDescent="0.25">
      <c r="A39" s="7" t="s">
        <v>491</v>
      </c>
      <c r="B39" s="7" t="s">
        <v>492</v>
      </c>
      <c r="C39" s="19">
        <f t="array" ref="C39">SUM(IF(LEFT('1. Calculo PERT'!$A$5:$A$207,LEN($A39)+1)=$A39&amp;".",'1. Calculo PERT'!$P$5:$P$207))</f>
        <v>4710245221</v>
      </c>
      <c r="D39" s="34">
        <f t="shared" si="2"/>
        <v>0.38186321927085437</v>
      </c>
    </row>
    <row r="40" spans="1:4" x14ac:dyDescent="0.25">
      <c r="A40" s="7" t="s">
        <v>606</v>
      </c>
      <c r="B40" s="7" t="s">
        <v>607</v>
      </c>
      <c r="C40" s="19">
        <f t="array" ref="C40">SUM(IF(LEFT('1. Calculo PERT'!$A$5:$A$207,LEN($A40)+1)=$A40&amp;".",'1. Calculo PERT'!$P$5:$P$207))</f>
        <v>1654578953</v>
      </c>
      <c r="D40" s="34">
        <f t="shared" si="2"/>
        <v>0.13413799407162111</v>
      </c>
    </row>
    <row r="41" spans="1:4" x14ac:dyDescent="0.25">
      <c r="A41" s="7" t="s">
        <v>704</v>
      </c>
      <c r="B41" s="7" t="s">
        <v>705</v>
      </c>
      <c r="C41" s="19">
        <f t="array" ref="C41">SUM(IF(LEFT('1. Calculo PERT'!$A$5:$A$207,LEN($A41)+1)=$A41&amp;".",'1. Calculo PERT'!$P$5:$P$207))</f>
        <v>371066631</v>
      </c>
      <c r="D41" s="34">
        <f t="shared" si="2"/>
        <v>3.0082658466679058E-2</v>
      </c>
    </row>
    <row r="42" spans="1:4" x14ac:dyDescent="0.25">
      <c r="A42" s="7" t="s">
        <v>763</v>
      </c>
      <c r="B42" s="7" t="s">
        <v>764</v>
      </c>
      <c r="C42" s="19">
        <f t="array" ref="C42">SUM(IF(LEFT('1. Calculo PERT'!$A$5:$A$207,LEN($A42)+1)=$A42&amp;".",'1. Calculo PERT'!$P$5:$P$207))</f>
        <v>456642970</v>
      </c>
      <c r="D42" s="34">
        <f t="shared" si="2"/>
        <v>3.7020398386940837E-2</v>
      </c>
    </row>
    <row r="43" spans="1:4" x14ac:dyDescent="0.25">
      <c r="A43" s="7" t="s">
        <v>1099</v>
      </c>
      <c r="B43" s="7" t="s">
        <v>1184</v>
      </c>
      <c r="C43" s="19">
        <f>SUMIF('1. Calculo PERT'!$A$5:$A$207,"1.1.0",'1. Calculo PERT'!$P$5:$P$207)+SUMIF('1. Calculo PERT'!$A$5:$A$207,"1.2.3",'1. Calculo PERT'!$P$5:$P$207)</f>
        <v>26344787</v>
      </c>
      <c r="D43" s="34">
        <f t="shared" si="2"/>
        <v>2.1357922364579488E-3</v>
      </c>
    </row>
    <row r="44" spans="1:4" x14ac:dyDescent="0.25">
      <c r="B44" s="8" t="s">
        <v>1185</v>
      </c>
      <c r="C44" s="20">
        <f>SUM(C34:C43)</f>
        <v>12334901565</v>
      </c>
    </row>
    <row r="45" spans="1:4" x14ac:dyDescent="0.25">
      <c r="A45" s="37" t="s">
        <v>1206</v>
      </c>
      <c r="B45" t="s">
        <v>1203</v>
      </c>
      <c r="C45" s="12">
        <v>996658470</v>
      </c>
    </row>
    <row r="46" spans="1:4" x14ac:dyDescent="0.25">
      <c r="A46" s="37" t="s">
        <v>1205</v>
      </c>
      <c r="B46" s="8" t="s">
        <v>1204</v>
      </c>
      <c r="C46" s="20">
        <f>+C44+C45</f>
        <v>13331560035</v>
      </c>
    </row>
    <row r="47" spans="1:4" x14ac:dyDescent="0.25">
      <c r="A47" s="37" t="s">
        <v>1208</v>
      </c>
      <c r="B47" t="s">
        <v>1207</v>
      </c>
      <c r="C47" s="12">
        <v>13331560035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I38"/>
  <sheetViews>
    <sheetView zoomScaleNormal="100" workbookViewId="0">
      <pane ySplit="10" topLeftCell="A11" activePane="bottomLeft" state="frozen"/>
      <selection pane="bottomLeft" activeCell="Q25" sqref="Q25"/>
    </sheetView>
  </sheetViews>
  <sheetFormatPr baseColWidth="10" defaultColWidth="8.7109375" defaultRowHeight="15" x14ac:dyDescent="0.25"/>
  <cols>
    <col min="1" max="1" width="10" customWidth="1"/>
    <col min="2" max="2" width="13.7109375" bestFit="1" customWidth="1"/>
    <col min="3" max="6" width="20" customWidth="1"/>
    <col min="7" max="7" width="11" customWidth="1"/>
    <col min="8" max="8" width="20" customWidth="1"/>
    <col min="9" max="9" width="22" customWidth="1"/>
  </cols>
  <sheetData>
    <row r="1" spans="1:9" ht="16.5" x14ac:dyDescent="0.25">
      <c r="A1" s="1" t="s">
        <v>1186</v>
      </c>
    </row>
    <row r="2" spans="1:9" x14ac:dyDescent="0.25">
      <c r="A2" s="2" t="s">
        <v>1187</v>
      </c>
    </row>
    <row r="4" spans="1:9" x14ac:dyDescent="0.25">
      <c r="A4" t="s">
        <v>1188</v>
      </c>
      <c r="B4" s="35">
        <v>0</v>
      </c>
    </row>
    <row r="5" spans="1:9" x14ac:dyDescent="0.25">
      <c r="A5" t="s">
        <v>1189</v>
      </c>
      <c r="B5" s="5">
        <v>1</v>
      </c>
    </row>
    <row r="6" spans="1:9" x14ac:dyDescent="0.25">
      <c r="A6" t="s">
        <v>1190</v>
      </c>
      <c r="B6" s="5">
        <v>2</v>
      </c>
    </row>
    <row r="7" spans="1:9" x14ac:dyDescent="0.25">
      <c r="A7" t="s">
        <v>1191</v>
      </c>
      <c r="B7" s="16">
        <f>SUM('2. Red CPM-Ruta Critica'!$Q$5:$Q$167)</f>
        <v>12334901565</v>
      </c>
    </row>
    <row r="10" spans="1:9" ht="38.25" x14ac:dyDescent="0.25">
      <c r="A10" s="6" t="s">
        <v>957</v>
      </c>
      <c r="B10" s="6" t="s">
        <v>912</v>
      </c>
      <c r="C10" s="6" t="s">
        <v>1192</v>
      </c>
      <c r="D10" s="6" t="s">
        <v>1193</v>
      </c>
      <c r="E10" s="6" t="s">
        <v>1194</v>
      </c>
      <c r="F10" s="6" t="s">
        <v>1195</v>
      </c>
      <c r="G10" s="6" t="s">
        <v>1173</v>
      </c>
      <c r="H10" s="6" t="s">
        <v>1196</v>
      </c>
      <c r="I10" s="6" t="s">
        <v>1197</v>
      </c>
    </row>
    <row r="11" spans="1:9" x14ac:dyDescent="0.25">
      <c r="A11" s="7">
        <f t="shared" ref="A11:A33" si="0">ROW()-10</f>
        <v>1</v>
      </c>
      <c r="B11" s="36">
        <f>'0. Parametros'!$B$3+(A11-1)*30</f>
        <v>45670</v>
      </c>
      <c r="C11" s="16">
        <f>IFERROR(INDEX('8. Cronograma Gantt'!$M$211:$AG$211,1,$A11),0)</f>
        <v>296722953.32379681</v>
      </c>
      <c r="D11" s="19">
        <f t="shared" ref="D11:D33" si="1">C11</f>
        <v>296722953.32379681</v>
      </c>
      <c r="E11" s="19">
        <f t="shared" ref="E11:E33" si="2">IF($A11=$B$5,$B$7*$B$4,0)+IF($A11&gt;$B$6,INDEX($D$11:$D$33,$A11-$B$6),0)*(1-$B$4)</f>
        <v>0</v>
      </c>
      <c r="F11" s="19">
        <f>SUM($E$11:E11)</f>
        <v>0</v>
      </c>
      <c r="G11" s="34">
        <f t="shared" ref="G11:G33" si="3">F11/$B$7</f>
        <v>0</v>
      </c>
      <c r="H11" s="19">
        <f>SUM($C$11:C11)</f>
        <v>296722953.32379681</v>
      </c>
      <c r="I11" s="19">
        <f t="shared" ref="I11:I33" si="4">H11-F11</f>
        <v>296722953.32379681</v>
      </c>
    </row>
    <row r="12" spans="1:9" x14ac:dyDescent="0.25">
      <c r="A12" s="7">
        <f t="shared" si="0"/>
        <v>2</v>
      </c>
      <c r="B12" s="36">
        <f>'0. Parametros'!$B$3+(A12-1)*30</f>
        <v>45700</v>
      </c>
      <c r="C12" s="16">
        <f>IFERROR(INDEX('8. Cronograma Gantt'!$M$211:$AG$211,1,$A12),0)</f>
        <v>348878795.75016928</v>
      </c>
      <c r="D12" s="19">
        <f t="shared" si="1"/>
        <v>348878795.75016928</v>
      </c>
      <c r="E12" s="19">
        <f t="shared" si="2"/>
        <v>0</v>
      </c>
      <c r="F12" s="19">
        <f>SUM($E$11:E12)</f>
        <v>0</v>
      </c>
      <c r="G12" s="34">
        <f t="shared" si="3"/>
        <v>0</v>
      </c>
      <c r="H12" s="19">
        <f>SUM($C$11:C12)</f>
        <v>645601749.07396603</v>
      </c>
      <c r="I12" s="19">
        <f t="shared" si="4"/>
        <v>645601749.07396603</v>
      </c>
    </row>
    <row r="13" spans="1:9" x14ac:dyDescent="0.25">
      <c r="A13" s="7">
        <f t="shared" si="0"/>
        <v>3</v>
      </c>
      <c r="B13" s="36">
        <f>'0. Parametros'!$B$3+(A13-1)*30</f>
        <v>45730</v>
      </c>
      <c r="C13" s="16">
        <f>IFERROR(INDEX('8. Cronograma Gantt'!$M$211:$AG$211,1,$A13),0)</f>
        <v>161417244.92603397</v>
      </c>
      <c r="D13" s="19">
        <f t="shared" si="1"/>
        <v>161417244.92603397</v>
      </c>
      <c r="E13" s="19">
        <f t="shared" si="2"/>
        <v>296722953.32379681</v>
      </c>
      <c r="F13" s="19">
        <f>SUM($E$11:E13)</f>
        <v>296722953.32379681</v>
      </c>
      <c r="G13" s="34">
        <f t="shared" si="3"/>
        <v>2.4055559078455996E-2</v>
      </c>
      <c r="H13" s="19">
        <f>SUM($C$11:C13)</f>
        <v>807018994</v>
      </c>
      <c r="I13" s="19">
        <f t="shared" si="4"/>
        <v>510296040.67620319</v>
      </c>
    </row>
    <row r="14" spans="1:9" x14ac:dyDescent="0.25">
      <c r="A14" s="7">
        <f t="shared" si="0"/>
        <v>4</v>
      </c>
      <c r="B14" s="36">
        <f>'0. Parametros'!$B$3+(A14-1)*30</f>
        <v>45760</v>
      </c>
      <c r="C14" s="16">
        <f>IFERROR(INDEX('8. Cronograma Gantt'!$M$211:$AG$211,1,$A14),0)</f>
        <v>90375773.817813769</v>
      </c>
      <c r="D14" s="19">
        <f t="shared" si="1"/>
        <v>90375773.817813769</v>
      </c>
      <c r="E14" s="19">
        <f t="shared" si="2"/>
        <v>348878795.75016928</v>
      </c>
      <c r="F14" s="19">
        <f>SUM($E$11:E14)</f>
        <v>645601749.07396603</v>
      </c>
      <c r="G14" s="34">
        <f t="shared" si="3"/>
        <v>5.2339432598785075E-2</v>
      </c>
      <c r="H14" s="19">
        <f>SUM($C$11:C14)</f>
        <v>897394767.81781375</v>
      </c>
      <c r="I14" s="19">
        <f t="shared" si="4"/>
        <v>251793018.74384773</v>
      </c>
    </row>
    <row r="15" spans="1:9" x14ac:dyDescent="0.25">
      <c r="A15" s="7">
        <f t="shared" si="0"/>
        <v>5</v>
      </c>
      <c r="B15" s="36">
        <f>'0. Parametros'!$B$3+(A15-1)*30</f>
        <v>45790</v>
      </c>
      <c r="C15" s="16">
        <f>IFERROR(INDEX('8. Cronograma Gantt'!$M$211:$AG$211,1,$A15),0)</f>
        <v>111845614.39271255</v>
      </c>
      <c r="D15" s="19">
        <f t="shared" si="1"/>
        <v>111845614.39271255</v>
      </c>
      <c r="E15" s="19">
        <f t="shared" si="2"/>
        <v>161417244.92603397</v>
      </c>
      <c r="F15" s="19">
        <f>SUM($E$11:E15)</f>
        <v>807018994</v>
      </c>
      <c r="G15" s="34">
        <f t="shared" si="3"/>
        <v>6.5425653358264155E-2</v>
      </c>
      <c r="H15" s="19">
        <f>SUM($C$11:C15)</f>
        <v>1009240382.2105263</v>
      </c>
      <c r="I15" s="19">
        <f t="shared" si="4"/>
        <v>202221388.21052635</v>
      </c>
    </row>
    <row r="16" spans="1:9" x14ac:dyDescent="0.25">
      <c r="A16" s="7">
        <f t="shared" si="0"/>
        <v>6</v>
      </c>
      <c r="B16" s="36">
        <f>'0. Parametros'!$B$3+(A16-1)*30</f>
        <v>45820</v>
      </c>
      <c r="C16" s="16">
        <f>IFERROR(INDEX('8. Cronograma Gantt'!$M$211:$AG$211,1,$A16),0)</f>
        <v>135870042.53947368</v>
      </c>
      <c r="D16" s="19">
        <f t="shared" si="1"/>
        <v>135870042.53947368</v>
      </c>
      <c r="E16" s="19">
        <f t="shared" si="2"/>
        <v>90375773.817813769</v>
      </c>
      <c r="F16" s="19">
        <f>SUM($E$11:E16)</f>
        <v>897394767.81781375</v>
      </c>
      <c r="G16" s="34">
        <f t="shared" si="3"/>
        <v>7.2752487167319663E-2</v>
      </c>
      <c r="H16" s="19">
        <f>SUM($C$11:C16)</f>
        <v>1145110424.75</v>
      </c>
      <c r="I16" s="19">
        <f t="shared" si="4"/>
        <v>247715656.93218625</v>
      </c>
    </row>
    <row r="17" spans="1:9" x14ac:dyDescent="0.25">
      <c r="A17" s="7">
        <f t="shared" si="0"/>
        <v>7</v>
      </c>
      <c r="B17" s="36">
        <f>'0. Parametros'!$B$3+(A17-1)*30</f>
        <v>45850</v>
      </c>
      <c r="C17" s="16">
        <f>IFERROR(INDEX('8. Cronograma Gantt'!$M$211:$AG$211,1,$A17),0)</f>
        <v>268174803.95334929</v>
      </c>
      <c r="D17" s="19">
        <f t="shared" si="1"/>
        <v>268174803.95334929</v>
      </c>
      <c r="E17" s="19">
        <f t="shared" si="2"/>
        <v>111845614.39271255</v>
      </c>
      <c r="F17" s="19">
        <f>SUM($E$11:E17)</f>
        <v>1009240382.2105263</v>
      </c>
      <c r="G17" s="34">
        <f t="shared" si="3"/>
        <v>8.1819897539695235E-2</v>
      </c>
      <c r="H17" s="19">
        <f>SUM($C$11:C17)</f>
        <v>1413285228.7033494</v>
      </c>
      <c r="I17" s="19">
        <f t="shared" si="4"/>
        <v>404044846.492823</v>
      </c>
    </row>
    <row r="18" spans="1:9" x14ac:dyDescent="0.25">
      <c r="A18" s="7">
        <f t="shared" si="0"/>
        <v>8</v>
      </c>
      <c r="B18" s="36">
        <f>'0. Parametros'!$B$3+(A18-1)*30</f>
        <v>45880</v>
      </c>
      <c r="C18" s="16">
        <f>IFERROR(INDEX('8. Cronograma Gantt'!$M$211:$AG$211,1,$A18),0)</f>
        <v>159927982.9966507</v>
      </c>
      <c r="D18" s="19">
        <f t="shared" si="1"/>
        <v>159927982.9966507</v>
      </c>
      <c r="E18" s="19">
        <f t="shared" si="2"/>
        <v>135870042.53947368</v>
      </c>
      <c r="F18" s="19">
        <f>SUM($E$11:E18)</f>
        <v>1145110424.75</v>
      </c>
      <c r="G18" s="34">
        <f t="shared" si="3"/>
        <v>9.2834986863553459E-2</v>
      </c>
      <c r="H18" s="19">
        <f>SUM($C$11:C18)</f>
        <v>1573213211.7</v>
      </c>
      <c r="I18" s="19">
        <f t="shared" si="4"/>
        <v>428102786.95000005</v>
      </c>
    </row>
    <row r="19" spans="1:9" x14ac:dyDescent="0.25">
      <c r="A19" s="7">
        <f t="shared" si="0"/>
        <v>9</v>
      </c>
      <c r="B19" s="36">
        <f>'0. Parametros'!$B$3+(A19-1)*30</f>
        <v>45910</v>
      </c>
      <c r="C19" s="16">
        <f>IFERROR(INDEX('8. Cronograma Gantt'!$M$211:$AG$211,1,$A19),0)</f>
        <v>107574546.3</v>
      </c>
      <c r="D19" s="19">
        <f t="shared" si="1"/>
        <v>107574546.3</v>
      </c>
      <c r="E19" s="19">
        <f t="shared" si="2"/>
        <v>268174803.95334929</v>
      </c>
      <c r="F19" s="19">
        <f>SUM($E$11:E19)</f>
        <v>1413285228.7033494</v>
      </c>
      <c r="G19" s="34">
        <f t="shared" si="3"/>
        <v>0.11457612541582932</v>
      </c>
      <c r="H19" s="19">
        <f>SUM($C$11:C19)</f>
        <v>1680787758</v>
      </c>
      <c r="I19" s="19">
        <f t="shared" si="4"/>
        <v>267502529.29665065</v>
      </c>
    </row>
    <row r="20" spans="1:9" x14ac:dyDescent="0.25">
      <c r="A20" s="7">
        <f t="shared" si="0"/>
        <v>10</v>
      </c>
      <c r="B20" s="36">
        <f>'0. Parametros'!$B$3+(A20-1)*30</f>
        <v>45940</v>
      </c>
      <c r="C20" s="16">
        <f>IFERROR(INDEX('8. Cronograma Gantt'!$M$211:$AG$211,1,$A20),0)</f>
        <v>646449280.42857146</v>
      </c>
      <c r="D20" s="19">
        <f t="shared" si="1"/>
        <v>646449280.42857146</v>
      </c>
      <c r="E20" s="19">
        <f t="shared" si="2"/>
        <v>159927982.9966507</v>
      </c>
      <c r="F20" s="19">
        <f>SUM($E$11:E20)</f>
        <v>1573213211.7</v>
      </c>
      <c r="G20" s="34">
        <f t="shared" si="3"/>
        <v>0.12754161056006774</v>
      </c>
      <c r="H20" s="19">
        <f>SUM($C$11:C20)</f>
        <v>2327237038.4285717</v>
      </c>
      <c r="I20" s="19">
        <f t="shared" si="4"/>
        <v>754023826.72857165</v>
      </c>
    </row>
    <row r="21" spans="1:9" x14ac:dyDescent="0.25">
      <c r="A21" s="7">
        <f t="shared" si="0"/>
        <v>11</v>
      </c>
      <c r="B21" s="36">
        <f>'0. Parametros'!$B$3+(A21-1)*30</f>
        <v>45970</v>
      </c>
      <c r="C21" s="16">
        <f>IFERROR(INDEX('8. Cronograma Gantt'!$M$211:$AG$211,1,$A21),0)</f>
        <v>843139177.09556639</v>
      </c>
      <c r="D21" s="19">
        <f t="shared" si="1"/>
        <v>843139177.09556639</v>
      </c>
      <c r="E21" s="19">
        <f t="shared" si="2"/>
        <v>107574546.3</v>
      </c>
      <c r="F21" s="19">
        <f>SUM($E$11:E21)</f>
        <v>1680787758</v>
      </c>
      <c r="G21" s="34">
        <f t="shared" si="3"/>
        <v>0.13626276214227737</v>
      </c>
      <c r="H21" s="19">
        <f>SUM($C$11:C21)</f>
        <v>3170376215.524138</v>
      </c>
      <c r="I21" s="19">
        <f t="shared" si="4"/>
        <v>1489588457.524138</v>
      </c>
    </row>
    <row r="22" spans="1:9" x14ac:dyDescent="0.25">
      <c r="A22" s="7">
        <f t="shared" si="0"/>
        <v>12</v>
      </c>
      <c r="B22" s="36">
        <f>'0. Parametros'!$B$3+(A22-1)*30</f>
        <v>46000</v>
      </c>
      <c r="C22" s="16">
        <f>IFERROR(INDEX('8. Cronograma Gantt'!$M$211:$AG$211,1,$A22),0)</f>
        <v>1025224936.0299023</v>
      </c>
      <c r="D22" s="19">
        <f t="shared" si="1"/>
        <v>1025224936.0299023</v>
      </c>
      <c r="E22" s="19">
        <f t="shared" si="2"/>
        <v>646449280.42857146</v>
      </c>
      <c r="F22" s="19">
        <f>SUM($E$11:E22)</f>
        <v>2327237038.4285717</v>
      </c>
      <c r="G22" s="34">
        <f t="shared" si="3"/>
        <v>0.18867090476279547</v>
      </c>
      <c r="H22" s="19">
        <f>SUM($C$11:C22)</f>
        <v>4195601151.5540404</v>
      </c>
      <c r="I22" s="19">
        <f t="shared" si="4"/>
        <v>1868364113.1254687</v>
      </c>
    </row>
    <row r="23" spans="1:9" x14ac:dyDescent="0.25">
      <c r="A23" s="7">
        <f t="shared" si="0"/>
        <v>13</v>
      </c>
      <c r="B23" s="36">
        <f>'0. Parametros'!$B$3+(A23-1)*30</f>
        <v>46030</v>
      </c>
      <c r="C23" s="16">
        <f>IFERROR(INDEX('8. Cronograma Gantt'!$M$211:$AG$211,1,$A23),0)</f>
        <v>981218111.20959592</v>
      </c>
      <c r="D23" s="19">
        <f t="shared" si="1"/>
        <v>981218111.20959592</v>
      </c>
      <c r="E23" s="19">
        <f t="shared" si="2"/>
        <v>843139177.09556639</v>
      </c>
      <c r="F23" s="19">
        <f>SUM($E$11:E23)</f>
        <v>3170376215.524138</v>
      </c>
      <c r="G23" s="34">
        <f t="shared" si="3"/>
        <v>0.25702484927159919</v>
      </c>
      <c r="H23" s="19">
        <f>SUM($C$11:C23)</f>
        <v>5176819262.7636366</v>
      </c>
      <c r="I23" s="19">
        <f t="shared" si="4"/>
        <v>2006443047.2394986</v>
      </c>
    </row>
    <row r="24" spans="1:9" x14ac:dyDescent="0.25">
      <c r="A24" s="7">
        <f t="shared" si="0"/>
        <v>14</v>
      </c>
      <c r="B24" s="36">
        <f>'0. Parametros'!$B$3+(A24-1)*30</f>
        <v>46060</v>
      </c>
      <c r="C24" s="16">
        <f>IFERROR(INDEX('8. Cronograma Gantt'!$M$211:$AG$211,1,$A24),0)</f>
        <v>403579512.56969696</v>
      </c>
      <c r="D24" s="19">
        <f t="shared" si="1"/>
        <v>403579512.56969696</v>
      </c>
      <c r="E24" s="19">
        <f t="shared" si="2"/>
        <v>1025224936.0299023</v>
      </c>
      <c r="F24" s="19">
        <f>SUM($E$11:E24)</f>
        <v>4195601151.5540404</v>
      </c>
      <c r="G24" s="34">
        <f t="shared" si="3"/>
        <v>0.34014062693933145</v>
      </c>
      <c r="H24" s="19">
        <f>SUM($C$11:C24)</f>
        <v>5580398775.333334</v>
      </c>
      <c r="I24" s="19">
        <f t="shared" si="4"/>
        <v>1384797623.7792935</v>
      </c>
    </row>
    <row r="25" spans="1:9" x14ac:dyDescent="0.25">
      <c r="A25" s="7">
        <f t="shared" si="0"/>
        <v>15</v>
      </c>
      <c r="B25" s="36">
        <f>'0. Parametros'!$B$3+(A25-1)*30</f>
        <v>46090</v>
      </c>
      <c r="C25" s="16">
        <f>IFERROR(INDEX('8. Cronograma Gantt'!$M$211:$AG$211,1,$A25),0)</f>
        <v>1203568809.3333335</v>
      </c>
      <c r="D25" s="19">
        <f t="shared" si="1"/>
        <v>1203568809.3333335</v>
      </c>
      <c r="E25" s="19">
        <f t="shared" si="2"/>
        <v>981218111.20959592</v>
      </c>
      <c r="F25" s="19">
        <f>SUM($E$11:E25)</f>
        <v>5176819262.7636366</v>
      </c>
      <c r="G25" s="34">
        <f t="shared" si="3"/>
        <v>0.4196887373185646</v>
      </c>
      <c r="H25" s="19">
        <f>SUM($C$11:C25)</f>
        <v>6783967584.6666679</v>
      </c>
      <c r="I25" s="19">
        <f t="shared" si="4"/>
        <v>1607148321.9030313</v>
      </c>
    </row>
    <row r="26" spans="1:9" x14ac:dyDescent="0.25">
      <c r="A26" s="7">
        <f t="shared" si="0"/>
        <v>16</v>
      </c>
      <c r="B26" s="36">
        <f>'0. Parametros'!$B$3+(A26-1)*30</f>
        <v>46120</v>
      </c>
      <c r="C26" s="16">
        <f>IFERROR(INDEX('8. Cronograma Gantt'!$M$211:$AG$211,1,$A26),0)</f>
        <v>1906091936.6333334</v>
      </c>
      <c r="D26" s="19">
        <f t="shared" si="1"/>
        <v>1906091936.6333334</v>
      </c>
      <c r="E26" s="19">
        <f t="shared" si="2"/>
        <v>403579512.56969696</v>
      </c>
      <c r="F26" s="19">
        <f>SUM($E$11:E26)</f>
        <v>5580398775.333334</v>
      </c>
      <c r="G26" s="34">
        <f t="shared" si="3"/>
        <v>0.45240724021402712</v>
      </c>
      <c r="H26" s="19">
        <f>SUM($C$11:C26)</f>
        <v>8690059521.3000011</v>
      </c>
      <c r="I26" s="19">
        <f t="shared" si="4"/>
        <v>3109660745.9666672</v>
      </c>
    </row>
    <row r="27" spans="1:9" x14ac:dyDescent="0.25">
      <c r="A27" s="7">
        <f t="shared" si="0"/>
        <v>17</v>
      </c>
      <c r="B27" s="36">
        <f>'0. Parametros'!$B$3+(A27-1)*30</f>
        <v>46150</v>
      </c>
      <c r="C27" s="16">
        <f>IFERROR(INDEX('8. Cronograma Gantt'!$M$211:$AG$211,1,$A27),0)</f>
        <v>1727776663.5666668</v>
      </c>
      <c r="D27" s="19">
        <f t="shared" si="1"/>
        <v>1727776663.5666668</v>
      </c>
      <c r="E27" s="19">
        <f t="shared" si="2"/>
        <v>1203568809.3333335</v>
      </c>
      <c r="F27" s="19">
        <f>SUM($E$11:E27)</f>
        <v>6783967584.6666679</v>
      </c>
      <c r="G27" s="34">
        <f t="shared" si="3"/>
        <v>0.54998149348155478</v>
      </c>
      <c r="H27" s="19">
        <f>SUM($C$11:C27)</f>
        <v>10417836184.866669</v>
      </c>
      <c r="I27" s="19">
        <f t="shared" si="4"/>
        <v>3633868600.2000008</v>
      </c>
    </row>
    <row r="28" spans="1:9" x14ac:dyDescent="0.25">
      <c r="A28" s="7">
        <f t="shared" si="0"/>
        <v>18</v>
      </c>
      <c r="B28" s="36">
        <f>'0. Parametros'!$B$3+(A28-1)*30</f>
        <v>46180</v>
      </c>
      <c r="C28" s="16">
        <f>IFERROR(INDEX('8. Cronograma Gantt'!$M$211:$AG$211,1,$A28),0)</f>
        <v>1038413936.8</v>
      </c>
      <c r="D28" s="19">
        <f t="shared" si="1"/>
        <v>1038413936.8</v>
      </c>
      <c r="E28" s="19">
        <f t="shared" si="2"/>
        <v>1906091936.6333334</v>
      </c>
      <c r="F28" s="19">
        <f>SUM($E$11:E28)</f>
        <v>8690059521.3000011</v>
      </c>
      <c r="G28" s="34">
        <f t="shared" si="3"/>
        <v>0.70450983945894186</v>
      </c>
      <c r="H28" s="19">
        <f>SUM($C$11:C28)</f>
        <v>11456250121.666668</v>
      </c>
      <c r="I28" s="19">
        <f t="shared" si="4"/>
        <v>2766190600.3666668</v>
      </c>
    </row>
    <row r="29" spans="1:9" x14ac:dyDescent="0.25">
      <c r="A29" s="7">
        <f t="shared" si="0"/>
        <v>19</v>
      </c>
      <c r="B29" s="36">
        <f>'0. Parametros'!$B$3+(A29-1)*30</f>
        <v>46210</v>
      </c>
      <c r="C29" s="16">
        <f>IFERROR(INDEX('8. Cronograma Gantt'!$M$211:$AG$211,1,$A29),0)</f>
        <v>422008473.33333337</v>
      </c>
      <c r="D29" s="19">
        <f t="shared" si="1"/>
        <v>422008473.33333337</v>
      </c>
      <c r="E29" s="19">
        <f t="shared" si="2"/>
        <v>1727776663.5666668</v>
      </c>
      <c r="F29" s="19">
        <f>SUM($E$11:E29)</f>
        <v>10417836184.866669</v>
      </c>
      <c r="G29" s="34">
        <f t="shared" si="3"/>
        <v>0.84458202847982511</v>
      </c>
      <c r="H29" s="19">
        <f>SUM($C$11:C29)</f>
        <v>11878258595.000002</v>
      </c>
      <c r="I29" s="19">
        <f t="shared" si="4"/>
        <v>1460422410.1333332</v>
      </c>
    </row>
    <row r="30" spans="1:9" x14ac:dyDescent="0.25">
      <c r="A30" s="7">
        <f t="shared" si="0"/>
        <v>20</v>
      </c>
      <c r="B30" s="36">
        <f>'0. Parametros'!$B$3+(A30-1)*30</f>
        <v>46240</v>
      </c>
      <c r="C30" s="16">
        <f>IFERROR(INDEX('8. Cronograma Gantt'!$M$211:$AG$211,1,$A30),0)</f>
        <v>266082346.19999999</v>
      </c>
      <c r="D30" s="19">
        <f t="shared" si="1"/>
        <v>266082346.19999999</v>
      </c>
      <c r="E30" s="19">
        <f t="shared" si="2"/>
        <v>1038413936.8</v>
      </c>
      <c r="F30" s="19">
        <f>SUM($E$11:E30)</f>
        <v>11456250121.666668</v>
      </c>
      <c r="G30" s="34">
        <f t="shared" si="3"/>
        <v>0.92876704863000403</v>
      </c>
      <c r="H30" s="19">
        <f>SUM($C$11:C30)</f>
        <v>12144340941.200003</v>
      </c>
      <c r="I30" s="19">
        <f t="shared" si="4"/>
        <v>688090819.53333473</v>
      </c>
    </row>
    <row r="31" spans="1:9" x14ac:dyDescent="0.25">
      <c r="A31" s="7">
        <f t="shared" si="0"/>
        <v>21</v>
      </c>
      <c r="B31" s="36">
        <f>'0. Parametros'!$B$3+(A31-1)*30</f>
        <v>46270</v>
      </c>
      <c r="C31" s="16">
        <f>IFERROR(INDEX('8. Cronograma Gantt'!$M$211:$AG$211,1,$A31),0)</f>
        <v>190560623.80000001</v>
      </c>
      <c r="D31" s="19">
        <f t="shared" si="1"/>
        <v>190560623.80000001</v>
      </c>
      <c r="E31" s="19">
        <f t="shared" si="2"/>
        <v>422008473.33333337</v>
      </c>
      <c r="F31" s="19">
        <f>SUM($E$11:E31)</f>
        <v>11878258595.000002</v>
      </c>
      <c r="G31" s="34">
        <f t="shared" si="3"/>
        <v>0.96297960161305929</v>
      </c>
      <c r="H31" s="19">
        <f>SUM($C$11:C31)</f>
        <v>12334901565.000002</v>
      </c>
      <c r="I31" s="19">
        <f t="shared" si="4"/>
        <v>456642970</v>
      </c>
    </row>
    <row r="32" spans="1:9" x14ac:dyDescent="0.25">
      <c r="A32" s="7">
        <f t="shared" si="0"/>
        <v>22</v>
      </c>
      <c r="B32" s="36">
        <f>'0. Parametros'!$B$3+(A32-1)*30</f>
        <v>46300</v>
      </c>
      <c r="C32" s="16">
        <f>IFERROR(INDEX('8. Cronograma Gantt'!$M$211:$AG$211,1,$A32),0)</f>
        <v>0</v>
      </c>
      <c r="D32" s="19">
        <f t="shared" si="1"/>
        <v>0</v>
      </c>
      <c r="E32" s="19">
        <f t="shared" si="2"/>
        <v>266082346.19999999</v>
      </c>
      <c r="F32" s="19">
        <f>SUM($E$11:E32)</f>
        <v>12144340941.200003</v>
      </c>
      <c r="G32" s="34">
        <f t="shared" si="3"/>
        <v>0.98455110299860771</v>
      </c>
      <c r="H32" s="19">
        <f>SUM($C$11:C32)</f>
        <v>12334901565.000002</v>
      </c>
      <c r="I32" s="19">
        <f t="shared" si="4"/>
        <v>190560623.79999924</v>
      </c>
    </row>
    <row r="33" spans="1:9" x14ac:dyDescent="0.25">
      <c r="A33" s="7">
        <f t="shared" si="0"/>
        <v>23</v>
      </c>
      <c r="B33" s="36">
        <f>'0. Parametros'!$B$3+(A33-1)*30</f>
        <v>46330</v>
      </c>
      <c r="C33" s="16">
        <f>IFERROR(INDEX('8. Cronograma Gantt'!$M$211:$AG$211,1,$A33),0)</f>
        <v>0</v>
      </c>
      <c r="D33" s="19">
        <f t="shared" si="1"/>
        <v>0</v>
      </c>
      <c r="E33" s="19">
        <f t="shared" si="2"/>
        <v>190560623.80000001</v>
      </c>
      <c r="F33" s="19">
        <f>SUM($E$11:E33)</f>
        <v>12334901565.000002</v>
      </c>
      <c r="G33" s="34">
        <f t="shared" si="3"/>
        <v>1.0000000000000002</v>
      </c>
      <c r="H33" s="19">
        <f>SUM($C$11:C33)</f>
        <v>12334901565.000002</v>
      </c>
      <c r="I33" s="19">
        <f t="shared" si="4"/>
        <v>0</v>
      </c>
    </row>
    <row r="34" spans="1:9" x14ac:dyDescent="0.25">
      <c r="A34" s="8" t="s">
        <v>16</v>
      </c>
      <c r="C34" s="20">
        <f>SUM(C11:C33)</f>
        <v>12334901565.000002</v>
      </c>
      <c r="D34" s="20">
        <f>SUM(D11:D33)</f>
        <v>12334901565.000002</v>
      </c>
      <c r="E34" s="20">
        <f>SUM(E11:E33)</f>
        <v>12334901565.000002</v>
      </c>
    </row>
    <row r="35" spans="1:9" x14ac:dyDescent="0.25">
      <c r="A35" s="8" t="s">
        <v>1198</v>
      </c>
      <c r="C35" s="20">
        <f>E34-C34</f>
        <v>0</v>
      </c>
    </row>
    <row r="36" spans="1:9" x14ac:dyDescent="0.25">
      <c r="A36" s="8" t="s">
        <v>1199</v>
      </c>
      <c r="C36" s="20">
        <f>C34-B7</f>
        <v>0</v>
      </c>
    </row>
    <row r="37" spans="1:9" x14ac:dyDescent="0.25">
      <c r="A37" s="7" t="s">
        <v>1200</v>
      </c>
      <c r="C37" s="16">
        <f>'10. Presupuesto'!B19</f>
        <v>996658470</v>
      </c>
    </row>
    <row r="38" spans="1:9" x14ac:dyDescent="0.25">
      <c r="A38" s="8" t="s">
        <v>1201</v>
      </c>
      <c r="C38" s="20">
        <f>E34+C37</f>
        <v>13331560035.000002</v>
      </c>
    </row>
  </sheetData>
  <pageMargins left="0.75" right="0.75" top="1" bottom="1" header="0.511811023622047" footer="0.511811023622047"/>
  <pageSetup paperSize="9" orientation="portrait" horizontalDpi="300" verticalDpi="300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5E4726DF542A34BA36BC3DD8E44F04E" ma:contentTypeVersion="10" ma:contentTypeDescription="Crear nuevo documento." ma:contentTypeScope="" ma:versionID="c1b708b5efe1165d0d806001fc840ac3">
  <xsd:schema xmlns:xsd="http://www.w3.org/2001/XMLSchema" xmlns:xs="http://www.w3.org/2001/XMLSchema" xmlns:p="http://schemas.microsoft.com/office/2006/metadata/properties" xmlns:ns2="f3ed0675-2008-4717-b0f5-2956fc877cde" xmlns:ns3="06631e3c-88b7-451b-816b-ff46c2bfb6ce" targetNamespace="http://schemas.microsoft.com/office/2006/metadata/properties" ma:root="true" ma:fieldsID="b57fa9e904d5db4f17ffee7103630147" ns2:_="" ns3:_="">
    <xsd:import namespace="f3ed0675-2008-4717-b0f5-2956fc877cde"/>
    <xsd:import namespace="06631e3c-88b7-451b-816b-ff46c2bfb6c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3ed0675-2008-4717-b0f5-2956fc877cd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cf9b37f9-b57c-4017-a7b4-fc26f9ccca9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6631e3c-88b7-451b-816b-ff46c2bfb6ce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8946f6d5-4f39-42b9-a3eb-178932f0d7df}" ma:internalName="TaxCatchAll" ma:showField="CatchAllData" ma:web="06631e3c-88b7-451b-816b-ff46c2bfb6c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3ed0675-2008-4717-b0f5-2956fc877cde">
      <Terms xmlns="http://schemas.microsoft.com/office/infopath/2007/PartnerControls"/>
    </lcf76f155ced4ddcb4097134ff3c332f>
    <TaxCatchAll xmlns="06631e3c-88b7-451b-816b-ff46c2bfb6ce" xsi:nil="true"/>
  </documentManagement>
</p:properties>
</file>

<file path=customXml/itemProps1.xml><?xml version="1.0" encoding="utf-8"?>
<ds:datastoreItem xmlns:ds="http://schemas.openxmlformats.org/officeDocument/2006/customXml" ds:itemID="{3A87E54B-6932-4F7F-9510-BA0EB6B9FAAF}"/>
</file>

<file path=customXml/itemProps2.xml><?xml version="1.0" encoding="utf-8"?>
<ds:datastoreItem xmlns:ds="http://schemas.openxmlformats.org/officeDocument/2006/customXml" ds:itemID="{43021C26-C32C-4214-BD07-52FEA60D445A}"/>
</file>

<file path=customXml/itemProps3.xml><?xml version="1.0" encoding="utf-8"?>
<ds:datastoreItem xmlns:ds="http://schemas.openxmlformats.org/officeDocument/2006/customXml" ds:itemID="{52A9972C-79E1-431F-A3AE-C2863C350921}"/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13</vt:i4>
      </vt:variant>
    </vt:vector>
  </HeadingPairs>
  <TitlesOfParts>
    <vt:vector size="13" baseType="lpstr">
      <vt:lpstr>0. Parametros</vt:lpstr>
      <vt:lpstr>1. Calculo PERT</vt:lpstr>
      <vt:lpstr>2. Red CPM-Ruta Critica</vt:lpstr>
      <vt:lpstr>2A. Vinculos</vt:lpstr>
      <vt:lpstr>3. Hitos-Linea Base</vt:lpstr>
      <vt:lpstr>4. Nivelacion Recursos</vt:lpstr>
      <vt:lpstr>5. Resumen-Validacion</vt:lpstr>
      <vt:lpstr>6. Equivalencia PERT tesis</vt:lpstr>
      <vt:lpstr>7. Recursos y Asignacion</vt:lpstr>
      <vt:lpstr>8. Cronograma Gantt</vt:lpstr>
      <vt:lpstr>9. Graficos Dinamicos</vt:lpstr>
      <vt:lpstr>10. Presupuesto</vt:lpstr>
      <vt:lpstr>11. Flujo de Caja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Liseth Oliveros</cp:lastModifiedBy>
  <cp:revision>1</cp:revision>
  <dcterms:created xsi:type="dcterms:W3CDTF">2026-06-13T13:55:22Z</dcterms:created>
  <dcterms:modified xsi:type="dcterms:W3CDTF">2026-07-17T01:31:12Z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0x01010045E4726DF542A34BA36BC3DD8E44F04E</vt:lpwstr>
  </property>
</Properties>
</file>