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harts/chart2.xml" ContentType="application/vnd.openxmlformats-officedocument.drawingml.chart+xml"/>
  <Override PartName="/xl/charts/style2.xml" ContentType="application/vnd.ms-office.chartstyle+xml"/>
  <Override PartName="/xl/charts/colors2.xml" ContentType="application/vnd.ms-office.chartcolorstyle+xml"/>
  <Override PartName="/xl/charts/chart3.xml" ContentType="application/vnd.openxmlformats-officedocument.drawingml.chart+xml"/>
  <Override PartName="/xl/charts/style3.xml" ContentType="application/vnd.ms-office.chartstyle+xml"/>
  <Override PartName="/xl/charts/colors3.xml" ContentType="application/vnd.ms-office.chartcolorstyle+xml"/>
  <Override PartName="/xl/drawings/drawing2.xml" ContentType="application/vnd.openxmlformats-officedocument.drawing+xml"/>
  <Override PartName="/xl/charts/chart4.xml" ContentType="application/vnd.openxmlformats-officedocument.drawingml.chart+xml"/>
  <Override PartName="/xl/charts/style4.xml" ContentType="application/vnd.ms-office.chartstyle+xml"/>
  <Override PartName="/xl/charts/colors4.xml" ContentType="application/vnd.ms-office.chartcolorstyle+xml"/>
  <Override PartName="/xl/charts/chart5.xml" ContentType="application/vnd.openxmlformats-officedocument.drawingml.chart+xml"/>
  <Override PartName="/xl/charts/style5.xml" ContentType="application/vnd.ms-office.chartstyle+xml"/>
  <Override PartName="/xl/charts/colors5.xml" ContentType="application/vnd.ms-office.chartcolorstyle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charts/chart6.xml" ContentType="application/vnd.openxmlformats-officedocument.drawingml.chart+xml"/>
  <Override PartName="/xl/charts/style6.xml" ContentType="application/vnd.ms-office.chartstyle+xml"/>
  <Override PartName="/xl/charts/colors6.xml" ContentType="application/vnd.ms-office.chartcolorstyle+xml"/>
  <Override PartName="/xl/charts/chart7.xml" ContentType="application/vnd.openxmlformats-officedocument.drawingml.chart+xml"/>
  <Override PartName="/xl/charts/style7.xml" ContentType="application/vnd.ms-office.chartstyle+xml"/>
  <Override PartName="/xl/charts/colors7.xml" ContentType="application/vnd.ms-office.chartcolorstyle+xml"/>
  <Override PartName="/xl/charts/chart8.xml" ContentType="application/vnd.openxmlformats-officedocument.drawingml.chart+xml"/>
  <Override PartName="/xl/charts/style8.xml" ContentType="application/vnd.ms-office.chartstyle+xml"/>
  <Override PartName="/xl/charts/colors8.xml" ContentType="application/vnd.ms-office.chartcolorstyle+xml"/>
  <Override PartName="/xl/charts/chart9.xml" ContentType="application/vnd.openxmlformats-officedocument.drawingml.chart+xml"/>
  <Override PartName="/xl/charts/style9.xml" ContentType="application/vnd.ms-office.chartstyle+xml"/>
  <Override PartName="/xl/charts/colors9.xml" ContentType="application/vnd.ms-office.chartcolorstyle+xml"/>
  <Override PartName="/xl/charts/chart10.xml" ContentType="application/vnd.openxmlformats-officedocument.drawingml.chart+xml"/>
  <Override PartName="/xl/charts/style10.xml" ContentType="application/vnd.ms-office.chartstyle+xml"/>
  <Override PartName="/xl/charts/colors10.xml" ContentType="application/vnd.ms-office.chartcolorstyle+xml"/>
  <Override PartName="/xl/charts/chart11.xml" ContentType="application/vnd.openxmlformats-officedocument.drawingml.chart+xml"/>
  <Override PartName="/xl/charts/style11.xml" ContentType="application/vnd.ms-office.chartstyle+xml"/>
  <Override PartName="/xl/charts/colors11.xml" ContentType="application/vnd.ms-office.chartcolorstyle+xml"/>
  <Override PartName="/xl/charts/chart12.xml" ContentType="application/vnd.openxmlformats-officedocument.drawingml.chart+xml"/>
  <Override PartName="/xl/charts/style12.xml" ContentType="application/vnd.ms-office.chartstyle+xml"/>
  <Override PartName="/xl/charts/colors12.xml" ContentType="application/vnd.ms-office.chartcolorstyle+xml"/>
  <Override PartName="/xl/charts/chart13.xml" ContentType="application/vnd.openxmlformats-officedocument.drawingml.chart+xml"/>
  <Override PartName="/xl/charts/style13.xml" ContentType="application/vnd.ms-office.chartstyle+xml"/>
  <Override PartName="/xl/charts/colors13.xml" ContentType="application/vnd.ms-office.chartcolorstyle+xml"/>
  <Override PartName="/xl/charts/chart14.xml" ContentType="application/vnd.openxmlformats-officedocument.drawingml.chart+xml"/>
  <Override PartName="/xl/charts/style14.xml" ContentType="application/vnd.ms-office.chartstyle+xml"/>
  <Override PartName="/xl/charts/colors14.xml" ContentType="application/vnd.ms-office.chartcolorstyle+xml"/>
  <Override PartName="/xl/charts/chart15.xml" ContentType="application/vnd.openxmlformats-officedocument.drawingml.chart+xml"/>
  <Override PartName="/xl/charts/style15.xml" ContentType="application/vnd.ms-office.chartstyle+xml"/>
  <Override PartName="/xl/charts/colors15.xml" ContentType="application/vnd.ms-office.chartcolorstyle+xml"/>
  <Override PartName="/xl/drawings/drawing5.xml" ContentType="application/vnd.openxmlformats-officedocument.drawing+xml"/>
  <Override PartName="/xl/charts/chart16.xml" ContentType="application/vnd.openxmlformats-officedocument.drawingml.chart+xml"/>
  <Override PartName="/xl/charts/style16.xml" ContentType="application/vnd.ms-office.chartstyle+xml"/>
  <Override PartName="/xl/charts/colors16.xml" ContentType="application/vnd.ms-office.chartcolorstyle+xml"/>
  <Override PartName="/xl/charts/chart17.xml" ContentType="application/vnd.openxmlformats-officedocument.drawingml.chart+xml"/>
  <Override PartName="/xl/charts/style17.xml" ContentType="application/vnd.ms-office.chartstyle+xml"/>
  <Override PartName="/xl/charts/colors17.xml" ContentType="application/vnd.ms-office.chartcolorstyle+xml"/>
  <Override PartName="/xl/calcChain.xml" ContentType="application/vnd.openxmlformats-officedocument.spreadsheetml.calcChai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215"/>
  <workbookPr/>
  <mc:AlternateContent xmlns:mc="http://schemas.openxmlformats.org/markup-compatibility/2006">
    <mc:Choice Requires="x15">
      <x15ac:absPath xmlns:x15ac="http://schemas.microsoft.com/office/spreadsheetml/2010/11/ac" url="https://d.docs.live.net/f5d70d00673500d7/Documents/TESIS/"/>
    </mc:Choice>
  </mc:AlternateContent>
  <xr:revisionPtr revIDLastSave="0" documentId="8_{741C547F-D4BD-4D94-9239-2F175664C96F}" xr6:coauthVersionLast="47" xr6:coauthVersionMax="47" xr10:uidLastSave="{00000000-0000-0000-0000-000000000000}"/>
  <bookViews>
    <workbookView xWindow="-110" yWindow="-110" windowWidth="19420" windowHeight="10300" firstSheet="4" xr2:uid="{B7460FE1-BCAE-4D8A-A54F-FA6D1C7B257E}"/>
  </bookViews>
  <sheets>
    <sheet name="PRESENTACIÓN" sheetId="4" r:id="rId1"/>
    <sheet name="CARACTERIZACIÓN" sheetId="1" r:id="rId2"/>
    <sheet name="COMPACTACIÓN" sheetId="2" r:id="rId3"/>
    <sheet name="MUESTRAS" sheetId="3" r:id="rId4"/>
    <sheet name="COMPRESIÓN INCONF." sheetId="7" r:id="rId5"/>
    <sheet name="CONTROL H Y T" sheetId="6" r:id="rId6"/>
  </sheet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48" i="1" l="1"/>
  <c r="H7" i="7"/>
  <c r="G64" i="1"/>
  <c r="C36" i="1"/>
  <c r="H10" i="7"/>
  <c r="H9" i="7"/>
  <c r="U7" i="7"/>
  <c r="AX12" i="7"/>
  <c r="AX11" i="7"/>
  <c r="AX10" i="7"/>
  <c r="AX9" i="7"/>
  <c r="AX8" i="7"/>
  <c r="AX7" i="7"/>
  <c r="AH12" i="7"/>
  <c r="AH11" i="7"/>
  <c r="AH10" i="7"/>
  <c r="AH9" i="7"/>
  <c r="AH8" i="7"/>
  <c r="AH7" i="7"/>
  <c r="U12" i="7"/>
  <c r="U11" i="7"/>
  <c r="U10" i="7"/>
  <c r="U9" i="7"/>
  <c r="U8" i="7"/>
  <c r="H12" i="7"/>
  <c r="H11" i="7"/>
  <c r="H8" i="7"/>
  <c r="AV12" i="7"/>
  <c r="AV11" i="7"/>
  <c r="AV10" i="7"/>
  <c r="AY10" i="7" s="1"/>
  <c r="AV9" i="7"/>
  <c r="AV8" i="7"/>
  <c r="AV7" i="7"/>
  <c r="AY7" i="7" s="1"/>
  <c r="AF12" i="7"/>
  <c r="AF11" i="7"/>
  <c r="AF10" i="7"/>
  <c r="AF9" i="7"/>
  <c r="AI9" i="7" s="1"/>
  <c r="AF8" i="7"/>
  <c r="AI8" i="7" s="1"/>
  <c r="AF7" i="7"/>
  <c r="AI7" i="7" s="1"/>
  <c r="S12" i="7"/>
  <c r="S11" i="7"/>
  <c r="S10" i="7"/>
  <c r="S9" i="7"/>
  <c r="S8" i="7"/>
  <c r="S7" i="7"/>
  <c r="V7" i="7" s="1"/>
  <c r="F12" i="7"/>
  <c r="F11" i="7"/>
  <c r="F10" i="7"/>
  <c r="I10" i="7" s="1"/>
  <c r="G37" i="7" s="1"/>
  <c r="F9" i="7"/>
  <c r="F8" i="7"/>
  <c r="I8" i="7" s="1"/>
  <c r="F7" i="7"/>
  <c r="I7" i="7" s="1"/>
  <c r="G16" i="7" s="1"/>
  <c r="AT46" i="7"/>
  <c r="AT40" i="7"/>
  <c r="AT34" i="7"/>
  <c r="AT28" i="7"/>
  <c r="AT22" i="7"/>
  <c r="AT16" i="7"/>
  <c r="AD22" i="7"/>
  <c r="AD16" i="7"/>
  <c r="Q46" i="7"/>
  <c r="Q40" i="7"/>
  <c r="Q34" i="7"/>
  <c r="Q28" i="7"/>
  <c r="Q22" i="7"/>
  <c r="Q16" i="7"/>
  <c r="K18" i="3"/>
  <c r="K19" i="3" s="1"/>
  <c r="C9" i="2"/>
  <c r="C97" i="1"/>
  <c r="C99" i="1"/>
  <c r="C100" i="1"/>
  <c r="G14" i="1"/>
  <c r="G13" i="1"/>
  <c r="G12" i="1"/>
  <c r="E14" i="1"/>
  <c r="E13" i="1"/>
  <c r="E12" i="1"/>
  <c r="C14" i="1"/>
  <c r="C13" i="1"/>
  <c r="C12" i="1"/>
  <c r="C7" i="1"/>
  <c r="D56" i="2"/>
  <c r="D57" i="2"/>
  <c r="D55" i="2"/>
  <c r="E55" i="2"/>
  <c r="F55" i="2"/>
  <c r="G55" i="2"/>
  <c r="C55" i="2"/>
  <c r="D36" i="2"/>
  <c r="D37" i="2"/>
  <c r="K23" i="3"/>
  <c r="M23" i="3"/>
  <c r="K17" i="3"/>
  <c r="K11" i="3"/>
  <c r="M11" i="3" s="1"/>
  <c r="K12" i="3"/>
  <c r="K13" i="3"/>
  <c r="K14" i="3"/>
  <c r="K15" i="3" s="1"/>
  <c r="M15" i="3" s="1"/>
  <c r="K5" i="3"/>
  <c r="M5" i="3" s="1"/>
  <c r="G48" i="2"/>
  <c r="F48" i="2"/>
  <c r="E48" i="2"/>
  <c r="D48" i="2"/>
  <c r="C48" i="2"/>
  <c r="G45" i="2"/>
  <c r="G49" i="2"/>
  <c r="G50" i="2"/>
  <c r="G51" i="2"/>
  <c r="F45" i="2"/>
  <c r="F49" i="2" s="1"/>
  <c r="F50" i="2" s="1"/>
  <c r="F51" i="2" s="1"/>
  <c r="E45" i="2"/>
  <c r="E49" i="2" s="1"/>
  <c r="E50" i="2" s="1"/>
  <c r="E51" i="2" s="1"/>
  <c r="D45" i="2"/>
  <c r="C45" i="2"/>
  <c r="C49" i="2"/>
  <c r="C50" i="2"/>
  <c r="C51" i="2" s="1"/>
  <c r="D35" i="2"/>
  <c r="E35" i="2"/>
  <c r="F35" i="2"/>
  <c r="G35" i="2"/>
  <c r="C35" i="2"/>
  <c r="G28" i="2"/>
  <c r="G25" i="2"/>
  <c r="G29" i="2" s="1"/>
  <c r="G30" i="2" s="1"/>
  <c r="G31" i="2" s="1"/>
  <c r="F28" i="2"/>
  <c r="E28" i="2"/>
  <c r="D28" i="2"/>
  <c r="C28" i="2"/>
  <c r="F25" i="2"/>
  <c r="F29" i="2"/>
  <c r="F30" i="2"/>
  <c r="F31" i="2"/>
  <c r="E25" i="2"/>
  <c r="D25" i="2"/>
  <c r="D29" i="2" s="1"/>
  <c r="D30" i="2" s="1"/>
  <c r="D31" i="2" s="1"/>
  <c r="C25" i="2"/>
  <c r="C29" i="2" s="1"/>
  <c r="C30" i="2" s="1"/>
  <c r="C31" i="2" s="1"/>
  <c r="E29" i="2"/>
  <c r="E30" i="2"/>
  <c r="E31" i="2"/>
  <c r="M22" i="3"/>
  <c r="M17" i="3"/>
  <c r="M16" i="3"/>
  <c r="M12" i="3"/>
  <c r="M13" i="3"/>
  <c r="M14" i="3"/>
  <c r="M10" i="3"/>
  <c r="M4" i="3"/>
  <c r="F72" i="1"/>
  <c r="F71" i="1"/>
  <c r="C74" i="1"/>
  <c r="D81" i="1"/>
  <c r="F56" i="1"/>
  <c r="F55" i="1"/>
  <c r="F39" i="1"/>
  <c r="F40" i="1"/>
  <c r="C41" i="1" s="1"/>
  <c r="D79" i="1" s="1"/>
  <c r="C68" i="1"/>
  <c r="C81" i="1"/>
  <c r="C52" i="1"/>
  <c r="C80" i="1"/>
  <c r="C83" i="1"/>
  <c r="C79" i="1"/>
  <c r="G66" i="1"/>
  <c r="G65" i="1"/>
  <c r="G50" i="1"/>
  <c r="G49" i="1"/>
  <c r="G33" i="1"/>
  <c r="G34" i="1"/>
  <c r="G32" i="1"/>
  <c r="K24" i="3"/>
  <c r="M24" i="3"/>
  <c r="K25" i="3"/>
  <c r="M25" i="3"/>
  <c r="C58" i="1"/>
  <c r="D80" i="1"/>
  <c r="D83" i="1"/>
  <c r="C75" i="1"/>
  <c r="E81" i="1"/>
  <c r="C42" i="1"/>
  <c r="E79" i="1"/>
  <c r="C59" i="1"/>
  <c r="E80" i="1"/>
  <c r="E83" i="1"/>
  <c r="E62" i="2"/>
  <c r="E63" i="2"/>
  <c r="C10" i="2" s="1"/>
  <c r="C11" i="2" s="1"/>
  <c r="D49" i="2"/>
  <c r="D50" i="2"/>
  <c r="D51" i="2"/>
  <c r="K26" i="3"/>
  <c r="M26" i="3"/>
  <c r="K27" i="3"/>
  <c r="M27" i="3"/>
  <c r="T20" i="7" l="1"/>
  <c r="T21" i="7"/>
  <c r="C101" i="1"/>
  <c r="C102" i="1" s="1"/>
  <c r="G27" i="7"/>
  <c r="E58" i="7" s="1"/>
  <c r="G58" i="7" s="1"/>
  <c r="G26" i="7"/>
  <c r="T17" i="7"/>
  <c r="T18" i="7"/>
  <c r="T19" i="7"/>
  <c r="T16" i="7"/>
  <c r="AG16" i="7"/>
  <c r="AG17" i="7"/>
  <c r="AG18" i="7"/>
  <c r="AG19" i="7"/>
  <c r="AG20" i="7"/>
  <c r="AG21" i="7"/>
  <c r="AG29" i="7"/>
  <c r="AG30" i="7"/>
  <c r="AG31" i="7"/>
  <c r="AG32" i="7"/>
  <c r="AG33" i="7"/>
  <c r="AG28" i="7"/>
  <c r="AW16" i="7"/>
  <c r="AW17" i="7"/>
  <c r="AW18" i="7"/>
  <c r="AW19" i="7"/>
  <c r="AW20" i="7"/>
  <c r="AW21" i="7"/>
  <c r="AW35" i="7"/>
  <c r="AW36" i="7"/>
  <c r="AW37" i="7"/>
  <c r="AW38" i="7"/>
  <c r="AW39" i="7"/>
  <c r="AW34" i="7"/>
  <c r="I12" i="7"/>
  <c r="AI10" i="7"/>
  <c r="AI12" i="7"/>
  <c r="AI11" i="7"/>
  <c r="G48" i="7"/>
  <c r="G49" i="7"/>
  <c r="G47" i="7"/>
  <c r="G50" i="7"/>
  <c r="G46" i="7"/>
  <c r="G51" i="7"/>
  <c r="G36" i="7"/>
  <c r="G35" i="7"/>
  <c r="G34" i="7"/>
  <c r="G39" i="7"/>
  <c r="G38" i="7"/>
  <c r="G25" i="7"/>
  <c r="G24" i="7"/>
  <c r="G23" i="7"/>
  <c r="G22" i="7"/>
  <c r="G20" i="7"/>
  <c r="G19" i="7"/>
  <c r="G21" i="7"/>
  <c r="E57" i="7" s="1"/>
  <c r="G18" i="7"/>
  <c r="G17" i="7"/>
  <c r="V10" i="7"/>
  <c r="V8" i="7"/>
  <c r="V11" i="7"/>
  <c r="AY8" i="7"/>
  <c r="AY11" i="7"/>
  <c r="V9" i="7"/>
  <c r="V12" i="7"/>
  <c r="AY9" i="7"/>
  <c r="AY12" i="7"/>
  <c r="I11" i="7"/>
  <c r="I9" i="7"/>
  <c r="E72" i="7"/>
  <c r="K6" i="3"/>
  <c r="K21" i="3"/>
  <c r="M18" i="3"/>
  <c r="G57" i="7" l="1"/>
  <c r="G72" i="7"/>
  <c r="AW47" i="7"/>
  <c r="AW48" i="7"/>
  <c r="AW49" i="7"/>
  <c r="AW50" i="7"/>
  <c r="AW51" i="7"/>
  <c r="AW46" i="7"/>
  <c r="AW29" i="7"/>
  <c r="AW30" i="7"/>
  <c r="AW31" i="7"/>
  <c r="AW32" i="7"/>
  <c r="AW33" i="7"/>
  <c r="AW28" i="7"/>
  <c r="T47" i="7"/>
  <c r="T48" i="7"/>
  <c r="T49" i="7"/>
  <c r="T50" i="7"/>
  <c r="T51" i="7"/>
  <c r="T46" i="7"/>
  <c r="T29" i="7"/>
  <c r="T30" i="7"/>
  <c r="T31" i="7"/>
  <c r="T32" i="7"/>
  <c r="T33" i="7"/>
  <c r="T28" i="7"/>
  <c r="AW41" i="7"/>
  <c r="AW42" i="7"/>
  <c r="AW43" i="7"/>
  <c r="AW44" i="7"/>
  <c r="AW45" i="7"/>
  <c r="AW40" i="7"/>
  <c r="AW23" i="7"/>
  <c r="AW24" i="7"/>
  <c r="AW25" i="7"/>
  <c r="AW26" i="7"/>
  <c r="AW27" i="7"/>
  <c r="AW22" i="7"/>
  <c r="T41" i="7"/>
  <c r="T42" i="7"/>
  <c r="T43" i="7"/>
  <c r="T44" i="7"/>
  <c r="T45" i="7"/>
  <c r="T40" i="7"/>
  <c r="T23" i="7"/>
  <c r="T24" i="7"/>
  <c r="T25" i="7"/>
  <c r="T26" i="7"/>
  <c r="T27" i="7"/>
  <c r="T22" i="7"/>
  <c r="T35" i="7"/>
  <c r="T36" i="7"/>
  <c r="T37" i="7"/>
  <c r="T38" i="7"/>
  <c r="T39" i="7"/>
  <c r="T34" i="7"/>
  <c r="AG23" i="7"/>
  <c r="AG24" i="7"/>
  <c r="AG25" i="7"/>
  <c r="AG26" i="7"/>
  <c r="AG27" i="7"/>
  <c r="AG22" i="7"/>
  <c r="AG45" i="7"/>
  <c r="AG41" i="7"/>
  <c r="AG42" i="7"/>
  <c r="AG43" i="7"/>
  <c r="AG44" i="7"/>
  <c r="AG40" i="7"/>
  <c r="AG47" i="7"/>
  <c r="AG48" i="7"/>
  <c r="AG49" i="7"/>
  <c r="AG50" i="7"/>
  <c r="AG51" i="7"/>
  <c r="AG46" i="7"/>
  <c r="AG35" i="7"/>
  <c r="AG36" i="7"/>
  <c r="AG37" i="7"/>
  <c r="AG38" i="7"/>
  <c r="AG39" i="7"/>
  <c r="AG34" i="7"/>
  <c r="E60" i="7"/>
  <c r="G42" i="7"/>
  <c r="G43" i="7"/>
  <c r="G44" i="7"/>
  <c r="G45" i="7"/>
  <c r="G41" i="7"/>
  <c r="G40" i="7"/>
  <c r="G32" i="7"/>
  <c r="G33" i="7"/>
  <c r="E59" i="7" s="1"/>
  <c r="G28" i="7"/>
  <c r="G29" i="7"/>
  <c r="G31" i="7"/>
  <c r="G30" i="7"/>
  <c r="E80" i="7"/>
  <c r="G80" i="7" s="1"/>
  <c r="E75" i="7"/>
  <c r="G75" i="7" s="1"/>
  <c r="E62" i="7"/>
  <c r="G62" i="7" s="1"/>
  <c r="E74" i="7"/>
  <c r="E73" i="7"/>
  <c r="E78" i="7"/>
  <c r="G78" i="7" s="1"/>
  <c r="E76" i="7"/>
  <c r="G76" i="7" s="1"/>
  <c r="E65" i="7"/>
  <c r="G65" i="7" s="1"/>
  <c r="E64" i="7"/>
  <c r="G64" i="7" s="1"/>
  <c r="E63" i="7"/>
  <c r="E61" i="7"/>
  <c r="G61" i="7" s="1"/>
  <c r="E81" i="7"/>
  <c r="G81" i="7" s="1"/>
  <c r="E79" i="7"/>
  <c r="G79" i="7" s="1"/>
  <c r="E67" i="7"/>
  <c r="G67" i="7" s="1"/>
  <c r="E68" i="7"/>
  <c r="G68" i="7" s="1"/>
  <c r="E66" i="7"/>
  <c r="E77" i="7"/>
  <c r="G77" i="7" s="1"/>
  <c r="M6" i="3"/>
  <c r="K7" i="3"/>
  <c r="M19" i="3"/>
  <c r="G60" i="7" l="1"/>
  <c r="A58" i="7"/>
  <c r="A57" i="7"/>
  <c r="G59" i="7"/>
  <c r="G74" i="7"/>
  <c r="A73" i="7"/>
  <c r="A72" i="7"/>
  <c r="B72" i="7" s="1"/>
  <c r="G73" i="7"/>
  <c r="G63" i="7"/>
  <c r="A59" i="7"/>
  <c r="G66" i="7"/>
  <c r="A60" i="7"/>
  <c r="M7" i="3"/>
  <c r="K8" i="3"/>
  <c r="M20" i="3"/>
  <c r="M21" i="3"/>
  <c r="B57" i="7" l="1"/>
  <c r="M8" i="3"/>
  <c r="K9" i="3"/>
  <c r="M9" i="3" s="1"/>
</calcChain>
</file>

<file path=xl/sharedStrings.xml><?xml version="1.0" encoding="utf-8"?>
<sst xmlns="http://schemas.openxmlformats.org/spreadsheetml/2006/main" count="365" uniqueCount="162">
  <si>
    <t xml:space="preserve">MEMORIA DE CALCULO </t>
  </si>
  <si>
    <t xml:space="preserve">UNIVERSIDAD PILOTO DE COLOMBIA </t>
  </si>
  <si>
    <t xml:space="preserve">TRABAJO DE GRADO </t>
  </si>
  <si>
    <t>TIXOTROPIA</t>
  </si>
  <si>
    <t>NICOLAS STEVEN FAUSTINO MURCIA</t>
  </si>
  <si>
    <t>CC. 1025140910</t>
  </si>
  <si>
    <t xml:space="preserve">SANTIAGO MADERO VARGAS </t>
  </si>
  <si>
    <t>CC. 1000379131</t>
  </si>
  <si>
    <t>ING. CAMILO ERNESTO HERRERA CANO</t>
  </si>
  <si>
    <t xml:space="preserve">BOGOTA. DC </t>
  </si>
  <si>
    <t>18 DE JUNIO DE 2025</t>
  </si>
  <si>
    <t>PREPARACIÓN DE MUESTRAS</t>
  </si>
  <si>
    <t>Sal</t>
  </si>
  <si>
    <r>
      <rPr>
        <sz val="11"/>
        <color rgb="FF000000"/>
        <rFont val="Times New Roman"/>
      </rPr>
      <t>Concentración (g/100 g H</t>
    </r>
    <r>
      <rPr>
        <vertAlign val="subscript"/>
        <sz val="11"/>
        <color rgb="FF000000"/>
        <rFont val="Times New Roman"/>
      </rPr>
      <t>2</t>
    </r>
    <r>
      <rPr>
        <sz val="11"/>
        <color rgb="FF000000"/>
        <rFont val="Times New Roman"/>
      </rPr>
      <t>O) a 30°C</t>
    </r>
  </si>
  <si>
    <t>Total de ensayos</t>
  </si>
  <si>
    <t>NaCl</t>
  </si>
  <si>
    <t>3.97</t>
  </si>
  <si>
    <t>Masa por ensayo (g)</t>
  </si>
  <si>
    <r>
      <rPr>
        <sz val="11"/>
        <color rgb="FF000000"/>
        <rFont val="Times New Roman"/>
      </rPr>
      <t>NaNO</t>
    </r>
    <r>
      <rPr>
        <vertAlign val="subscript"/>
        <sz val="11"/>
        <color rgb="FF000000"/>
        <rFont val="Times New Roman"/>
      </rPr>
      <t>3</t>
    </r>
  </si>
  <si>
    <t>95.00</t>
  </si>
  <si>
    <t>Masa total (g)</t>
  </si>
  <si>
    <r>
      <rPr>
        <sz val="11"/>
        <color rgb="FF000000"/>
        <rFont val="Times New Roman"/>
      </rPr>
      <t>K</t>
    </r>
    <r>
      <rPr>
        <vertAlign val="subscript"/>
        <sz val="11"/>
        <color rgb="FF000000"/>
        <rFont val="Times New Roman"/>
      </rPr>
      <t>2</t>
    </r>
    <r>
      <rPr>
        <sz val="11"/>
        <color rgb="FF000000"/>
        <rFont val="Times New Roman"/>
      </rPr>
      <t>CO</t>
    </r>
    <r>
      <rPr>
        <vertAlign val="subscript"/>
        <sz val="11"/>
        <color rgb="FF000000"/>
        <rFont val="Times New Roman"/>
      </rPr>
      <t>3</t>
    </r>
  </si>
  <si>
    <t>113.00</t>
  </si>
  <si>
    <r>
      <rPr>
        <sz val="11"/>
        <color rgb="FF000000"/>
        <rFont val="Times New Roman"/>
      </rPr>
      <t>CaCL</t>
    </r>
    <r>
      <rPr>
        <vertAlign val="subscript"/>
        <sz val="11"/>
        <color rgb="FF000000"/>
        <rFont val="Times New Roman"/>
      </rPr>
      <t>2</t>
    </r>
  </si>
  <si>
    <t>97.00</t>
  </si>
  <si>
    <t>Material</t>
  </si>
  <si>
    <t>Caolin</t>
  </si>
  <si>
    <t>Bentonita</t>
  </si>
  <si>
    <t>Diatomeas</t>
  </si>
  <si>
    <t>(g)</t>
  </si>
  <si>
    <t>(%)</t>
  </si>
  <si>
    <t>Muestra 1</t>
  </si>
  <si>
    <t>Muestra 2</t>
  </si>
  <si>
    <t>Muestra 3</t>
  </si>
  <si>
    <t>Límite Líquido y Plástico INV 125-13 INV 126-13</t>
  </si>
  <si>
    <t xml:space="preserve">Límite Líquido </t>
  </si>
  <si>
    <t>Masa del recipiente (g)</t>
  </si>
  <si>
    <t># Golpes</t>
  </si>
  <si>
    <t>Masa del recipiente con muestra húmeda (g)</t>
  </si>
  <si>
    <t>Masa del recipiente con muestra seca (g)</t>
  </si>
  <si>
    <t>Contenido de agua (%)</t>
  </si>
  <si>
    <t>Recipiente 1</t>
  </si>
  <si>
    <t>Recipiente 2</t>
  </si>
  <si>
    <t>Recipiente 3</t>
  </si>
  <si>
    <t>Valor Límite Líquido</t>
  </si>
  <si>
    <t>Límite Plástico</t>
  </si>
  <si>
    <t>Valor Límite Plástico</t>
  </si>
  <si>
    <t>Índice de plasticidad</t>
  </si>
  <si>
    <t>RESUMEN</t>
  </si>
  <si>
    <t>Límite Líquido</t>
  </si>
  <si>
    <t xml:space="preserve">Límite plástico </t>
  </si>
  <si>
    <t>Denominación</t>
  </si>
  <si>
    <t>Limo de alta compresibilidad (MH)</t>
  </si>
  <si>
    <t>MUESTRA SELECCIONADA</t>
  </si>
  <si>
    <t>GRAVEDAD ESPECÍFICA INV 128-13</t>
  </si>
  <si>
    <t>Masa del Picnómetro (g)</t>
  </si>
  <si>
    <t>Masa del Picnómetro con Agua a 23.8ºc (g)</t>
  </si>
  <si>
    <t>Densidad del Agua a 23.8ºc (g/cm3)</t>
  </si>
  <si>
    <t>k a 23.8º c</t>
  </si>
  <si>
    <t>Masa del Picnómetro con Material (g)</t>
  </si>
  <si>
    <t>Masa del Recipiente (g)</t>
  </si>
  <si>
    <t>Masa del Material Seco (g)</t>
  </si>
  <si>
    <r>
      <t>V</t>
    </r>
    <r>
      <rPr>
        <vertAlign val="subscript"/>
        <sz val="12"/>
        <color theme="1"/>
        <rFont val="Times New Roman"/>
        <family val="1"/>
      </rPr>
      <t>p</t>
    </r>
    <r>
      <rPr>
        <sz val="12"/>
        <color theme="1"/>
        <rFont val="Times New Roman"/>
        <family val="1"/>
      </rPr>
      <t xml:space="preserve"> (cm3)</t>
    </r>
  </si>
  <si>
    <r>
      <t>M</t>
    </r>
    <r>
      <rPr>
        <vertAlign val="subscript"/>
        <sz val="12"/>
        <color theme="1"/>
        <rFont val="Times New Roman"/>
        <family val="1"/>
      </rPr>
      <t>pw,t</t>
    </r>
    <r>
      <rPr>
        <sz val="12"/>
        <color theme="1"/>
        <rFont val="Times New Roman"/>
        <family val="1"/>
      </rPr>
      <t xml:space="preserve"> (g)</t>
    </r>
  </si>
  <si>
    <r>
      <t>G</t>
    </r>
    <r>
      <rPr>
        <vertAlign val="subscript"/>
        <sz val="12"/>
        <color theme="1"/>
        <rFont val="Times New Roman"/>
        <family val="1"/>
      </rPr>
      <t>s</t>
    </r>
  </si>
  <si>
    <r>
      <t>G</t>
    </r>
    <r>
      <rPr>
        <vertAlign val="subscript"/>
        <sz val="12"/>
        <color theme="1"/>
        <rFont val="Times New Roman"/>
        <family val="1"/>
      </rPr>
      <t>s 20ºc</t>
    </r>
  </si>
  <si>
    <t>Ensayo Normal de Compactación INV-E 141</t>
  </si>
  <si>
    <t>Diámetro del molde (mm)</t>
  </si>
  <si>
    <t>Altura del molde (mm)</t>
  </si>
  <si>
    <t>Volúmen del molde (m3)</t>
  </si>
  <si>
    <t>Densidad seca promedio (Kn/m3)</t>
  </si>
  <si>
    <t>Masa de la muestra (Kg)</t>
  </si>
  <si>
    <t>%W =10%</t>
  </si>
  <si>
    <t>%W =15%</t>
  </si>
  <si>
    <t>%W =20%</t>
  </si>
  <si>
    <t>%W =25%</t>
  </si>
  <si>
    <t>%W =30%</t>
  </si>
  <si>
    <t>Ensayo Proctor Simple</t>
  </si>
  <si>
    <t>Muestra</t>
  </si>
  <si>
    <t>Humedad Probable (%)</t>
  </si>
  <si>
    <t>Diámetro (m)</t>
  </si>
  <si>
    <t>Altura (m)</t>
  </si>
  <si>
    <t>Volúmen (m^3)</t>
  </si>
  <si>
    <t>Masa del Molde (g)</t>
  </si>
  <si>
    <t>Masa del Molde + Material (g)</t>
  </si>
  <si>
    <t>Masa Material (g)</t>
  </si>
  <si>
    <t>Densidad Humeda (Kg/m^3)</t>
  </si>
  <si>
    <t>Peso Especifico Humedo (KN/m^3)</t>
  </si>
  <si>
    <t>Peso Especifico Seco (KN/m^3)</t>
  </si>
  <si>
    <t>Masa del Recipiente con Material Húmedo (g)</t>
  </si>
  <si>
    <t>Masa del Recipiente con Material Seco (g)</t>
  </si>
  <si>
    <t>Humedad (%)</t>
  </si>
  <si>
    <t>Humedad Óptima (%)</t>
  </si>
  <si>
    <t>Peso Especifico Máximo (KN/m^3)</t>
  </si>
  <si>
    <t>Ensayo Proctor Simple Comprobación</t>
  </si>
  <si>
    <t>Humedad Óptima Promedio (%)</t>
  </si>
  <si>
    <t>Peso Especifico Máximo Promedio (KN/m^3)</t>
  </si>
  <si>
    <t>CRONOGRAMA</t>
  </si>
  <si>
    <t xml:space="preserve">Tiempo de reposo (días) </t>
  </si>
  <si>
    <t>Velocidad lenta (1 mm/s)</t>
  </si>
  <si>
    <t>Velocidad Rápida (5 mm/s)</t>
  </si>
  <si>
    <t>Fecha de Ingreso</t>
  </si>
  <si>
    <t>Hora de Ingreso</t>
  </si>
  <si>
    <t>Fecha de Salida</t>
  </si>
  <si>
    <t>Hora de Salida</t>
  </si>
  <si>
    <t>A</t>
  </si>
  <si>
    <t>B</t>
  </si>
  <si>
    <t>C</t>
  </si>
  <si>
    <t>M1AL</t>
  </si>
  <si>
    <t>M1BL</t>
  </si>
  <si>
    <t>M1CL</t>
  </si>
  <si>
    <t>M1AR</t>
  </si>
  <si>
    <t>M1BR</t>
  </si>
  <si>
    <t>M1CR</t>
  </si>
  <si>
    <t>M30AL</t>
  </si>
  <si>
    <t>M30BL</t>
  </si>
  <si>
    <t>M30CL</t>
  </si>
  <si>
    <t>M30AR</t>
  </si>
  <si>
    <t>M30BR</t>
  </si>
  <si>
    <t>M30CR</t>
  </si>
  <si>
    <t>M60AL</t>
  </si>
  <si>
    <t>M60BL</t>
  </si>
  <si>
    <t>M60CL</t>
  </si>
  <si>
    <t>M60AR</t>
  </si>
  <si>
    <t>M60BR</t>
  </si>
  <si>
    <t>M60CR</t>
  </si>
  <si>
    <t>M90AL</t>
  </si>
  <si>
    <t>M90BL</t>
  </si>
  <si>
    <t>M90CL</t>
  </si>
  <si>
    <t>M90AR</t>
  </si>
  <si>
    <t>M90BR</t>
  </si>
  <si>
    <t>M90CR</t>
  </si>
  <si>
    <t>Cantidad de muestras para ingresar a la cámara</t>
  </si>
  <si>
    <t xml:space="preserve">Muestras de prueva </t>
  </si>
  <si>
    <t>Muestras totales</t>
  </si>
  <si>
    <t>COMPRESIÓN INCONFINADA INV-E 152</t>
  </si>
  <si>
    <t>DATOS GEOMÉTRICOS 1 DÍA</t>
  </si>
  <si>
    <t>DATOS GEOMÉTRICOS 30 DÍAS</t>
  </si>
  <si>
    <t>DATOS GEOMÉTRICOS 60 DÍAS</t>
  </si>
  <si>
    <t>DATOS GEOMÉTRICOS 90 DÍAS</t>
  </si>
  <si>
    <t>Diámetro (mm)</t>
  </si>
  <si>
    <t>Área (mm^2)</t>
  </si>
  <si>
    <t>Altura (mm)</t>
  </si>
  <si>
    <r>
      <rPr>
        <sz val="11"/>
        <color theme="1"/>
        <rFont val="Aptos Narrow"/>
        <family val="2"/>
      </rPr>
      <t>ε</t>
    </r>
    <r>
      <rPr>
        <sz val="11"/>
        <color theme="1"/>
        <rFont val="Times New Roman"/>
        <family val="1"/>
      </rPr>
      <t>1</t>
    </r>
  </si>
  <si>
    <t>Área Corregida (mm^2)</t>
  </si>
  <si>
    <t>DATOS MECÁNICOS 1 DÍA</t>
  </si>
  <si>
    <t>DATOS MECÁNICOS 30 DÍAS</t>
  </si>
  <si>
    <t>DATOS MECÁNICOS 60 DÍAS</t>
  </si>
  <si>
    <t>DATOS MECÁNICOS 90 DÍAS</t>
  </si>
  <si>
    <t>Fuerza (KN)</t>
  </si>
  <si>
    <t>Deformación (mm)</t>
  </si>
  <si>
    <t>Esfuerzo (Mpa)</t>
  </si>
  <si>
    <t>Muestras falladas a velocidad lenta</t>
  </si>
  <si>
    <t xml:space="preserve">resistencia al corte </t>
  </si>
  <si>
    <t>Su (Mpa)</t>
  </si>
  <si>
    <t>Tiempo de reposo (Días)</t>
  </si>
  <si>
    <t>Qu (Mpa)</t>
  </si>
  <si>
    <t>Muestras falladas a velocidad rápida</t>
  </si>
  <si>
    <t>Fecha</t>
  </si>
  <si>
    <t>Tiempo (días)</t>
  </si>
  <si>
    <t>Temperatura (ºC)</t>
  </si>
  <si>
    <t>Días donde se abrió la cámara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</si>
</sst>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0000"/>
    <numFmt numFmtId="165" formatCode="0.000"/>
    <numFmt numFmtId="166" formatCode="0.0000"/>
    <numFmt numFmtId="167" formatCode="0.0"/>
  </numFmts>
  <fonts count="13">
    <font>
      <sz val="11"/>
      <color theme="1"/>
      <name val="Aptos Narrow"/>
      <family val="2"/>
      <scheme val="minor"/>
    </font>
    <font>
      <sz val="11"/>
      <color theme="1"/>
      <name val="Times New Roman"/>
      <family val="1"/>
    </font>
    <font>
      <b/>
      <sz val="11"/>
      <color theme="1"/>
      <name val="Times New Roman"/>
      <family val="1"/>
    </font>
    <font>
      <sz val="12"/>
      <color theme="1"/>
      <name val="Times New Roman"/>
      <family val="1"/>
    </font>
    <font>
      <vertAlign val="subscript"/>
      <sz val="12"/>
      <color theme="1"/>
      <name val="Times New Roman"/>
      <family val="1"/>
    </font>
    <font>
      <sz val="11"/>
      <color theme="1"/>
      <name val="Aptos Narrow"/>
      <family val="2"/>
    </font>
    <font>
      <sz val="11"/>
      <color theme="1"/>
      <name val="Times New Roman"/>
      <family val="2"/>
    </font>
    <font>
      <sz val="11"/>
      <color rgb="FF000000"/>
      <name val="Times New Roman"/>
    </font>
    <font>
      <vertAlign val="subscript"/>
      <sz val="11"/>
      <color rgb="FF000000"/>
      <name val="Times New Roman"/>
    </font>
    <font>
      <sz val="9"/>
      <color theme="1"/>
      <name val="Times New Roman"/>
      <family val="1"/>
    </font>
    <font>
      <b/>
      <sz val="9"/>
      <color theme="1"/>
      <name val="Times New Roman"/>
      <family val="1"/>
    </font>
    <font>
      <b/>
      <sz val="8"/>
      <color theme="1"/>
      <name val="Times New Roman"/>
      <family val="1"/>
    </font>
    <font>
      <sz val="8"/>
      <color theme="1"/>
      <name val="Times New Roman"/>
      <family val="1"/>
    </font>
  </fonts>
  <fills count="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9" tint="0.79998168889431442"/>
        <bgColor indexed="64"/>
      </patternFill>
    </fill>
  </fills>
  <borders count="2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thin">
        <color rgb="FF000000"/>
      </bottom>
      <diagonal/>
    </border>
    <border>
      <left/>
      <right/>
      <top style="thin">
        <color rgb="FF000000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/>
      <top/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67">
    <xf numFmtId="0" fontId="0" fillId="0" borderId="0" xfId="0"/>
    <xf numFmtId="0" fontId="1" fillId="2" borderId="0" xfId="0" applyFont="1" applyFill="1"/>
    <xf numFmtId="0" fontId="1" fillId="2" borderId="6" xfId="0" applyFont="1" applyFill="1" applyBorder="1"/>
    <xf numFmtId="0" fontId="1" fillId="2" borderId="8" xfId="0" applyFont="1" applyFill="1" applyBorder="1"/>
    <xf numFmtId="0" fontId="1" fillId="2" borderId="6" xfId="0" applyFont="1" applyFill="1" applyBorder="1" applyAlignment="1">
      <alignment horizontal="center" vertical="center"/>
    </xf>
    <xf numFmtId="164" fontId="1" fillId="2" borderId="6" xfId="0" applyNumberFormat="1" applyFont="1" applyFill="1" applyBorder="1" applyAlignment="1">
      <alignment horizontal="center" vertical="center"/>
    </xf>
    <xf numFmtId="165" fontId="1" fillId="2" borderId="8" xfId="0" applyNumberFormat="1" applyFont="1" applyFill="1" applyBorder="1" applyAlignment="1">
      <alignment horizontal="center" vertical="center"/>
    </xf>
    <xf numFmtId="2" fontId="1" fillId="2" borderId="6" xfId="0" applyNumberFormat="1" applyFont="1" applyFill="1" applyBorder="1" applyAlignment="1">
      <alignment horizontal="center" vertical="center"/>
    </xf>
    <xf numFmtId="0" fontId="1" fillId="2" borderId="4" xfId="0" applyFont="1" applyFill="1" applyBorder="1"/>
    <xf numFmtId="1" fontId="1" fillId="2" borderId="0" xfId="0" applyNumberFormat="1" applyFont="1" applyFill="1"/>
    <xf numFmtId="2" fontId="1" fillId="2" borderId="6" xfId="0" applyNumberFormat="1" applyFont="1" applyFill="1" applyBorder="1" applyAlignment="1">
      <alignment horizontal="center"/>
    </xf>
    <xf numFmtId="2" fontId="1" fillId="2" borderId="8" xfId="0" applyNumberFormat="1" applyFont="1" applyFill="1" applyBorder="1" applyAlignment="1">
      <alignment horizontal="center"/>
    </xf>
    <xf numFmtId="2" fontId="1" fillId="2" borderId="0" xfId="0" applyNumberFormat="1" applyFont="1" applyFill="1" applyAlignment="1">
      <alignment horizontal="center"/>
    </xf>
    <xf numFmtId="0" fontId="1" fillId="3" borderId="3" xfId="0" applyFont="1" applyFill="1" applyBorder="1" applyAlignment="1">
      <alignment horizontal="center"/>
    </xf>
    <xf numFmtId="14" fontId="1" fillId="2" borderId="5" xfId="0" applyNumberFormat="1" applyFont="1" applyFill="1" applyBorder="1" applyAlignment="1">
      <alignment horizontal="center"/>
    </xf>
    <xf numFmtId="14" fontId="1" fillId="2" borderId="0" xfId="0" applyNumberFormat="1" applyFont="1" applyFill="1" applyAlignment="1">
      <alignment horizontal="center"/>
    </xf>
    <xf numFmtId="0" fontId="1" fillId="2" borderId="0" xfId="0" applyFont="1" applyFill="1" applyAlignment="1">
      <alignment horizontal="center" vertical="center" wrapText="1"/>
    </xf>
    <xf numFmtId="0" fontId="1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 wrapText="1"/>
    </xf>
    <xf numFmtId="165" fontId="1" fillId="2" borderId="0" xfId="0" applyNumberFormat="1" applyFont="1" applyFill="1" applyAlignment="1">
      <alignment horizontal="center" vertical="center"/>
    </xf>
    <xf numFmtId="165" fontId="1" fillId="2" borderId="0" xfId="0" applyNumberFormat="1" applyFont="1" applyFill="1" applyAlignment="1">
      <alignment horizontal="center"/>
    </xf>
    <xf numFmtId="0" fontId="2" fillId="2" borderId="0" xfId="0" applyFont="1" applyFill="1"/>
    <xf numFmtId="2" fontId="1" fillId="2" borderId="4" xfId="0" applyNumberFormat="1" applyFont="1" applyFill="1" applyBorder="1" applyAlignment="1">
      <alignment horizontal="center"/>
    </xf>
    <xf numFmtId="2" fontId="1" fillId="2" borderId="15" xfId="0" applyNumberFormat="1" applyFont="1" applyFill="1" applyBorder="1" applyAlignment="1">
      <alignment horizontal="center"/>
    </xf>
    <xf numFmtId="0" fontId="1" fillId="2" borderId="19" xfId="0" applyFont="1" applyFill="1" applyBorder="1"/>
    <xf numFmtId="0" fontId="1" fillId="2" borderId="20" xfId="0" applyFont="1" applyFill="1" applyBorder="1"/>
    <xf numFmtId="0" fontId="1" fillId="2" borderId="21" xfId="0" applyFont="1" applyFill="1" applyBorder="1"/>
    <xf numFmtId="0" fontId="1" fillId="2" borderId="2" xfId="0" applyFont="1" applyFill="1" applyBorder="1" applyAlignment="1">
      <alignment horizontal="center"/>
    </xf>
    <xf numFmtId="0" fontId="1" fillId="2" borderId="12" xfId="0" applyFont="1" applyFill="1" applyBorder="1" applyAlignment="1">
      <alignment horizontal="center" vertical="center" wrapText="1"/>
    </xf>
    <xf numFmtId="0" fontId="1" fillId="2" borderId="4" xfId="0" applyFont="1" applyFill="1" applyBorder="1" applyAlignment="1">
      <alignment horizontal="center" vertical="center" wrapText="1"/>
    </xf>
    <xf numFmtId="14" fontId="1" fillId="4" borderId="5" xfId="0" applyNumberFormat="1" applyFont="1" applyFill="1" applyBorder="1" applyAlignment="1">
      <alignment horizontal="center"/>
    </xf>
    <xf numFmtId="14" fontId="1" fillId="4" borderId="7" xfId="0" applyNumberFormat="1" applyFont="1" applyFill="1" applyBorder="1" applyAlignment="1">
      <alignment horizontal="center"/>
    </xf>
    <xf numFmtId="0" fontId="1" fillId="3" borderId="12" xfId="0" applyFont="1" applyFill="1" applyBorder="1" applyAlignment="1">
      <alignment horizontal="center"/>
    </xf>
    <xf numFmtId="0" fontId="1" fillId="3" borderId="4" xfId="0" applyFont="1" applyFill="1" applyBorder="1" applyAlignment="1">
      <alignment horizontal="center"/>
    </xf>
    <xf numFmtId="0" fontId="1" fillId="4" borderId="1" xfId="0" applyFont="1" applyFill="1" applyBorder="1" applyAlignment="1">
      <alignment horizontal="center"/>
    </xf>
    <xf numFmtId="0" fontId="1" fillId="4" borderId="6" xfId="0" applyFont="1" applyFill="1" applyBorder="1" applyAlignment="1">
      <alignment horizontal="center"/>
    </xf>
    <xf numFmtId="0" fontId="1" fillId="4" borderId="13" xfId="0" applyFont="1" applyFill="1" applyBorder="1" applyAlignment="1">
      <alignment horizontal="center"/>
    </xf>
    <xf numFmtId="0" fontId="1" fillId="4" borderId="8" xfId="0" applyFont="1" applyFill="1" applyBorder="1" applyAlignment="1">
      <alignment horizontal="center"/>
    </xf>
    <xf numFmtId="165" fontId="1" fillId="2" borderId="0" xfId="0" applyNumberFormat="1" applyFont="1" applyFill="1"/>
    <xf numFmtId="0" fontId="1" fillId="2" borderId="4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 wrapText="1"/>
    </xf>
    <xf numFmtId="0" fontId="1" fillId="2" borderId="3" xfId="0" applyFont="1" applyFill="1" applyBorder="1" applyAlignment="1">
      <alignment horizontal="center" vertical="center" wrapText="1"/>
    </xf>
    <xf numFmtId="0" fontId="0" fillId="2" borderId="0" xfId="0" applyFill="1"/>
    <xf numFmtId="0" fontId="1" fillId="2" borderId="5" xfId="0" applyFont="1" applyFill="1" applyBorder="1" applyAlignment="1">
      <alignment horizontal="center" wrapText="1"/>
    </xf>
    <xf numFmtId="0" fontId="1" fillId="2" borderId="7" xfId="0" applyFont="1" applyFill="1" applyBorder="1" applyAlignment="1">
      <alignment horizontal="center" vertical="center" wrapText="1"/>
    </xf>
    <xf numFmtId="0" fontId="1" fillId="2" borderId="3" xfId="0" applyFont="1" applyFill="1" applyBorder="1"/>
    <xf numFmtId="0" fontId="1" fillId="2" borderId="5" xfId="0" applyFont="1" applyFill="1" applyBorder="1"/>
    <xf numFmtId="0" fontId="1" fillId="2" borderId="7" xfId="0" applyFont="1" applyFill="1" applyBorder="1"/>
    <xf numFmtId="0" fontId="1" fillId="2" borderId="14" xfId="0" applyFont="1" applyFill="1" applyBorder="1"/>
    <xf numFmtId="0" fontId="1" fillId="2" borderId="27" xfId="0" applyFont="1" applyFill="1" applyBorder="1" applyAlignment="1">
      <alignment horizontal="center"/>
    </xf>
    <xf numFmtId="2" fontId="1" fillId="2" borderId="0" xfId="0" applyNumberFormat="1" applyFont="1" applyFill="1" applyBorder="1" applyAlignment="1">
      <alignment horizontal="center"/>
    </xf>
    <xf numFmtId="2" fontId="1" fillId="2" borderId="24" xfId="0" applyNumberFormat="1" applyFont="1" applyFill="1" applyBorder="1" applyAlignment="1">
      <alignment horizontal="center"/>
    </xf>
    <xf numFmtId="0" fontId="6" fillId="2" borderId="26" xfId="0" applyFont="1" applyFill="1" applyBorder="1" applyAlignment="1">
      <alignment horizontal="center" vertical="center" wrapText="1"/>
    </xf>
    <xf numFmtId="0" fontId="1" fillId="2" borderId="0" xfId="0" applyFont="1" applyFill="1" applyBorder="1" applyAlignment="1">
      <alignment horizontal="center"/>
    </xf>
    <xf numFmtId="0" fontId="1" fillId="2" borderId="1" xfId="0" applyFont="1" applyFill="1" applyBorder="1" applyAlignment="1">
      <alignment horizontal="center"/>
    </xf>
    <xf numFmtId="0" fontId="1" fillId="2" borderId="6" xfId="0" applyFont="1" applyFill="1" applyBorder="1" applyAlignment="1">
      <alignment horizontal="center"/>
    </xf>
    <xf numFmtId="0" fontId="1" fillId="2" borderId="13" xfId="0" applyFont="1" applyFill="1" applyBorder="1" applyAlignment="1">
      <alignment horizontal="center"/>
    </xf>
    <xf numFmtId="0" fontId="1" fillId="2" borderId="3" xfId="0" applyFont="1" applyFill="1" applyBorder="1" applyAlignment="1">
      <alignment horizontal="center" vertical="center"/>
    </xf>
    <xf numFmtId="0" fontId="1" fillId="2" borderId="0" xfId="0" applyFont="1" applyFill="1" applyBorder="1"/>
    <xf numFmtId="0" fontId="1" fillId="2" borderId="24" xfId="0" applyFont="1" applyFill="1" applyBorder="1"/>
    <xf numFmtId="0" fontId="1" fillId="2" borderId="25" xfId="0" applyFont="1" applyFill="1" applyBorder="1"/>
    <xf numFmtId="0" fontId="7" fillId="2" borderId="26" xfId="0" applyFont="1" applyFill="1" applyBorder="1" applyAlignment="1">
      <alignment horizontal="center" wrapText="1"/>
    </xf>
    <xf numFmtId="0" fontId="7" fillId="2" borderId="0" xfId="0" applyFont="1" applyFill="1" applyBorder="1" applyAlignment="1">
      <alignment horizontal="center" vertical="center"/>
    </xf>
    <xf numFmtId="0" fontId="7" fillId="2" borderId="24" xfId="0" applyFont="1" applyFill="1" applyBorder="1" applyAlignment="1">
      <alignment horizontal="center" vertical="center"/>
    </xf>
    <xf numFmtId="0" fontId="9" fillId="2" borderId="26" xfId="0" applyFont="1" applyFill="1" applyBorder="1" applyAlignment="1">
      <alignment horizontal="center" vertical="center"/>
    </xf>
    <xf numFmtId="0" fontId="9" fillId="2" borderId="0" xfId="0" applyFont="1" applyFill="1" applyBorder="1" applyAlignment="1">
      <alignment horizontal="center" vertical="center"/>
    </xf>
    <xf numFmtId="0" fontId="9" fillId="2" borderId="25" xfId="0" applyFont="1" applyFill="1" applyBorder="1"/>
    <xf numFmtId="0" fontId="9" fillId="2" borderId="24" xfId="0" applyFont="1" applyFill="1" applyBorder="1"/>
    <xf numFmtId="0" fontId="9" fillId="2" borderId="0" xfId="0" applyFont="1" applyFill="1" applyBorder="1" applyAlignment="1">
      <alignment horizontal="center" vertical="center" wrapText="1"/>
    </xf>
    <xf numFmtId="0" fontId="1" fillId="2" borderId="0" xfId="0" applyFont="1" applyFill="1" applyBorder="1" applyAlignment="1">
      <alignment horizontal="center" wrapText="1"/>
    </xf>
    <xf numFmtId="0" fontId="3" fillId="2" borderId="25" xfId="0" applyFont="1" applyFill="1" applyBorder="1" applyAlignment="1">
      <alignment horizontal="center" vertical="center"/>
    </xf>
    <xf numFmtId="2" fontId="1" fillId="2" borderId="25" xfId="0" applyNumberFormat="1" applyFont="1" applyFill="1" applyBorder="1" applyAlignment="1">
      <alignment horizontal="center" vertical="center"/>
    </xf>
    <xf numFmtId="0" fontId="3" fillId="2" borderId="24" xfId="0" applyFont="1" applyFill="1" applyBorder="1" applyAlignment="1">
      <alignment horizontal="center" vertical="center"/>
    </xf>
    <xf numFmtId="165" fontId="1" fillId="2" borderId="24" xfId="0" applyNumberFormat="1" applyFont="1" applyFill="1" applyBorder="1" applyAlignment="1">
      <alignment horizontal="center" vertical="center"/>
    </xf>
    <xf numFmtId="0" fontId="3" fillId="2" borderId="26" xfId="0" applyFont="1" applyFill="1" applyBorder="1" applyAlignment="1">
      <alignment horizontal="center" vertical="center"/>
    </xf>
    <xf numFmtId="165" fontId="1" fillId="2" borderId="26" xfId="0" applyNumberFormat="1" applyFont="1" applyFill="1" applyBorder="1" applyAlignment="1">
      <alignment horizontal="center" vertical="center"/>
    </xf>
    <xf numFmtId="167" fontId="1" fillId="2" borderId="24" xfId="0" applyNumberFormat="1" applyFont="1" applyFill="1" applyBorder="1"/>
    <xf numFmtId="167" fontId="1" fillId="2" borderId="26" xfId="0" applyNumberFormat="1" applyFont="1" applyFill="1" applyBorder="1"/>
    <xf numFmtId="165" fontId="1" fillId="2" borderId="0" xfId="0" applyNumberFormat="1" applyFont="1" applyFill="1" applyBorder="1" applyAlignment="1">
      <alignment horizontal="center"/>
    </xf>
    <xf numFmtId="165" fontId="1" fillId="2" borderId="24" xfId="0" applyNumberFormat="1" applyFont="1" applyFill="1" applyBorder="1" applyAlignment="1">
      <alignment horizontal="center"/>
    </xf>
    <xf numFmtId="165" fontId="1" fillId="2" borderId="25" xfId="0" applyNumberFormat="1" applyFont="1" applyFill="1" applyBorder="1" applyAlignment="1">
      <alignment horizontal="center"/>
    </xf>
    <xf numFmtId="0" fontId="1" fillId="2" borderId="26" xfId="0" applyFont="1" applyFill="1" applyBorder="1" applyAlignment="1">
      <alignment vertical="center" wrapText="1"/>
    </xf>
    <xf numFmtId="2" fontId="9" fillId="2" borderId="0" xfId="0" applyNumberFormat="1" applyFont="1" applyFill="1" applyBorder="1" applyAlignment="1">
      <alignment horizontal="center" vertical="center"/>
    </xf>
    <xf numFmtId="166" fontId="9" fillId="2" borderId="0" xfId="0" applyNumberFormat="1" applyFont="1" applyFill="1" applyBorder="1" applyAlignment="1">
      <alignment horizontal="center" vertical="center"/>
    </xf>
    <xf numFmtId="2" fontId="9" fillId="2" borderId="25" xfId="0" applyNumberFormat="1" applyFont="1" applyFill="1" applyBorder="1"/>
    <xf numFmtId="2" fontId="9" fillId="2" borderId="24" xfId="0" applyNumberFormat="1" applyFont="1" applyFill="1" applyBorder="1"/>
    <xf numFmtId="0" fontId="12" fillId="2" borderId="26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/>
    </xf>
    <xf numFmtId="2" fontId="12" fillId="2" borderId="0" xfId="0" applyNumberFormat="1" applyFont="1" applyFill="1" applyBorder="1" applyAlignment="1">
      <alignment horizontal="center" vertical="center"/>
    </xf>
    <xf numFmtId="166" fontId="12" fillId="2" borderId="0" xfId="0" applyNumberFormat="1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horizontal="center" vertical="center" wrapText="1"/>
    </xf>
    <xf numFmtId="2" fontId="12" fillId="2" borderId="25" xfId="0" applyNumberFormat="1" applyFont="1" applyFill="1" applyBorder="1"/>
    <xf numFmtId="0" fontId="12" fillId="2" borderId="25" xfId="0" applyFont="1" applyFill="1" applyBorder="1"/>
    <xf numFmtId="2" fontId="12" fillId="2" borderId="24" xfId="0" applyNumberFormat="1" applyFont="1" applyFill="1" applyBorder="1"/>
    <xf numFmtId="0" fontId="12" fillId="2" borderId="24" xfId="0" applyFont="1" applyFill="1" applyBorder="1"/>
    <xf numFmtId="0" fontId="11" fillId="2" borderId="26" xfId="0" applyFont="1" applyFill="1" applyBorder="1" applyAlignment="1">
      <alignment horizontal="center" vertical="center" wrapText="1"/>
    </xf>
    <xf numFmtId="0" fontId="12" fillId="2" borderId="26" xfId="0" applyFont="1" applyFill="1" applyBorder="1" applyAlignment="1">
      <alignment horizontal="center" wrapText="1"/>
    </xf>
    <xf numFmtId="0" fontId="12" fillId="2" borderId="24" xfId="0" applyFont="1" applyFill="1" applyBorder="1" applyAlignment="1">
      <alignment horizontal="center" vertical="center"/>
    </xf>
    <xf numFmtId="2" fontId="12" fillId="2" borderId="24" xfId="0" applyNumberFormat="1" applyFont="1" applyFill="1" applyBorder="1" applyAlignment="1">
      <alignment horizontal="center" vertical="center"/>
    </xf>
    <xf numFmtId="0" fontId="12" fillId="2" borderId="25" xfId="0" applyFont="1" applyFill="1" applyBorder="1" applyAlignment="1">
      <alignment horizontal="center" vertical="center" wrapText="1"/>
    </xf>
    <xf numFmtId="0" fontId="12" fillId="2" borderId="25" xfId="0" applyFont="1" applyFill="1" applyBorder="1" applyAlignment="1">
      <alignment horizontal="center"/>
    </xf>
    <xf numFmtId="2" fontId="12" fillId="2" borderId="25" xfId="0" applyNumberFormat="1" applyFont="1" applyFill="1" applyBorder="1" applyAlignment="1">
      <alignment horizontal="center"/>
    </xf>
    <xf numFmtId="0" fontId="12" fillId="2" borderId="0" xfId="0" applyFont="1" applyFill="1" applyBorder="1"/>
    <xf numFmtId="0" fontId="12" fillId="2" borderId="0" xfId="0" applyFont="1" applyFill="1" applyBorder="1" applyAlignment="1">
      <alignment horizontal="center"/>
    </xf>
    <xf numFmtId="2" fontId="12" fillId="2" borderId="0" xfId="0" applyNumberFormat="1" applyFont="1" applyFill="1" applyBorder="1" applyAlignment="1">
      <alignment horizontal="center"/>
    </xf>
    <xf numFmtId="0" fontId="12" fillId="2" borderId="26" xfId="0" applyFont="1" applyFill="1" applyBorder="1" applyAlignment="1">
      <alignment wrapText="1"/>
    </xf>
    <xf numFmtId="2" fontId="12" fillId="2" borderId="26" xfId="0" applyNumberFormat="1" applyFont="1" applyFill="1" applyBorder="1" applyAlignment="1">
      <alignment horizontal="center" vertical="center"/>
    </xf>
    <xf numFmtId="0" fontId="12" fillId="2" borderId="26" xfId="0" applyFont="1" applyFill="1" applyBorder="1"/>
    <xf numFmtId="2" fontId="12" fillId="2" borderId="26" xfId="0" applyNumberFormat="1" applyFont="1" applyFill="1" applyBorder="1" applyAlignment="1">
      <alignment horizontal="center"/>
    </xf>
    <xf numFmtId="0" fontId="12" fillId="2" borderId="24" xfId="0" applyFont="1" applyFill="1" applyBorder="1" applyAlignment="1">
      <alignment wrapText="1"/>
    </xf>
    <xf numFmtId="2" fontId="12" fillId="2" borderId="24" xfId="0" applyNumberFormat="1" applyFont="1" applyFill="1" applyBorder="1" applyAlignment="1">
      <alignment horizontal="center"/>
    </xf>
    <xf numFmtId="0" fontId="1" fillId="2" borderId="24" xfId="0" applyFont="1" applyFill="1" applyBorder="1" applyAlignment="1">
      <alignment horizontal="center" vertical="center" wrapText="1"/>
    </xf>
    <xf numFmtId="165" fontId="1" fillId="2" borderId="24" xfId="0" applyNumberFormat="1" applyFont="1" applyFill="1" applyBorder="1"/>
    <xf numFmtId="0" fontId="1" fillId="2" borderId="28" xfId="0" applyFont="1" applyFill="1" applyBorder="1" applyAlignment="1">
      <alignment horizontal="center" vertical="center"/>
    </xf>
    <xf numFmtId="0" fontId="1" fillId="2" borderId="28" xfId="0" applyFont="1" applyFill="1" applyBorder="1" applyAlignment="1">
      <alignment horizontal="center" vertical="center" wrapText="1"/>
    </xf>
    <xf numFmtId="14" fontId="1" fillId="2" borderId="28" xfId="0" applyNumberFormat="1" applyFont="1" applyFill="1" applyBorder="1" applyAlignment="1">
      <alignment horizontal="center"/>
    </xf>
    <xf numFmtId="20" fontId="1" fillId="2" borderId="28" xfId="0" applyNumberFormat="1" applyFont="1" applyFill="1" applyBorder="1" applyAlignment="1">
      <alignment horizontal="center"/>
    </xf>
    <xf numFmtId="0" fontId="1" fillId="2" borderId="0" xfId="0" applyFont="1" applyFill="1" applyBorder="1" applyAlignment="1">
      <alignment horizontal="center" vertical="center"/>
    </xf>
    <xf numFmtId="0" fontId="1" fillId="2" borderId="24" xfId="0" applyFont="1" applyFill="1" applyBorder="1" applyAlignment="1">
      <alignment horizontal="center" vertical="center"/>
    </xf>
    <xf numFmtId="0" fontId="1" fillId="2" borderId="25" xfId="0" applyFont="1" applyFill="1" applyBorder="1" applyAlignment="1">
      <alignment horizontal="center"/>
    </xf>
    <xf numFmtId="0" fontId="1" fillId="2" borderId="0" xfId="0" applyFont="1" applyFill="1" applyAlignment="1">
      <alignment horizontal="center"/>
    </xf>
    <xf numFmtId="0" fontId="1" fillId="2" borderId="26" xfId="0" applyFont="1" applyFill="1" applyBorder="1" applyAlignment="1">
      <alignment horizontal="center" wrapText="1"/>
    </xf>
    <xf numFmtId="0" fontId="1" fillId="2" borderId="25" xfId="0" applyFont="1" applyFill="1" applyBorder="1" applyAlignment="1">
      <alignment horizontal="center" wrapText="1"/>
    </xf>
    <xf numFmtId="0" fontId="1" fillId="2" borderId="26" xfId="0" applyFont="1" applyFill="1" applyBorder="1" applyAlignment="1">
      <alignment horizontal="center"/>
    </xf>
    <xf numFmtId="0" fontId="1" fillId="2" borderId="24" xfId="0" applyFont="1" applyFill="1" applyBorder="1" applyAlignment="1">
      <alignment horizontal="center"/>
    </xf>
    <xf numFmtId="0" fontId="12" fillId="2" borderId="24" xfId="0" applyFont="1" applyFill="1" applyBorder="1" applyAlignment="1">
      <alignment horizontal="center"/>
    </xf>
    <xf numFmtId="0" fontId="1" fillId="2" borderId="28" xfId="0" applyFont="1" applyFill="1" applyBorder="1" applyAlignment="1">
      <alignment horizontal="center"/>
    </xf>
    <xf numFmtId="0" fontId="1" fillId="2" borderId="26" xfId="0" applyFont="1" applyFill="1" applyBorder="1" applyAlignment="1">
      <alignment horizontal="center" vertical="center"/>
    </xf>
    <xf numFmtId="0" fontId="1" fillId="2" borderId="26" xfId="0" applyFont="1" applyFill="1" applyBorder="1" applyAlignment="1">
      <alignment horizontal="center" vertical="center" wrapText="1"/>
    </xf>
    <xf numFmtId="0" fontId="1" fillId="2" borderId="22" xfId="0" applyFont="1" applyFill="1" applyBorder="1" applyAlignment="1">
      <alignment horizontal="center"/>
    </xf>
    <xf numFmtId="0" fontId="1" fillId="2" borderId="0" xfId="0" applyFont="1" applyFill="1" applyAlignment="1">
      <alignment horizontal="center"/>
    </xf>
    <xf numFmtId="0" fontId="1" fillId="2" borderId="25" xfId="0" applyFont="1" applyFill="1" applyBorder="1" applyAlignment="1">
      <alignment horizontal="center" vertical="center"/>
    </xf>
    <xf numFmtId="0" fontId="1" fillId="2" borderId="0" xfId="0" applyFont="1" applyFill="1" applyBorder="1" applyAlignment="1">
      <alignment horizontal="center" vertical="center"/>
    </xf>
    <xf numFmtId="0" fontId="1" fillId="2" borderId="24" xfId="0" applyFont="1" applyFill="1" applyBorder="1" applyAlignment="1">
      <alignment horizontal="center" vertical="center"/>
    </xf>
    <xf numFmtId="0" fontId="1" fillId="2" borderId="25" xfId="0" applyFont="1" applyFill="1" applyBorder="1" applyAlignment="1">
      <alignment horizontal="center"/>
    </xf>
    <xf numFmtId="0" fontId="1" fillId="2" borderId="26" xfId="0" applyFont="1" applyFill="1" applyBorder="1" applyAlignment="1">
      <alignment horizontal="center" wrapText="1"/>
    </xf>
    <xf numFmtId="0" fontId="1" fillId="2" borderId="25" xfId="0" applyFont="1" applyFill="1" applyBorder="1" applyAlignment="1">
      <alignment horizontal="center" wrapText="1"/>
    </xf>
    <xf numFmtId="0" fontId="1" fillId="2" borderId="26" xfId="0" applyFont="1" applyFill="1" applyBorder="1" applyAlignment="1">
      <alignment horizontal="center"/>
    </xf>
    <xf numFmtId="0" fontId="1" fillId="2" borderId="23" xfId="0" applyFont="1" applyFill="1" applyBorder="1" applyAlignment="1">
      <alignment horizontal="center"/>
    </xf>
    <xf numFmtId="0" fontId="1" fillId="3" borderId="16" xfId="0" applyFont="1" applyFill="1" applyBorder="1" applyAlignment="1">
      <alignment horizontal="center" vertical="center"/>
    </xf>
    <xf numFmtId="0" fontId="1" fillId="3" borderId="17" xfId="0" applyFont="1" applyFill="1" applyBorder="1" applyAlignment="1">
      <alignment horizontal="center" vertical="center"/>
    </xf>
    <xf numFmtId="0" fontId="1" fillId="3" borderId="18" xfId="0" applyFont="1" applyFill="1" applyBorder="1" applyAlignment="1">
      <alignment horizontal="center" vertical="center"/>
    </xf>
    <xf numFmtId="0" fontId="1" fillId="3" borderId="19" xfId="0" applyFont="1" applyFill="1" applyBorder="1" applyAlignment="1">
      <alignment horizontal="center" vertical="center"/>
    </xf>
    <xf numFmtId="0" fontId="1" fillId="3" borderId="20" xfId="0" applyFont="1" applyFill="1" applyBorder="1" applyAlignment="1">
      <alignment horizontal="center" vertical="center"/>
    </xf>
    <xf numFmtId="0" fontId="1" fillId="3" borderId="21" xfId="0" applyFont="1" applyFill="1" applyBorder="1" applyAlignment="1">
      <alignment horizontal="center" vertical="center"/>
    </xf>
    <xf numFmtId="0" fontId="1" fillId="2" borderId="9" xfId="0" applyFont="1" applyFill="1" applyBorder="1" applyAlignment="1">
      <alignment horizontal="center"/>
    </xf>
    <xf numFmtId="0" fontId="1" fillId="2" borderId="10" xfId="0" applyFont="1" applyFill="1" applyBorder="1" applyAlignment="1">
      <alignment horizontal="center"/>
    </xf>
    <xf numFmtId="0" fontId="1" fillId="2" borderId="11" xfId="0" applyFont="1" applyFill="1" applyBorder="1" applyAlignment="1">
      <alignment horizontal="center"/>
    </xf>
    <xf numFmtId="0" fontId="12" fillId="2" borderId="26" xfId="0" applyFont="1" applyFill="1" applyBorder="1" applyAlignment="1">
      <alignment horizontal="center"/>
    </xf>
    <xf numFmtId="0" fontId="12" fillId="2" borderId="25" xfId="0" applyFont="1" applyFill="1" applyBorder="1" applyAlignment="1">
      <alignment horizontal="left" wrapText="1"/>
    </xf>
    <xf numFmtId="0" fontId="12" fillId="2" borderId="24" xfId="0" applyFont="1" applyFill="1" applyBorder="1" applyAlignment="1">
      <alignment horizontal="center" wrapText="1"/>
    </xf>
    <xf numFmtId="0" fontId="12" fillId="2" borderId="26" xfId="0" applyFont="1" applyFill="1" applyBorder="1" applyAlignment="1">
      <alignment horizontal="center" vertical="center" wrapText="1"/>
    </xf>
    <xf numFmtId="0" fontId="12" fillId="2" borderId="0" xfId="0" applyFont="1" applyFill="1" applyBorder="1" applyAlignment="1">
      <alignment horizontal="center" wrapText="1"/>
    </xf>
    <xf numFmtId="0" fontId="1" fillId="2" borderId="24" xfId="0" applyFont="1" applyFill="1" applyBorder="1" applyAlignment="1">
      <alignment horizontal="center"/>
    </xf>
    <xf numFmtId="0" fontId="12" fillId="2" borderId="24" xfId="0" applyFont="1" applyFill="1" applyBorder="1" applyAlignment="1">
      <alignment horizontal="center"/>
    </xf>
    <xf numFmtId="0" fontId="11" fillId="2" borderId="25" xfId="0" applyFont="1" applyFill="1" applyBorder="1" applyAlignment="1">
      <alignment horizontal="center"/>
    </xf>
    <xf numFmtId="0" fontId="9" fillId="2" borderId="24" xfId="0" applyFont="1" applyFill="1" applyBorder="1" applyAlignment="1">
      <alignment horizontal="left"/>
    </xf>
    <xf numFmtId="0" fontId="9" fillId="2" borderId="25" xfId="0" applyFont="1" applyFill="1" applyBorder="1" applyAlignment="1">
      <alignment horizontal="left" wrapText="1"/>
    </xf>
    <xf numFmtId="0" fontId="10" fillId="2" borderId="25" xfId="0" applyFont="1" applyFill="1" applyBorder="1" applyAlignment="1">
      <alignment horizontal="center" wrapText="1"/>
    </xf>
    <xf numFmtId="0" fontId="10" fillId="2" borderId="24" xfId="0" applyFont="1" applyFill="1" applyBorder="1" applyAlignment="1">
      <alignment horizontal="center" wrapText="1"/>
    </xf>
    <xf numFmtId="0" fontId="12" fillId="2" borderId="25" xfId="0" applyFont="1" applyFill="1" applyBorder="1" applyAlignment="1">
      <alignment horizontal="center" wrapText="1"/>
    </xf>
    <xf numFmtId="0" fontId="1" fillId="2" borderId="28" xfId="0" applyFont="1" applyFill="1" applyBorder="1" applyAlignment="1">
      <alignment horizontal="center"/>
    </xf>
    <xf numFmtId="0" fontId="1" fillId="2" borderId="26" xfId="0" applyFont="1" applyFill="1" applyBorder="1" applyAlignment="1">
      <alignment horizontal="center" vertical="center"/>
    </xf>
    <xf numFmtId="0" fontId="1" fillId="2" borderId="26" xfId="0" applyFont="1" applyFill="1" applyBorder="1" applyAlignment="1">
      <alignment horizontal="center" vertical="center" wrapText="1"/>
    </xf>
    <xf numFmtId="0" fontId="1" fillId="4" borderId="9" xfId="0" applyFont="1" applyFill="1" applyBorder="1" applyAlignment="1">
      <alignment horizontal="center"/>
    </xf>
    <xf numFmtId="0" fontId="1" fillId="4" borderId="10" xfId="0" applyFont="1" applyFill="1" applyBorder="1" applyAlignment="1">
      <alignment horizontal="center"/>
    </xf>
    <xf numFmtId="0" fontId="1" fillId="4" borderId="11" xfId="0" applyFont="1" applyFill="1" applyBorder="1" applyAlignment="1">
      <alignment horizont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_rels/chart2.xml.rels><?xml version="1.0" encoding="UTF-8" standalone="yes"?>
<Relationships xmlns="http://schemas.openxmlformats.org/package/2006/relationships"><Relationship Id="rId2" Type="http://schemas.microsoft.com/office/2011/relationships/chartColorStyle" Target="colors2.xml"/><Relationship Id="rId1" Type="http://schemas.microsoft.com/office/2011/relationships/chartStyle" Target="style2.xml"/></Relationships>
</file>

<file path=xl/charts/_rels/chart3.xml.rels><?xml version="1.0" encoding="UTF-8" standalone="yes"?>
<Relationships xmlns="http://schemas.openxmlformats.org/package/2006/relationships"><Relationship Id="rId2" Type="http://schemas.microsoft.com/office/2011/relationships/chartColorStyle" Target="colors3.xml"/><Relationship Id="rId1" Type="http://schemas.microsoft.com/office/2011/relationships/chartStyle" Target="style3.xml"/></Relationships>
</file>

<file path=xl/charts/_rels/chart4.xml.rels><?xml version="1.0" encoding="UTF-8" standalone="yes"?>
<Relationships xmlns="http://schemas.openxmlformats.org/package/2006/relationships"><Relationship Id="rId2" Type="http://schemas.microsoft.com/office/2011/relationships/chartColorStyle" Target="colors4.xml"/><Relationship Id="rId1" Type="http://schemas.microsoft.com/office/2011/relationships/chartStyle" Target="style4.xml"/></Relationships>
</file>

<file path=xl/charts/_rels/chart5.xml.rels><?xml version="1.0" encoding="UTF-8" standalone="yes"?>
<Relationships xmlns="http://schemas.openxmlformats.org/package/2006/relationships"><Relationship Id="rId2" Type="http://schemas.microsoft.com/office/2011/relationships/chartColorStyle" Target="colors5.xml"/><Relationship Id="rId1" Type="http://schemas.microsoft.com/office/2011/relationships/chartStyle" Target="style5.xml"/></Relationships>
</file>

<file path=xl/charts/_rels/chart6.xml.rels><?xml version="1.0" encoding="UTF-8" standalone="yes"?>
<Relationships xmlns="http://schemas.openxmlformats.org/package/2006/relationships"><Relationship Id="rId2" Type="http://schemas.microsoft.com/office/2011/relationships/chartColorStyle" Target="colors6.xml"/><Relationship Id="rId1" Type="http://schemas.microsoft.com/office/2011/relationships/chartStyle" Target="style6.xml"/></Relationships>
</file>

<file path=xl/charts/_rels/chart7.xml.rels><?xml version="1.0" encoding="UTF-8" standalone="yes"?>
<Relationships xmlns="http://schemas.openxmlformats.org/package/2006/relationships"><Relationship Id="rId2" Type="http://schemas.microsoft.com/office/2011/relationships/chartColorStyle" Target="colors7.xml"/><Relationship Id="rId1" Type="http://schemas.microsoft.com/office/2011/relationships/chartStyle" Target="style7.xml"/></Relationships>
</file>

<file path=xl/charts/_rels/chart8.xml.rels><?xml version="1.0" encoding="UTF-8" standalone="yes"?>
<Relationships xmlns="http://schemas.openxmlformats.org/package/2006/relationships"><Relationship Id="rId2" Type="http://schemas.microsoft.com/office/2011/relationships/chartColorStyle" Target="colors8.xml"/><Relationship Id="rId1" Type="http://schemas.microsoft.com/office/2011/relationships/chartStyle" Target="style8.xml"/></Relationships>
</file>

<file path=xl/charts/_rels/chart9.xml.rels><?xml version="1.0" encoding="UTF-8" standalone="yes"?>
<Relationships xmlns="http://schemas.openxmlformats.org/package/2006/relationships"><Relationship Id="rId2" Type="http://schemas.microsoft.com/office/2011/relationships/chartColorStyle" Target="colors9.xml"/><Relationship Id="rId1" Type="http://schemas.microsoft.com/office/2011/relationships/chartStyle" Target="style9.xml"/></Relationships>
</file>

<file path=xl/charts/_rels/chart10.xml.rels><?xml version="1.0" encoding="UTF-8" standalone="yes"?>
<Relationships xmlns="http://schemas.openxmlformats.org/package/2006/relationships"><Relationship Id="rId2" Type="http://schemas.microsoft.com/office/2011/relationships/chartColorStyle" Target="colors10.xml"/><Relationship Id="rId1" Type="http://schemas.microsoft.com/office/2011/relationships/chartStyle" Target="style10.xml"/></Relationships>
</file>

<file path=xl/charts/_rels/chart11.xml.rels><?xml version="1.0" encoding="UTF-8" standalone="yes"?>
<Relationships xmlns="http://schemas.openxmlformats.org/package/2006/relationships"><Relationship Id="rId2" Type="http://schemas.microsoft.com/office/2011/relationships/chartColorStyle" Target="colors11.xml"/><Relationship Id="rId1" Type="http://schemas.microsoft.com/office/2011/relationships/chartStyle" Target="style11.xml"/></Relationships>
</file>

<file path=xl/charts/_rels/chart12.xml.rels><?xml version="1.0" encoding="UTF-8" standalone="yes"?>
<Relationships xmlns="http://schemas.openxmlformats.org/package/2006/relationships"><Relationship Id="rId2" Type="http://schemas.microsoft.com/office/2011/relationships/chartColorStyle" Target="colors12.xml"/><Relationship Id="rId1" Type="http://schemas.microsoft.com/office/2011/relationships/chartStyle" Target="style12.xml"/></Relationships>
</file>

<file path=xl/charts/_rels/chart13.xml.rels><?xml version="1.0" encoding="UTF-8" standalone="yes"?>
<Relationships xmlns="http://schemas.openxmlformats.org/package/2006/relationships"><Relationship Id="rId2" Type="http://schemas.microsoft.com/office/2011/relationships/chartColorStyle" Target="colors13.xml"/><Relationship Id="rId1" Type="http://schemas.microsoft.com/office/2011/relationships/chartStyle" Target="style13.xml"/></Relationships>
</file>

<file path=xl/charts/_rels/chart14.xml.rels><?xml version="1.0" encoding="UTF-8" standalone="yes"?>
<Relationships xmlns="http://schemas.openxmlformats.org/package/2006/relationships"><Relationship Id="rId2" Type="http://schemas.microsoft.com/office/2011/relationships/chartColorStyle" Target="colors14.xml"/><Relationship Id="rId1" Type="http://schemas.microsoft.com/office/2011/relationships/chartStyle" Target="style14.xml"/></Relationships>
</file>

<file path=xl/charts/_rels/chart15.xml.rels><?xml version="1.0" encoding="UTF-8" standalone="yes"?>
<Relationships xmlns="http://schemas.openxmlformats.org/package/2006/relationships"><Relationship Id="rId2" Type="http://schemas.microsoft.com/office/2011/relationships/chartColorStyle" Target="colors15.xml"/><Relationship Id="rId1" Type="http://schemas.microsoft.com/office/2011/relationships/chartStyle" Target="style15.xml"/></Relationships>
</file>

<file path=xl/charts/_rels/chart16.xml.rels><?xml version="1.0" encoding="UTF-8" standalone="yes"?>
<Relationships xmlns="http://schemas.openxmlformats.org/package/2006/relationships"><Relationship Id="rId2" Type="http://schemas.microsoft.com/office/2011/relationships/chartColorStyle" Target="colors16.xml"/><Relationship Id="rId1" Type="http://schemas.microsoft.com/office/2011/relationships/chartStyle" Target="style16.xml"/></Relationships>
</file>

<file path=xl/charts/_rels/chart17.xml.rels><?xml version="1.0" encoding="UTF-8" standalone="yes"?>
<Relationships xmlns="http://schemas.openxmlformats.org/package/2006/relationships"><Relationship Id="rId2" Type="http://schemas.microsoft.com/office/2011/relationships/chartColorStyle" Target="colors17.xml"/><Relationship Id="rId1" Type="http://schemas.microsoft.com/office/2011/relationships/chartStyle" Target="style17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1"/>
    </mc:Choice>
    <mc:Fallback>
      <c:style val="1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v>Curva de Fluidez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dk1">
                    <a:tint val="88500"/>
                  </a:schemeClr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dk1">
                    <a:tint val="88500"/>
                  </a:schemeClr>
                </a:solidFill>
                <a:prstDash val="sysDot"/>
              </a:ln>
              <a:effectLst/>
            </c:spPr>
            <c:trendlineType val="power"/>
            <c:dispRSqr val="1"/>
            <c:dispEq val="1"/>
            <c:trendlineLbl>
              <c:layout>
                <c:manualLayout>
                  <c:x val="0.29840808896102472"/>
                  <c:y val="-0.40196771664155523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Times New Roman" panose="02020603050405020304" pitchFamily="18" charset="0"/>
                      <a:ea typeface="+mn-ea"/>
                      <a:cs typeface="Times New Roman" panose="02020603050405020304" pitchFamily="18" charset="0"/>
                    </a:defRPr>
                  </a:pPr>
                  <a:endParaRPr lang="es-419"/>
                </a:p>
              </c:txPr>
            </c:trendlineLbl>
          </c:trendline>
          <c:xVal>
            <c:numRef>
              <c:f>CARACTERIZACIÓN!$D$32:$D$34</c:f>
              <c:numCache>
                <c:formatCode>General</c:formatCode>
                <c:ptCount val="3"/>
                <c:pt idx="0">
                  <c:v>15</c:v>
                </c:pt>
                <c:pt idx="1">
                  <c:v>23</c:v>
                </c:pt>
                <c:pt idx="2">
                  <c:v>35</c:v>
                </c:pt>
              </c:numCache>
            </c:numRef>
          </c:xVal>
          <c:yVal>
            <c:numRef>
              <c:f>CARACTERIZACIÓN!$G$32:$G$34</c:f>
              <c:numCache>
                <c:formatCode>0.00</c:formatCode>
                <c:ptCount val="3"/>
                <c:pt idx="0">
                  <c:v>82.317073170731689</c:v>
                </c:pt>
                <c:pt idx="1">
                  <c:v>69.230769230769212</c:v>
                </c:pt>
                <c:pt idx="2">
                  <c:v>65.384615384615387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8F2D-41AD-85B0-0B9634F1CFA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789377135"/>
        <c:axId val="789387695"/>
      </c:scatterChart>
      <c:valAx>
        <c:axId val="789377135"/>
        <c:scaling>
          <c:logBase val="10"/>
          <c:orientation val="minMax"/>
          <c:min val="1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# Golpes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789387695"/>
        <c:crosses val="autoZero"/>
        <c:crossBetween val="midCat"/>
      </c:valAx>
      <c:valAx>
        <c:axId val="789387695"/>
        <c:scaling>
          <c:orientation val="minMax"/>
          <c:min val="63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Contenido de agua (%)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789377135"/>
        <c:crosses val="autoZero"/>
        <c:crossBetween val="midCat"/>
        <c:majorUnit val="5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1"/>
    </mc:Choice>
    <mc:Fallback>
      <c:style val="1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v>Curva de Fluidez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dk1">
                    <a:tint val="88500"/>
                  </a:schemeClr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dk1">
                    <a:tint val="88500"/>
                  </a:schemeClr>
                </a:solidFill>
                <a:prstDash val="sysDot"/>
              </a:ln>
              <a:effectLst/>
            </c:spPr>
            <c:trendlineType val="power"/>
            <c:dispRSqr val="1"/>
            <c:dispEq val="1"/>
            <c:trendlineLbl>
              <c:layout>
                <c:manualLayout>
                  <c:x val="0.31399606299212596"/>
                  <c:y val="-0.22098571011956838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Times New Roman" panose="02020603050405020304" pitchFamily="18" charset="0"/>
                      <a:ea typeface="+mn-ea"/>
                      <a:cs typeface="Times New Roman" panose="02020603050405020304" pitchFamily="18" charset="0"/>
                    </a:defRPr>
                  </a:pPr>
                  <a:endParaRPr lang="es-419"/>
                </a:p>
              </c:txPr>
            </c:trendlineLbl>
          </c:trendline>
          <c:xVal>
            <c:numRef>
              <c:f>CARACTERIZACIÓN!$D$48:$D$50</c:f>
              <c:numCache>
                <c:formatCode>General</c:formatCode>
                <c:ptCount val="3"/>
                <c:pt idx="0">
                  <c:v>16</c:v>
                </c:pt>
                <c:pt idx="1">
                  <c:v>27</c:v>
                </c:pt>
                <c:pt idx="2">
                  <c:v>35</c:v>
                </c:pt>
              </c:numCache>
            </c:numRef>
          </c:xVal>
          <c:yVal>
            <c:numRef>
              <c:f>CARACTERIZACIÓN!$G$48:$G$50</c:f>
              <c:numCache>
                <c:formatCode>0.00</c:formatCode>
                <c:ptCount val="3"/>
                <c:pt idx="0">
                  <c:v>75.187969924812023</c:v>
                </c:pt>
                <c:pt idx="1">
                  <c:v>72.65625</c:v>
                </c:pt>
                <c:pt idx="2">
                  <c:v>70.629370629370641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75B-424D-A2B3-C94F0338441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885447423"/>
        <c:axId val="885446463"/>
      </c:scatterChart>
      <c:valAx>
        <c:axId val="885447423"/>
        <c:scaling>
          <c:logBase val="10"/>
          <c:orientation val="minMax"/>
          <c:min val="1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# Golpes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885446463"/>
        <c:crosses val="autoZero"/>
        <c:crossBetween val="midCat"/>
      </c:valAx>
      <c:valAx>
        <c:axId val="885446463"/>
        <c:scaling>
          <c:orientation val="minMax"/>
          <c:max val="78"/>
          <c:min val="7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Contenido de agua (%)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885447423"/>
        <c:crosses val="autoZero"/>
        <c:crossBetween val="midCat"/>
        <c:majorUnit val="1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1"/>
    </mc:Choice>
    <mc:Fallback>
      <c:style val="1"/>
    </mc:Fallback>
  </mc:AlternateContent>
  <c:chart>
    <c:title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v>Curva de Fluidez</c:v>
          </c:tx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dk1">
                    <a:tint val="88500"/>
                  </a:schemeClr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dk1">
                    <a:tint val="88500"/>
                  </a:schemeClr>
                </a:solidFill>
                <a:prstDash val="sysDot"/>
              </a:ln>
              <a:effectLst/>
            </c:spPr>
            <c:trendlineType val="power"/>
            <c:dispRSqr val="1"/>
            <c:dispEq val="1"/>
            <c:trendlineLbl>
              <c:layout>
                <c:manualLayout>
                  <c:x val="0.31399606299212596"/>
                  <c:y val="-8.2233887430737826E-2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Times New Roman" panose="02020603050405020304" pitchFamily="18" charset="0"/>
                      <a:ea typeface="+mn-ea"/>
                      <a:cs typeface="Times New Roman" panose="02020603050405020304" pitchFamily="18" charset="0"/>
                    </a:defRPr>
                  </a:pPr>
                  <a:endParaRPr lang="es-419"/>
                </a:p>
              </c:txPr>
            </c:trendlineLbl>
          </c:trendline>
          <c:xVal>
            <c:numRef>
              <c:f>CARACTERIZACIÓN!$D$64:$D$66</c:f>
              <c:numCache>
                <c:formatCode>General</c:formatCode>
                <c:ptCount val="3"/>
                <c:pt idx="0">
                  <c:v>16</c:v>
                </c:pt>
                <c:pt idx="1">
                  <c:v>29</c:v>
                </c:pt>
                <c:pt idx="2">
                  <c:v>35</c:v>
                </c:pt>
              </c:numCache>
            </c:numRef>
          </c:xVal>
          <c:yVal>
            <c:numRef>
              <c:f>CARACTERIZACIÓN!$G$64:$G$66</c:f>
              <c:numCache>
                <c:formatCode>0.00</c:formatCode>
                <c:ptCount val="3"/>
                <c:pt idx="0">
                  <c:v>83.838383838383891</c:v>
                </c:pt>
                <c:pt idx="1">
                  <c:v>79.487179487179489</c:v>
                </c:pt>
                <c:pt idx="2">
                  <c:v>77.777777777777757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D783-4730-8394-990268DBAE8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43043967"/>
        <c:axId val="343043487"/>
      </c:scatterChart>
      <c:valAx>
        <c:axId val="343043967"/>
        <c:scaling>
          <c:logBase val="10"/>
          <c:orientation val="minMax"/>
          <c:max val="100"/>
          <c:min val="1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# Golpes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43043487"/>
        <c:crosses val="autoZero"/>
        <c:crossBetween val="midCat"/>
      </c:valAx>
      <c:valAx>
        <c:axId val="343043487"/>
        <c:scaling>
          <c:orientation val="minMax"/>
          <c:max val="85"/>
          <c:min val="77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minorGridlines>
          <c:spPr>
            <a:ln w="9525" cap="flat" cmpd="sng" algn="ctr">
              <a:solidFill>
                <a:schemeClr val="tx1">
                  <a:lumMod val="5000"/>
                  <a:lumOff val="95000"/>
                </a:schemeClr>
              </a:solidFill>
              <a:round/>
            </a:ln>
            <a:effectLst/>
          </c:spPr>
        </c:min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Contenido de agua (%)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" sourceLinked="1"/>
        <c:majorTickMark val="out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43043967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1"/>
    </mc:Choice>
    <mc:Fallback>
      <c:style val="1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 sz="1200"/>
              <a:t>CURVA DE COMPACTACIÓN</a:t>
            </a:r>
          </a:p>
        </c:rich>
      </c:tx>
      <c:layout>
        <c:manualLayout>
          <c:xMode val="edge"/>
          <c:yMode val="edge"/>
          <c:x val="0.32575801554217487"/>
          <c:y val="3.4313725490196081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noFill/>
              </a:ln>
              <a:effectLst/>
            </c:spPr>
          </c:marker>
          <c:trendline>
            <c:spPr>
              <a:ln w="19050" cap="rnd">
                <a:solidFill>
                  <a:schemeClr val="dk1">
                    <a:tint val="88500"/>
                  </a:schemeClr>
                </a:solidFill>
                <a:prstDash val="sysDot"/>
              </a:ln>
              <a:effectLst/>
            </c:spPr>
            <c:trendlineType val="poly"/>
            <c:order val="2"/>
            <c:dispRSqr val="1"/>
            <c:dispEq val="1"/>
            <c:trendlineLbl>
              <c:layout>
                <c:manualLayout>
                  <c:x val="-0.29216747593755238"/>
                  <c:y val="-0.28109480254535063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Times New Roman" panose="02020603050405020304" pitchFamily="18" charset="0"/>
                      <a:ea typeface="+mn-ea"/>
                      <a:cs typeface="Times New Roman" panose="02020603050405020304" pitchFamily="18" charset="0"/>
                    </a:defRPr>
                  </a:pPr>
                  <a:endParaRPr lang="en-US"/>
                </a:p>
              </c:txPr>
            </c:trendlineLbl>
          </c:trendline>
          <c:xVal>
            <c:numRef>
              <c:f>COMPACTACIÓN!$C$35:$G$35</c:f>
              <c:numCache>
                <c:formatCode>0.00</c:formatCode>
                <c:ptCount val="5"/>
                <c:pt idx="0">
                  <c:v>9.5290251916757978</c:v>
                </c:pt>
                <c:pt idx="1">
                  <c:v>17.820324005891006</c:v>
                </c:pt>
                <c:pt idx="2">
                  <c:v>18.934348239771655</c:v>
                </c:pt>
                <c:pt idx="3">
                  <c:v>25.427594070695548</c:v>
                </c:pt>
                <c:pt idx="4">
                  <c:v>28.660159716060353</c:v>
                </c:pt>
              </c:numCache>
            </c:numRef>
          </c:xVal>
          <c:yVal>
            <c:numRef>
              <c:f>COMPACTACIÓN!$C$31:$G$31</c:f>
              <c:numCache>
                <c:formatCode>0.00</c:formatCode>
                <c:ptCount val="5"/>
                <c:pt idx="0">
                  <c:v>13.958498702200531</c:v>
                </c:pt>
                <c:pt idx="1">
                  <c:v>14.086825583997417</c:v>
                </c:pt>
                <c:pt idx="2">
                  <c:v>15.328410477739043</c:v>
                </c:pt>
                <c:pt idx="3">
                  <c:v>14.870753220083589</c:v>
                </c:pt>
                <c:pt idx="4">
                  <c:v>13.761341065641387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4-B3C0-4E2F-ACD2-AE66A9C4984A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266276871"/>
        <c:axId val="266278919"/>
      </c:scatterChart>
      <c:valAx>
        <c:axId val="266276871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HUMEDAD (%)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66278919"/>
        <c:crosses val="autoZero"/>
        <c:crossBetween val="midCat"/>
      </c:valAx>
      <c:valAx>
        <c:axId val="266278919"/>
        <c:scaling>
          <c:orientation val="minMax"/>
          <c:min val="13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PESO ESPECIFICO SECO (KN/m^3)</a:t>
                </a:r>
              </a:p>
            </c:rich>
          </c:tx>
          <c:layout>
            <c:manualLayout>
              <c:xMode val="edge"/>
              <c:yMode val="edge"/>
              <c:x val="2.9026319344856829E-2"/>
              <c:y val="0.10449790929911389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266276871"/>
        <c:crosses val="autoZero"/>
        <c:crossBetween val="midCat"/>
        <c:majorUnit val="0.5"/>
        <c:minorUnit val="0.5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1"/>
    </mc:Choice>
    <mc:Fallback>
      <c:style val="1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2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 sz="1200"/>
              <a:t>CURVA DE COMPACTACIÓN</a:t>
            </a:r>
          </a:p>
        </c:rich>
      </c:tx>
      <c:layout>
        <c:manualLayout>
          <c:xMode val="edge"/>
          <c:yMode val="edge"/>
          <c:x val="0.32126860846911892"/>
          <c:y val="3.0449964155357157E-2"/>
        </c:manualLayout>
      </c:layout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2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n-US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dk1">
                    <a:tint val="88500"/>
                  </a:schemeClr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dk1">
                    <a:tint val="88500"/>
                  </a:schemeClr>
                </a:solidFill>
                <a:prstDash val="sysDot"/>
              </a:ln>
              <a:effectLst/>
            </c:spPr>
            <c:trendlineType val="poly"/>
            <c:order val="2"/>
            <c:dispRSqr val="1"/>
            <c:dispEq val="1"/>
            <c:trendlineLbl>
              <c:layout>
                <c:manualLayout>
                  <c:x val="-0.34508320950650861"/>
                  <c:y val="-0.26231764987016809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Times New Roman" panose="02020603050405020304" pitchFamily="18" charset="0"/>
                      <a:ea typeface="+mn-ea"/>
                      <a:cs typeface="Times New Roman" panose="02020603050405020304" pitchFamily="18" charset="0"/>
                    </a:defRPr>
                  </a:pPr>
                  <a:endParaRPr lang="en-US"/>
                </a:p>
              </c:txPr>
            </c:trendlineLbl>
          </c:trendline>
          <c:xVal>
            <c:numRef>
              <c:f>COMPACTACIÓN!$C$55:$G$55</c:f>
              <c:numCache>
                <c:formatCode>0.00</c:formatCode>
                <c:ptCount val="5"/>
                <c:pt idx="0">
                  <c:v>9.0512540894220255</c:v>
                </c:pt>
                <c:pt idx="1">
                  <c:v>14.628820960698697</c:v>
                </c:pt>
                <c:pt idx="2">
                  <c:v>19.846596356663458</c:v>
                </c:pt>
                <c:pt idx="3">
                  <c:v>25.54585152838429</c:v>
                </c:pt>
                <c:pt idx="4">
                  <c:v>32.450331125827802</c:v>
                </c:pt>
              </c:numCache>
            </c:numRef>
          </c:xVal>
          <c:yVal>
            <c:numRef>
              <c:f>COMPACTACIÓN!$C$51:$G$51</c:f>
              <c:numCache>
                <c:formatCode>0.00</c:formatCode>
                <c:ptCount val="5"/>
                <c:pt idx="0">
                  <c:v>12.959748084626838</c:v>
                </c:pt>
                <c:pt idx="1">
                  <c:v>14.249205989714209</c:v>
                </c:pt>
                <c:pt idx="2">
                  <c:v>14.554165969529683</c:v>
                </c:pt>
                <c:pt idx="3">
                  <c:v>14.604936517928675</c:v>
                </c:pt>
                <c:pt idx="4">
                  <c:v>13.724546229814651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FF1F-4A80-911D-8E0D867B083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37327624"/>
        <c:axId val="1302343688"/>
      </c:scatterChart>
      <c:valAx>
        <c:axId val="1373276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HUMEDAD (%)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302343688"/>
        <c:crosses val="autoZero"/>
        <c:crossBetween val="midCat"/>
      </c:valAx>
      <c:valAx>
        <c:axId val="130234368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PESO ESPECIFICO SECO (KN/m^3)</a:t>
                </a:r>
              </a:p>
            </c:rich>
          </c:tx>
          <c:layout>
            <c:manualLayout>
              <c:xMode val="edge"/>
              <c:yMode val="edge"/>
              <c:x val="2.9612452067890309E-2"/>
              <c:y val="0.16285655829090187"/>
            </c:manualLayout>
          </c:layout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n-US"/>
          </a:p>
        </c:txPr>
        <c:crossAx val="137327624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n-US"/>
    </a:p>
  </c:txPr>
  <c:printSettings>
    <c:headerFooter/>
    <c:pageMargins b="0.75" l="0.7" r="0.7" t="0.75" header="0.3" footer="0.3"/>
    <c:pageSetup/>
  </c:printSettings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/>
              <a:t>RELACIÓN ESFUERZO/DEFORMACIÓN VELOCIDAD RÁPIDA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'COMPRESIÓN INCONF.'!$D$34:$D$39</c:f>
              <c:strCache>
                <c:ptCount val="6"/>
                <c:pt idx="0">
                  <c:v>M1AR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sysDot"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sysDot"/>
              </a:ln>
              <a:effectLst/>
            </c:spPr>
          </c:marker>
          <c:xVal>
            <c:numRef>
              <c:f>'COMPRESIÓN INCONF.'!$F$34:$F$39</c:f>
              <c:numCache>
                <c:formatCode>General</c:formatCode>
                <c:ptCount val="6"/>
                <c:pt idx="0">
                  <c:v>1.25</c:v>
                </c:pt>
                <c:pt idx="1">
                  <c:v>2.4900000000000002</c:v>
                </c:pt>
                <c:pt idx="2">
                  <c:v>4.6100000000000003</c:v>
                </c:pt>
                <c:pt idx="3">
                  <c:v>5.88</c:v>
                </c:pt>
                <c:pt idx="4">
                  <c:v>8.4600000000000009</c:v>
                </c:pt>
                <c:pt idx="5">
                  <c:v>10.65</c:v>
                </c:pt>
              </c:numCache>
            </c:numRef>
          </c:xVal>
          <c:yVal>
            <c:numRef>
              <c:f>'COMPRESIÓN INCONF.'!$G$34:$G$39</c:f>
              <c:numCache>
                <c:formatCode>0.000</c:formatCode>
                <c:ptCount val="6"/>
                <c:pt idx="0">
                  <c:v>0.1368664467513751</c:v>
                </c:pt>
                <c:pt idx="1">
                  <c:v>0.31489200611276519</c:v>
                </c:pt>
                <c:pt idx="2">
                  <c:v>0.52614239131597462</c:v>
                </c:pt>
                <c:pt idx="3">
                  <c:v>0.6114359740740779</c:v>
                </c:pt>
                <c:pt idx="4">
                  <c:v>0.77260117405305229</c:v>
                </c:pt>
                <c:pt idx="5">
                  <c:v>0.82119868050825062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03C2-49DA-8C4A-141EDD52979F}"/>
            </c:ext>
          </c:extLst>
        </c:ser>
        <c:ser>
          <c:idx val="1"/>
          <c:order val="1"/>
          <c:tx>
            <c:strRef>
              <c:f>'COMPRESIÓN INCONF.'!$D$40:$D$45</c:f>
              <c:strCache>
                <c:ptCount val="6"/>
                <c:pt idx="0">
                  <c:v>M1BR</c:v>
                </c:pt>
              </c:strCache>
            </c:strRef>
          </c:tx>
          <c:spPr>
            <a:ln w="9525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plus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dash"/>
              </a:ln>
              <a:effectLst/>
            </c:spPr>
          </c:marker>
          <c:xVal>
            <c:numRef>
              <c:f>'COMPRESIÓN INCONF.'!$F$40:$F$45</c:f>
              <c:numCache>
                <c:formatCode>General</c:formatCode>
                <c:ptCount val="6"/>
                <c:pt idx="0">
                  <c:v>0.68</c:v>
                </c:pt>
                <c:pt idx="1">
                  <c:v>1.65</c:v>
                </c:pt>
                <c:pt idx="2">
                  <c:v>3.47</c:v>
                </c:pt>
                <c:pt idx="3">
                  <c:v>4.24</c:v>
                </c:pt>
                <c:pt idx="4">
                  <c:v>5.67</c:v>
                </c:pt>
                <c:pt idx="5">
                  <c:v>6.92</c:v>
                </c:pt>
              </c:numCache>
            </c:numRef>
          </c:xVal>
          <c:yVal>
            <c:numRef>
              <c:f>'COMPRESIÓN INCONF.'!$G$40:$G$45</c:f>
              <c:numCache>
                <c:formatCode>0.000</c:formatCode>
                <c:ptCount val="6"/>
                <c:pt idx="0">
                  <c:v>6.7287351769448139E-2</c:v>
                </c:pt>
                <c:pt idx="1">
                  <c:v>0.21400413382313205</c:v>
                </c:pt>
                <c:pt idx="2">
                  <c:v>0.5236271359502167</c:v>
                </c:pt>
                <c:pt idx="3">
                  <c:v>0.61621048462547245</c:v>
                </c:pt>
                <c:pt idx="4">
                  <c:v>0.73813718971146491</c:v>
                </c:pt>
                <c:pt idx="5">
                  <c:v>0.74977334828813635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03C2-49DA-8C4A-141EDD52979F}"/>
            </c:ext>
          </c:extLst>
        </c:ser>
        <c:ser>
          <c:idx val="2"/>
          <c:order val="2"/>
          <c:tx>
            <c:strRef>
              <c:f>'COMPRESIÓN INCONF.'!$D$46:$D$51</c:f>
              <c:strCache>
                <c:ptCount val="6"/>
                <c:pt idx="0">
                  <c:v>M1CR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lgDashDot"/>
              <a:round/>
            </a:ln>
            <a:effectLst/>
          </c:spPr>
          <c:marker>
            <c:symbol val="triang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lgDashDot"/>
              </a:ln>
              <a:effectLst/>
            </c:spPr>
          </c:marker>
          <c:xVal>
            <c:numRef>
              <c:f>'COMPRESIÓN INCONF.'!$F$46:$F$51</c:f>
              <c:numCache>
                <c:formatCode>General</c:formatCode>
                <c:ptCount val="6"/>
                <c:pt idx="0">
                  <c:v>0.93</c:v>
                </c:pt>
                <c:pt idx="1">
                  <c:v>2.42</c:v>
                </c:pt>
                <c:pt idx="2">
                  <c:v>4.72</c:v>
                </c:pt>
                <c:pt idx="3">
                  <c:v>5.35</c:v>
                </c:pt>
                <c:pt idx="4">
                  <c:v>5.89</c:v>
                </c:pt>
                <c:pt idx="5">
                  <c:v>6.55</c:v>
                </c:pt>
              </c:numCache>
            </c:numRef>
          </c:xVal>
          <c:yVal>
            <c:numRef>
              <c:f>'COMPRESIÓN INCONF.'!$G$46:$G$51</c:f>
              <c:numCache>
                <c:formatCode>0.000</c:formatCode>
                <c:ptCount val="6"/>
                <c:pt idx="0">
                  <c:v>0.1188079881080656</c:v>
                </c:pt>
                <c:pt idx="1">
                  <c:v>0.27341401630109419</c:v>
                </c:pt>
                <c:pt idx="2">
                  <c:v>0.50065374901433757</c:v>
                </c:pt>
                <c:pt idx="3">
                  <c:v>0.55253496652877676</c:v>
                </c:pt>
                <c:pt idx="4">
                  <c:v>0.58470132138772901</c:v>
                </c:pt>
                <c:pt idx="5">
                  <c:v>0.58833300661373966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03C2-49DA-8C4A-141EDD52979F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43206944"/>
        <c:axId val="471467600"/>
      </c:scatterChart>
      <c:valAx>
        <c:axId val="3432069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Deformación (mm)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471467600"/>
        <c:crosses val="autoZero"/>
        <c:crossBetween val="midCat"/>
      </c:valAx>
      <c:valAx>
        <c:axId val="471467600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Esfuerzo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43206944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RELACIÓN ESFUERZO/DEFORMACIÓN VELOCIDAD LENTA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'COMPRESIÓN INCONF.'!$D$16:$D$21</c:f>
              <c:strCache>
                <c:ptCount val="6"/>
                <c:pt idx="0">
                  <c:v>M1AL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sysDot"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sysDot"/>
              </a:ln>
              <a:effectLst/>
            </c:spPr>
          </c:marker>
          <c:xVal>
            <c:numRef>
              <c:f>'COMPRESIÓN INCONF.'!$F$16:$F$21</c:f>
              <c:numCache>
                <c:formatCode>General</c:formatCode>
                <c:ptCount val="6"/>
                <c:pt idx="0">
                  <c:v>1.1200000000000001</c:v>
                </c:pt>
                <c:pt idx="1">
                  <c:v>2.0299999999999998</c:v>
                </c:pt>
                <c:pt idx="2">
                  <c:v>2.89</c:v>
                </c:pt>
                <c:pt idx="3">
                  <c:v>3.86</c:v>
                </c:pt>
                <c:pt idx="4">
                  <c:v>4.8</c:v>
                </c:pt>
                <c:pt idx="5">
                  <c:v>6.08</c:v>
                </c:pt>
              </c:numCache>
            </c:numRef>
          </c:xVal>
          <c:yVal>
            <c:numRef>
              <c:f>'COMPRESIÓN INCONF.'!$G$16:$G$21</c:f>
              <c:numCache>
                <c:formatCode>0.000</c:formatCode>
                <c:ptCount val="6"/>
                <c:pt idx="0">
                  <c:v>7.4949311187542125E-2</c:v>
                </c:pt>
                <c:pt idx="1">
                  <c:v>0.25251378668554458</c:v>
                </c:pt>
                <c:pt idx="2">
                  <c:v>0.39738225394737098</c:v>
                </c:pt>
                <c:pt idx="3">
                  <c:v>0.51206979052965018</c:v>
                </c:pt>
                <c:pt idx="4">
                  <c:v>0.58400100864923765</c:v>
                </c:pt>
                <c:pt idx="5">
                  <c:v>0.65090207165556713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B397-4AEF-AAFF-83EA9F5B9ED0}"/>
            </c:ext>
          </c:extLst>
        </c:ser>
        <c:ser>
          <c:idx val="1"/>
          <c:order val="1"/>
          <c:tx>
            <c:strRef>
              <c:f>'COMPRESIÓN INCONF.'!$D$22:$D$27</c:f>
              <c:strCache>
                <c:ptCount val="6"/>
                <c:pt idx="0">
                  <c:v>M1BL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squar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dash"/>
              </a:ln>
              <a:effectLst/>
            </c:spPr>
          </c:marker>
          <c:xVal>
            <c:numRef>
              <c:f>'COMPRESIÓN INCONF.'!$F$22:$F$27</c:f>
              <c:numCache>
                <c:formatCode>General</c:formatCode>
                <c:ptCount val="6"/>
                <c:pt idx="0">
                  <c:v>0.89</c:v>
                </c:pt>
                <c:pt idx="1">
                  <c:v>2.21</c:v>
                </c:pt>
                <c:pt idx="2">
                  <c:v>3.54</c:v>
                </c:pt>
                <c:pt idx="3">
                  <c:v>3.74</c:v>
                </c:pt>
                <c:pt idx="4">
                  <c:v>4.76</c:v>
                </c:pt>
                <c:pt idx="5">
                  <c:v>4.97</c:v>
                </c:pt>
              </c:numCache>
            </c:numRef>
          </c:xVal>
          <c:yVal>
            <c:numRef>
              <c:f>'COMPRESIÓN INCONF.'!$G$22:$G$27</c:f>
              <c:numCache>
                <c:formatCode>0.000</c:formatCode>
                <c:ptCount val="6"/>
                <c:pt idx="0">
                  <c:v>9.6899470211398955E-2</c:v>
                </c:pt>
                <c:pt idx="1">
                  <c:v>0.27259631180349597</c:v>
                </c:pt>
                <c:pt idx="2">
                  <c:v>0.43019105456489209</c:v>
                </c:pt>
                <c:pt idx="3">
                  <c:v>0.45148764142454023</c:v>
                </c:pt>
                <c:pt idx="4">
                  <c:v>0.52602569543330868</c:v>
                </c:pt>
                <c:pt idx="5">
                  <c:v>0.53134984214822067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B397-4AEF-AAFF-83EA9F5B9ED0}"/>
            </c:ext>
          </c:extLst>
        </c:ser>
        <c:ser>
          <c:idx val="2"/>
          <c:order val="2"/>
          <c:tx>
            <c:strRef>
              <c:f>'COMPRESIÓN INCONF.'!$D$28:$D$33</c:f>
              <c:strCache>
                <c:ptCount val="6"/>
                <c:pt idx="0">
                  <c:v>M1CL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lgDashDot"/>
              <a:round/>
            </a:ln>
            <a:effectLst/>
          </c:spPr>
          <c:marker>
            <c:symbol val="triang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lgDashDot"/>
              </a:ln>
              <a:effectLst/>
            </c:spPr>
          </c:marker>
          <c:xVal>
            <c:numRef>
              <c:f>'COMPRESIÓN INCONF.'!$F$28:$F$33</c:f>
              <c:numCache>
                <c:formatCode>General</c:formatCode>
                <c:ptCount val="6"/>
                <c:pt idx="0">
                  <c:v>0.67</c:v>
                </c:pt>
                <c:pt idx="1">
                  <c:v>1.27</c:v>
                </c:pt>
                <c:pt idx="2">
                  <c:v>2.04</c:v>
                </c:pt>
                <c:pt idx="3">
                  <c:v>3.05</c:v>
                </c:pt>
                <c:pt idx="4">
                  <c:v>3.9</c:v>
                </c:pt>
                <c:pt idx="5">
                  <c:v>4.26</c:v>
                </c:pt>
              </c:numCache>
            </c:numRef>
          </c:xVal>
          <c:yVal>
            <c:numRef>
              <c:f>'COMPRESIÓN INCONF.'!$G$28:$G$33</c:f>
              <c:numCache>
                <c:formatCode>0.000</c:formatCode>
                <c:ptCount val="6"/>
                <c:pt idx="0">
                  <c:v>0.2791656364305235</c:v>
                </c:pt>
                <c:pt idx="1">
                  <c:v>0.38805624796365312</c:v>
                </c:pt>
                <c:pt idx="2">
                  <c:v>0.50388596709448219</c:v>
                </c:pt>
                <c:pt idx="3">
                  <c:v>0.60690502604494301</c:v>
                </c:pt>
                <c:pt idx="4">
                  <c:v>0.64533700658604765</c:v>
                </c:pt>
                <c:pt idx="5">
                  <c:v>0.65708011175138514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B397-4AEF-AAFF-83EA9F5B9ED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65700624"/>
        <c:axId val="365699184"/>
      </c:scatterChart>
      <c:valAx>
        <c:axId val="3657006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Deformación (mm)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65699184"/>
        <c:crosses val="autoZero"/>
        <c:crossBetween val="midCat"/>
      </c:valAx>
      <c:valAx>
        <c:axId val="365699184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Esfuerzo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65700624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/>
              <a:t>EVOLUCIÓN</a:t>
            </a:r>
            <a:r>
              <a:rPr lang="es-419" baseline="0"/>
              <a:t> TIXOTRÓPICA MUESTRAS CON VELOCIDAD LENTA</a:t>
            </a:r>
            <a:endParaRPr lang="es-419"/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trendline>
            <c:spPr>
              <a:ln w="19050" cap="rnd">
                <a:solidFill>
                  <a:schemeClr val="tx1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layout>
                <c:manualLayout>
                  <c:x val="-0.31624813519533679"/>
                  <c:y val="-0.12329903762383093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Times New Roman" panose="02020603050405020304" pitchFamily="18" charset="0"/>
                      <a:ea typeface="+mn-ea"/>
                      <a:cs typeface="Times New Roman" panose="02020603050405020304" pitchFamily="18" charset="0"/>
                    </a:defRPr>
                  </a:pPr>
                  <a:endParaRPr lang="es-419"/>
                </a:p>
              </c:txPr>
            </c:trendlineLbl>
          </c:trendline>
          <c:xVal>
            <c:numRef>
              <c:f>'COMPRESIÓN INCONF.'!$F$57:$F$68</c:f>
              <c:numCache>
                <c:formatCode>General</c:formatCode>
                <c:ptCount val="12"/>
                <c:pt idx="0">
                  <c:v>1</c:v>
                </c:pt>
                <c:pt idx="1">
                  <c:v>1</c:v>
                </c:pt>
                <c:pt idx="2">
                  <c:v>1</c:v>
                </c:pt>
                <c:pt idx="3">
                  <c:v>30</c:v>
                </c:pt>
                <c:pt idx="4">
                  <c:v>30</c:v>
                </c:pt>
                <c:pt idx="5">
                  <c:v>30</c:v>
                </c:pt>
                <c:pt idx="6">
                  <c:v>60</c:v>
                </c:pt>
                <c:pt idx="7">
                  <c:v>60</c:v>
                </c:pt>
                <c:pt idx="8">
                  <c:v>60</c:v>
                </c:pt>
                <c:pt idx="9">
                  <c:v>90</c:v>
                </c:pt>
                <c:pt idx="10">
                  <c:v>90</c:v>
                </c:pt>
                <c:pt idx="11">
                  <c:v>90</c:v>
                </c:pt>
              </c:numCache>
            </c:numRef>
          </c:xVal>
          <c:yVal>
            <c:numRef>
              <c:f>'COMPRESIÓN INCONF.'!$E$57:$E$68</c:f>
              <c:numCache>
                <c:formatCode>0.000</c:formatCode>
                <c:ptCount val="12"/>
                <c:pt idx="0">
                  <c:v>0.32545103582778356</c:v>
                </c:pt>
                <c:pt idx="1">
                  <c:v>0.26567492107411034</c:v>
                </c:pt>
                <c:pt idx="2">
                  <c:v>0.32854005587569257</c:v>
                </c:pt>
                <c:pt idx="3">
                  <c:v>0.29141721660379549</c:v>
                </c:pt>
                <c:pt idx="4">
                  <c:v>0.31755499317872848</c:v>
                </c:pt>
                <c:pt idx="5">
                  <c:v>0.37021494414347067</c:v>
                </c:pt>
                <c:pt idx="6">
                  <c:v>0.39066705291821152</c:v>
                </c:pt>
                <c:pt idx="7">
                  <c:v>0.38525642365869595</c:v>
                </c:pt>
                <c:pt idx="8">
                  <c:v>0.35855029509065589</c:v>
                </c:pt>
                <c:pt idx="9">
                  <c:v>0.46018612140179022</c:v>
                </c:pt>
                <c:pt idx="10">
                  <c:v>0.42325652155083587</c:v>
                </c:pt>
                <c:pt idx="11">
                  <c:v>0.41892743592095461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697-4343-925D-EA70B0801F3E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452931455"/>
        <c:axId val="452931935"/>
      </c:scatterChart>
      <c:valAx>
        <c:axId val="452931455"/>
        <c:scaling>
          <c:orientation val="minMax"/>
          <c:max val="12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Tiempo de reposo (Días)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452931935"/>
        <c:crosses val="autoZero"/>
        <c:crossBetween val="midCat"/>
        <c:majorUnit val="30"/>
      </c:valAx>
      <c:valAx>
        <c:axId val="452931935"/>
        <c:scaling>
          <c:orientation val="minMax"/>
          <c:max val="0.55000000000000004"/>
          <c:min val="0.2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Su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452931455"/>
        <c:crosses val="autoZero"/>
        <c:crossBetween val="midCat"/>
        <c:majorUnit val="5.000000000000001E-2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EVOLUCIÓN TIXOTRÓPICA MUESTRAS CON VELOCIDAD RÁPIDA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</a:ln>
              <a:effectLst/>
            </c:spPr>
          </c:marker>
          <c:trendline>
            <c:spPr>
              <a:ln w="19050" cap="rnd">
                <a:solidFill>
                  <a:srgbClr val="000000"/>
                </a:solidFill>
                <a:prstDash val="sysDot"/>
              </a:ln>
              <a:effectLst/>
            </c:spPr>
            <c:trendlineType val="linear"/>
            <c:dispRSqr val="1"/>
            <c:dispEq val="1"/>
            <c:trendlineLbl>
              <c:layout>
                <c:manualLayout>
                  <c:x val="-0.26612148285982062"/>
                  <c:y val="-9.5448275862068971E-2"/>
                </c:manualLayout>
              </c:layout>
              <c:numFmt formatCode="General" sourceLinked="0"/>
              <c:spPr>
                <a:noFill/>
                <a:ln>
                  <a:noFill/>
                </a:ln>
                <a:effectLst/>
              </c:spPr>
              <c:txPr>
                <a:bodyPr rot="0" spcFirstLastPara="1" vertOverflow="ellipsis" vert="horz" wrap="square" anchor="ctr" anchorCtr="1"/>
                <a:lstStyle/>
                <a:p>
                  <a:pPr>
                    <a:defRPr sz="900" b="0" i="0" u="none" strike="noStrike" kern="1200" baseline="0">
                      <a:solidFill>
                        <a:schemeClr val="tx1">
                          <a:lumMod val="65000"/>
                          <a:lumOff val="35000"/>
                        </a:schemeClr>
                      </a:solidFill>
                      <a:latin typeface="Times New Roman" panose="02020603050405020304" pitchFamily="18" charset="0"/>
                      <a:ea typeface="+mn-ea"/>
                      <a:cs typeface="Times New Roman" panose="02020603050405020304" pitchFamily="18" charset="0"/>
                    </a:defRPr>
                  </a:pPr>
                  <a:endParaRPr lang="en-US"/>
                </a:p>
              </c:txPr>
            </c:trendlineLbl>
          </c:trendline>
          <c:xVal>
            <c:numRef>
              <c:f>'COMPRESIÓN INCONF.'!$F$72:$F$81</c:f>
              <c:numCache>
                <c:formatCode>General</c:formatCode>
                <c:ptCount val="10"/>
                <c:pt idx="0">
                  <c:v>1</c:v>
                </c:pt>
                <c:pt idx="1">
                  <c:v>1</c:v>
                </c:pt>
                <c:pt idx="2">
                  <c:v>30</c:v>
                </c:pt>
                <c:pt idx="3">
                  <c:v>30</c:v>
                </c:pt>
                <c:pt idx="4">
                  <c:v>60</c:v>
                </c:pt>
                <c:pt idx="5">
                  <c:v>60</c:v>
                </c:pt>
                <c:pt idx="6">
                  <c:v>60</c:v>
                </c:pt>
                <c:pt idx="7">
                  <c:v>90</c:v>
                </c:pt>
                <c:pt idx="8">
                  <c:v>90</c:v>
                </c:pt>
                <c:pt idx="9">
                  <c:v>90</c:v>
                </c:pt>
              </c:numCache>
            </c:numRef>
          </c:xVal>
          <c:yVal>
            <c:numRef>
              <c:f>'COMPRESIÓN INCONF.'!$E$72:$E$81</c:f>
              <c:numCache>
                <c:formatCode>0.000</c:formatCode>
                <c:ptCount val="10"/>
                <c:pt idx="0">
                  <c:v>0.41059934025412531</c:v>
                </c:pt>
                <c:pt idx="1">
                  <c:v>0.37488667414406818</c:v>
                </c:pt>
                <c:pt idx="2">
                  <c:v>0.40867439118600568</c:v>
                </c:pt>
                <c:pt idx="3">
                  <c:v>0.42405626450563438</c:v>
                </c:pt>
                <c:pt idx="4">
                  <c:v>0.43202712784745834</c:v>
                </c:pt>
                <c:pt idx="5">
                  <c:v>0.41308525843762922</c:v>
                </c:pt>
                <c:pt idx="6">
                  <c:v>0.41402067372154067</c:v>
                </c:pt>
                <c:pt idx="7">
                  <c:v>0.45390740275705338</c:v>
                </c:pt>
                <c:pt idx="8">
                  <c:v>0.42440404886944205</c:v>
                </c:pt>
                <c:pt idx="9">
                  <c:v>0.48382454789525198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920-497D-B00D-3062E5A22127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524970383"/>
        <c:axId val="524971343"/>
      </c:scatterChart>
      <c:valAx>
        <c:axId val="524970383"/>
        <c:scaling>
          <c:orientation val="minMax"/>
          <c:max val="12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Tiempo de reposo (Días)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524971343"/>
        <c:crosses val="autoZero"/>
        <c:crossBetween val="midCat"/>
        <c:majorUnit val="30"/>
      </c:valAx>
      <c:valAx>
        <c:axId val="524971343"/>
        <c:scaling>
          <c:orientation val="minMax"/>
          <c:min val="0.2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Su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524970383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RELACIÓN ESFUERZO/DEFORMACIÓN VELOCIDAD LENTA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'COMPRESIÓN INCONF.'!$Q$16:$Q$21</c:f>
              <c:strCache>
                <c:ptCount val="6"/>
                <c:pt idx="0">
                  <c:v>M30AL</c:v>
                </c:pt>
              </c:strCache>
            </c:strRef>
          </c:tx>
          <c:spPr>
            <a:ln w="9525" cap="rnd">
              <a:solidFill>
                <a:schemeClr val="tx1"/>
              </a:solidFill>
              <a:prstDash val="sysDot"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sysDot"/>
              </a:ln>
              <a:effectLst/>
            </c:spPr>
          </c:marker>
          <c:xVal>
            <c:numRef>
              <c:f>'COMPRESIÓN INCONF.'!$S$16:$S$21</c:f>
              <c:numCache>
                <c:formatCode>General</c:formatCode>
                <c:ptCount val="6"/>
                <c:pt idx="0">
                  <c:v>0.5</c:v>
                </c:pt>
                <c:pt idx="1">
                  <c:v>1.03</c:v>
                </c:pt>
                <c:pt idx="2">
                  <c:v>1.61</c:v>
                </c:pt>
                <c:pt idx="3">
                  <c:v>2.29</c:v>
                </c:pt>
                <c:pt idx="4">
                  <c:v>2.87</c:v>
                </c:pt>
                <c:pt idx="5">
                  <c:v>3.17</c:v>
                </c:pt>
              </c:numCache>
            </c:numRef>
          </c:xVal>
          <c:yVal>
            <c:numRef>
              <c:f>'COMPRESIÓN INCONF.'!$T$16:$T$21</c:f>
              <c:numCache>
                <c:formatCode>0.000</c:formatCode>
                <c:ptCount val="6"/>
                <c:pt idx="0">
                  <c:v>0.14336513967263353</c:v>
                </c:pt>
                <c:pt idx="1">
                  <c:v>0.27404797852807256</c:v>
                </c:pt>
                <c:pt idx="2">
                  <c:v>0.39921677354994878</c:v>
                </c:pt>
                <c:pt idx="3">
                  <c:v>0.51887152473826215</c:v>
                </c:pt>
                <c:pt idx="4">
                  <c:v>0.56904932362368388</c:v>
                </c:pt>
                <c:pt idx="5">
                  <c:v>0.58283443320759099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F9A-486B-BB38-E2C700A77E82}"/>
            </c:ext>
          </c:extLst>
        </c:ser>
        <c:ser>
          <c:idx val="1"/>
          <c:order val="1"/>
          <c:tx>
            <c:strRef>
              <c:f>'COMPRESIÓN INCONF.'!$Q$22:$Q$27</c:f>
              <c:strCache>
                <c:ptCount val="6"/>
                <c:pt idx="0">
                  <c:v>M30BL</c:v>
                </c:pt>
              </c:strCache>
            </c:strRef>
          </c:tx>
          <c:spPr>
            <a:ln w="9525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squar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dash"/>
              </a:ln>
              <a:effectLst/>
            </c:spPr>
          </c:marker>
          <c:xVal>
            <c:numRef>
              <c:f>'COMPRESIÓN INCONF.'!$S$22:$S$27</c:f>
              <c:numCache>
                <c:formatCode>General</c:formatCode>
                <c:ptCount val="6"/>
                <c:pt idx="0">
                  <c:v>0.74</c:v>
                </c:pt>
                <c:pt idx="1">
                  <c:v>1.24</c:v>
                </c:pt>
                <c:pt idx="2">
                  <c:v>1.79</c:v>
                </c:pt>
                <c:pt idx="3">
                  <c:v>3.16</c:v>
                </c:pt>
                <c:pt idx="4">
                  <c:v>3.53</c:v>
                </c:pt>
                <c:pt idx="5">
                  <c:v>4.08</c:v>
                </c:pt>
              </c:numCache>
            </c:numRef>
          </c:xVal>
          <c:yVal>
            <c:numRef>
              <c:f>'COMPRESIÓN INCONF.'!$T$22:$T$27</c:f>
              <c:numCache>
                <c:formatCode>0.000</c:formatCode>
                <c:ptCount val="6"/>
                <c:pt idx="0">
                  <c:v>0.17149542984218699</c:v>
                </c:pt>
                <c:pt idx="1">
                  <c:v>0.27166554329740933</c:v>
                </c:pt>
                <c:pt idx="2">
                  <c:v>0.40172935553246247</c:v>
                </c:pt>
                <c:pt idx="3">
                  <c:v>0.55696680884526784</c:v>
                </c:pt>
                <c:pt idx="4">
                  <c:v>0.62304761667436737</c:v>
                </c:pt>
                <c:pt idx="5">
                  <c:v>0.63510998635745697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FF9A-486B-BB38-E2C700A77E82}"/>
            </c:ext>
          </c:extLst>
        </c:ser>
        <c:ser>
          <c:idx val="2"/>
          <c:order val="2"/>
          <c:tx>
            <c:strRef>
              <c:f>'COMPRESIÓN INCONF.'!$Q$28:$Q$33</c:f>
              <c:strCache>
                <c:ptCount val="6"/>
                <c:pt idx="0">
                  <c:v>M30CL</c:v>
                </c:pt>
              </c:strCache>
            </c:strRef>
          </c:tx>
          <c:spPr>
            <a:ln w="9525" cap="rnd">
              <a:solidFill>
                <a:schemeClr val="tx1">
                  <a:alpha val="94000"/>
                </a:schemeClr>
              </a:solidFill>
              <a:prstDash val="dashDot"/>
              <a:round/>
            </a:ln>
            <a:effectLst/>
          </c:spPr>
          <c:marker>
            <c:symbol val="triang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lgDashDot"/>
              </a:ln>
              <a:effectLst/>
            </c:spPr>
          </c:marker>
          <c:xVal>
            <c:numRef>
              <c:f>'COMPRESIÓN INCONF.'!$S$28:$S$33</c:f>
              <c:numCache>
                <c:formatCode>General</c:formatCode>
                <c:ptCount val="6"/>
                <c:pt idx="0">
                  <c:v>0.63</c:v>
                </c:pt>
                <c:pt idx="1">
                  <c:v>1.1399999999999999</c:v>
                </c:pt>
                <c:pt idx="2">
                  <c:v>1.63</c:v>
                </c:pt>
                <c:pt idx="3">
                  <c:v>2.54</c:v>
                </c:pt>
                <c:pt idx="4">
                  <c:v>3.37</c:v>
                </c:pt>
                <c:pt idx="5">
                  <c:v>3.64</c:v>
                </c:pt>
              </c:numCache>
            </c:numRef>
          </c:xVal>
          <c:yVal>
            <c:numRef>
              <c:f>'COMPRESIÓN INCONF.'!$T$28:$T$33</c:f>
              <c:numCache>
                <c:formatCode>0.000</c:formatCode>
                <c:ptCount val="6"/>
                <c:pt idx="0">
                  <c:v>0.41391156680486513</c:v>
                </c:pt>
                <c:pt idx="1">
                  <c:v>0.49379864381772121</c:v>
                </c:pt>
                <c:pt idx="2">
                  <c:v>0.56135415860711635</c:v>
                </c:pt>
                <c:pt idx="3">
                  <c:v>0.66215127591192802</c:v>
                </c:pt>
                <c:pt idx="4">
                  <c:v>0.73131525533916586</c:v>
                </c:pt>
                <c:pt idx="5">
                  <c:v>0.74042988828694134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FF9A-486B-BB38-E2C700A77E8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65700624"/>
        <c:axId val="365699184"/>
      </c:scatterChart>
      <c:valAx>
        <c:axId val="3657006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Deformación (mm)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65699184"/>
        <c:crosses val="autoZero"/>
        <c:crossBetween val="midCat"/>
      </c:valAx>
      <c:valAx>
        <c:axId val="365699184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Esfuerzo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65700624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/>
              <a:t>RELACIÓN ESFUERZO/DEFORMACIÓN VELOCIDAD RÁPIDA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'COMPRESIÓN INCONF.'!$Q$34:$Q$39</c:f>
              <c:strCache>
                <c:ptCount val="6"/>
                <c:pt idx="0">
                  <c:v>M30AR</c:v>
                </c:pt>
              </c:strCache>
            </c:strRef>
          </c:tx>
          <c:spPr>
            <a:ln w="9525" cap="rnd">
              <a:solidFill>
                <a:schemeClr val="tx1"/>
              </a:solidFill>
              <a:prstDash val="sysDot"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sysDot"/>
              </a:ln>
              <a:effectLst/>
            </c:spPr>
          </c:marker>
          <c:xVal>
            <c:numRef>
              <c:f>'COMPRESIÓN INCONF.'!$S$34:$S$39</c:f>
              <c:numCache>
                <c:formatCode>General</c:formatCode>
                <c:ptCount val="6"/>
                <c:pt idx="0">
                  <c:v>0.79200000000000004</c:v>
                </c:pt>
                <c:pt idx="1">
                  <c:v>2.58</c:v>
                </c:pt>
                <c:pt idx="2">
                  <c:v>3.5179999999999998</c:v>
                </c:pt>
                <c:pt idx="3">
                  <c:v>4.08</c:v>
                </c:pt>
                <c:pt idx="4">
                  <c:v>4.1900000000000004</c:v>
                </c:pt>
                <c:pt idx="5">
                  <c:v>4.3899999999999997</c:v>
                </c:pt>
              </c:numCache>
            </c:numRef>
          </c:xVal>
          <c:yVal>
            <c:numRef>
              <c:f>'COMPRESIÓN INCONF.'!$T$34:$T$39</c:f>
              <c:numCache>
                <c:formatCode>0.000</c:formatCode>
                <c:ptCount val="6"/>
                <c:pt idx="0">
                  <c:v>0.30750602660954385</c:v>
                </c:pt>
                <c:pt idx="1">
                  <c:v>0.49422495185787751</c:v>
                </c:pt>
                <c:pt idx="2">
                  <c:v>0.5643764124737769</c:v>
                </c:pt>
                <c:pt idx="3">
                  <c:v>0.59866096089508103</c:v>
                </c:pt>
                <c:pt idx="4">
                  <c:v>0.60340805221495397</c:v>
                </c:pt>
                <c:pt idx="5">
                  <c:v>0.60762768894372987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1138-4749-A799-33C975AF4591}"/>
            </c:ext>
          </c:extLst>
        </c:ser>
        <c:ser>
          <c:idx val="1"/>
          <c:order val="1"/>
          <c:tx>
            <c:strRef>
              <c:f>'COMPRESIÓN INCONF.'!$Q$40:$Q$45</c:f>
              <c:strCache>
                <c:ptCount val="6"/>
                <c:pt idx="0">
                  <c:v>M30BR</c:v>
                </c:pt>
              </c:strCache>
            </c:strRef>
          </c:tx>
          <c:spPr>
            <a:ln w="9525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plus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dash"/>
              </a:ln>
              <a:effectLst/>
            </c:spPr>
          </c:marker>
          <c:xVal>
            <c:numRef>
              <c:f>'COMPRESIÓN INCONF.'!$S$40:$S$45</c:f>
              <c:numCache>
                <c:formatCode>General</c:formatCode>
                <c:ptCount val="6"/>
                <c:pt idx="0">
                  <c:v>0.54</c:v>
                </c:pt>
                <c:pt idx="1">
                  <c:v>1.34</c:v>
                </c:pt>
                <c:pt idx="2">
                  <c:v>3.18</c:v>
                </c:pt>
                <c:pt idx="3">
                  <c:v>4.34</c:v>
                </c:pt>
                <c:pt idx="4">
                  <c:v>5.29</c:v>
                </c:pt>
                <c:pt idx="5">
                  <c:v>6.38</c:v>
                </c:pt>
              </c:numCache>
            </c:numRef>
          </c:xVal>
          <c:yVal>
            <c:numRef>
              <c:f>'COMPRESIÓN INCONF.'!$T$40:$T$45</c:f>
              <c:numCache>
                <c:formatCode>0.000</c:formatCode>
                <c:ptCount val="6"/>
                <c:pt idx="0">
                  <c:v>0.15625785545347276</c:v>
                </c:pt>
                <c:pt idx="1">
                  <c:v>0.35066562210461616</c:v>
                </c:pt>
                <c:pt idx="2">
                  <c:v>0.63600605380226205</c:v>
                </c:pt>
                <c:pt idx="3">
                  <c:v>0.73425514017434523</c:v>
                </c:pt>
                <c:pt idx="4">
                  <c:v>0.78965090163945606</c:v>
                </c:pt>
                <c:pt idx="5">
                  <c:v>0.81734878237201136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1138-4749-A799-33C975AF4591}"/>
            </c:ext>
          </c:extLst>
        </c:ser>
        <c:ser>
          <c:idx val="2"/>
          <c:order val="2"/>
          <c:tx>
            <c:strRef>
              <c:f>'COMPRESIÓN INCONF.'!$Q$46:$Q$51</c:f>
              <c:strCache>
                <c:ptCount val="6"/>
                <c:pt idx="0">
                  <c:v>M30CR</c:v>
                </c:pt>
              </c:strCache>
            </c:strRef>
          </c:tx>
          <c:spPr>
            <a:ln w="9525" cap="rnd">
              <a:solidFill>
                <a:schemeClr val="tx1"/>
              </a:solidFill>
              <a:prstDash val="lgDashDot"/>
              <a:round/>
            </a:ln>
            <a:effectLst/>
          </c:spPr>
          <c:marker>
            <c:symbol val="triang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lgDashDot"/>
              </a:ln>
              <a:effectLst/>
            </c:spPr>
          </c:marker>
          <c:xVal>
            <c:numRef>
              <c:f>'COMPRESIÓN INCONF.'!$S$46:$S$51</c:f>
              <c:numCache>
                <c:formatCode>General</c:formatCode>
                <c:ptCount val="6"/>
                <c:pt idx="0">
                  <c:v>0.71</c:v>
                </c:pt>
                <c:pt idx="1">
                  <c:v>1.97</c:v>
                </c:pt>
                <c:pt idx="2">
                  <c:v>3.62</c:v>
                </c:pt>
                <c:pt idx="3">
                  <c:v>4.37</c:v>
                </c:pt>
                <c:pt idx="4">
                  <c:v>5.35</c:v>
                </c:pt>
                <c:pt idx="5">
                  <c:v>6.18</c:v>
                </c:pt>
              </c:numCache>
            </c:numRef>
          </c:xVal>
          <c:yVal>
            <c:numRef>
              <c:f>'COMPRESIÓN INCONF.'!$T$46:$T$51</c:f>
              <c:numCache>
                <c:formatCode>0.000</c:formatCode>
                <c:ptCount val="6"/>
                <c:pt idx="0">
                  <c:v>0.45727487029310149</c:v>
                </c:pt>
                <c:pt idx="1">
                  <c:v>0.59066833415839892</c:v>
                </c:pt>
                <c:pt idx="2">
                  <c:v>0.7245808387391256</c:v>
                </c:pt>
                <c:pt idx="3">
                  <c:v>0.77233258455860954</c:v>
                </c:pt>
                <c:pt idx="4">
                  <c:v>0.82371761538609767</c:v>
                </c:pt>
                <c:pt idx="5">
                  <c:v>0.84811252901126877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1138-4749-A799-33C975AF459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43206944"/>
        <c:axId val="471467600"/>
      </c:scatterChart>
      <c:valAx>
        <c:axId val="3432069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Deformación (mm)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471467600"/>
        <c:crosses val="autoZero"/>
        <c:crossBetween val="midCat"/>
      </c:valAx>
      <c:valAx>
        <c:axId val="471467600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Esfuerzo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43206944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RELACIÓN ESFUERZO/DEFORMACIÓN VELOCIDAD LENTA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'COMPRESIÓN INCONF.'!$AD$16:$AD$21</c:f>
              <c:strCache>
                <c:ptCount val="6"/>
                <c:pt idx="0">
                  <c:v>M60AL</c:v>
                </c:pt>
              </c:strCache>
            </c:strRef>
          </c:tx>
          <c:spPr>
            <a:ln w="15875" cap="rnd">
              <a:solidFill>
                <a:schemeClr val="tx1"/>
              </a:solidFill>
              <a:prstDash val="sysDot"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sysDot"/>
              </a:ln>
              <a:effectLst/>
            </c:spPr>
          </c:marker>
          <c:xVal>
            <c:numRef>
              <c:f>'COMPRESIÓN INCONF.'!$AF$16:$AF$21</c:f>
              <c:numCache>
                <c:formatCode>General</c:formatCode>
                <c:ptCount val="6"/>
                <c:pt idx="0">
                  <c:v>0.24</c:v>
                </c:pt>
                <c:pt idx="1">
                  <c:v>0.88</c:v>
                </c:pt>
                <c:pt idx="2">
                  <c:v>1.8</c:v>
                </c:pt>
                <c:pt idx="3">
                  <c:v>2.54</c:v>
                </c:pt>
                <c:pt idx="4">
                  <c:v>3.04</c:v>
                </c:pt>
                <c:pt idx="5">
                  <c:v>3.5</c:v>
                </c:pt>
              </c:numCache>
            </c:numRef>
          </c:xVal>
          <c:yVal>
            <c:numRef>
              <c:f>'COMPRESIÓN INCONF.'!$AG$16:$AG$21</c:f>
              <c:numCache>
                <c:formatCode>0.000</c:formatCode>
                <c:ptCount val="6"/>
                <c:pt idx="0">
                  <c:v>0.51761336990421314</c:v>
                </c:pt>
                <c:pt idx="1">
                  <c:v>0.60333625922379275</c:v>
                </c:pt>
                <c:pt idx="2">
                  <c:v>0.69670322784575522</c:v>
                </c:pt>
                <c:pt idx="3">
                  <c:v>0.74911977163352372</c:v>
                </c:pt>
                <c:pt idx="4">
                  <c:v>0.77478203786295197</c:v>
                </c:pt>
                <c:pt idx="5">
                  <c:v>0.78133410583642304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4B26-49FE-A5EF-F300EC62CF90}"/>
            </c:ext>
          </c:extLst>
        </c:ser>
        <c:ser>
          <c:idx val="1"/>
          <c:order val="1"/>
          <c:tx>
            <c:strRef>
              <c:f>'COMPRESIÓN INCONF.'!$AD$22:$AD$27</c:f>
              <c:strCache>
                <c:ptCount val="6"/>
                <c:pt idx="0">
                  <c:v>M60BL</c:v>
                </c:pt>
              </c:strCache>
            </c:strRef>
          </c:tx>
          <c:spPr>
            <a:ln w="9525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squar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dash"/>
              </a:ln>
              <a:effectLst/>
            </c:spPr>
          </c:marker>
          <c:xVal>
            <c:numRef>
              <c:f>'COMPRESIÓN INCONF.'!$AF$22:$AF$27</c:f>
              <c:numCache>
                <c:formatCode>General</c:formatCode>
                <c:ptCount val="6"/>
                <c:pt idx="0">
                  <c:v>0.25</c:v>
                </c:pt>
                <c:pt idx="1">
                  <c:v>2.08</c:v>
                </c:pt>
                <c:pt idx="2">
                  <c:v>2.6</c:v>
                </c:pt>
                <c:pt idx="3">
                  <c:v>3.41</c:v>
                </c:pt>
                <c:pt idx="4">
                  <c:v>4.33</c:v>
                </c:pt>
                <c:pt idx="5">
                  <c:v>5.41</c:v>
                </c:pt>
              </c:numCache>
            </c:numRef>
          </c:xVal>
          <c:yVal>
            <c:numRef>
              <c:f>'COMPRESIÓN INCONF.'!$AG$22:$AG$27</c:f>
              <c:numCache>
                <c:formatCode>0.000</c:formatCode>
                <c:ptCount val="6"/>
                <c:pt idx="0">
                  <c:v>0.33442218691337572</c:v>
                </c:pt>
                <c:pt idx="1">
                  <c:v>0.58265840898950794</c:v>
                </c:pt>
                <c:pt idx="2">
                  <c:v>0.63684718927639761</c:v>
                </c:pt>
                <c:pt idx="3">
                  <c:v>0.69568072215930621</c:v>
                </c:pt>
                <c:pt idx="4">
                  <c:v>0.74367649898483701</c:v>
                </c:pt>
                <c:pt idx="5">
                  <c:v>0.77051284731739189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4B26-49FE-A5EF-F300EC62CF90}"/>
            </c:ext>
          </c:extLst>
        </c:ser>
        <c:ser>
          <c:idx val="2"/>
          <c:order val="2"/>
          <c:tx>
            <c:strRef>
              <c:f>'COMPRESIÓN INCONF.'!$AD$28:$AD$33</c:f>
              <c:strCache>
                <c:ptCount val="6"/>
                <c:pt idx="0">
                  <c:v>M60CL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dashDot"/>
              <a:round/>
            </a:ln>
            <a:effectLst/>
          </c:spPr>
          <c:marker>
            <c:symbol val="triang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lgDashDot"/>
              </a:ln>
              <a:effectLst/>
            </c:spPr>
          </c:marker>
          <c:xVal>
            <c:numRef>
              <c:f>'COMPRESIÓN INCONF.'!$AF$28:$AF$33</c:f>
              <c:numCache>
                <c:formatCode>General</c:formatCode>
                <c:ptCount val="6"/>
                <c:pt idx="0">
                  <c:v>0.97</c:v>
                </c:pt>
                <c:pt idx="1">
                  <c:v>2.4700000000000002</c:v>
                </c:pt>
                <c:pt idx="2">
                  <c:v>3.58</c:v>
                </c:pt>
                <c:pt idx="3">
                  <c:v>4.13</c:v>
                </c:pt>
                <c:pt idx="4">
                  <c:v>4.66</c:v>
                </c:pt>
                <c:pt idx="5">
                  <c:v>6.04</c:v>
                </c:pt>
              </c:numCache>
            </c:numRef>
          </c:xVal>
          <c:yVal>
            <c:numRef>
              <c:f>'COMPRESIÓN INCONF.'!$AG$28:$AG$33</c:f>
              <c:numCache>
                <c:formatCode>0.000</c:formatCode>
                <c:ptCount val="6"/>
                <c:pt idx="0">
                  <c:v>0.23008293532249138</c:v>
                </c:pt>
                <c:pt idx="1">
                  <c:v>0.4201514471106364</c:v>
                </c:pt>
                <c:pt idx="2">
                  <c:v>0.55704289604392654</c:v>
                </c:pt>
                <c:pt idx="3">
                  <c:v>0.61653802577262562</c:v>
                </c:pt>
                <c:pt idx="4">
                  <c:v>0.66760906633619921</c:v>
                </c:pt>
                <c:pt idx="5">
                  <c:v>0.71710059018131178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4B26-49FE-A5EF-F300EC62CF9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65700624"/>
        <c:axId val="365699184"/>
      </c:scatterChart>
      <c:valAx>
        <c:axId val="3657006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Deformación (mm)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65699184"/>
        <c:crosses val="autoZero"/>
        <c:crossBetween val="midCat"/>
      </c:valAx>
      <c:valAx>
        <c:axId val="365699184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Esfuerzo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65700624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/>
              <a:t>RELACIÓN ESFUERZO/DEFORMACIÓN VELOCIDAD RÁPIDA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'COMPRESIÓN INCONF.'!$AD$34:$AD$39</c:f>
              <c:strCache>
                <c:ptCount val="6"/>
                <c:pt idx="0">
                  <c:v>M60AR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sysDot"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sysDot"/>
              </a:ln>
              <a:effectLst/>
            </c:spPr>
          </c:marker>
          <c:xVal>
            <c:numRef>
              <c:f>'COMPRESIÓN INCONF.'!$AF$34:$AF$39</c:f>
              <c:numCache>
                <c:formatCode>General</c:formatCode>
                <c:ptCount val="6"/>
                <c:pt idx="0">
                  <c:v>0.84</c:v>
                </c:pt>
                <c:pt idx="1">
                  <c:v>1.97</c:v>
                </c:pt>
                <c:pt idx="2">
                  <c:v>2.98</c:v>
                </c:pt>
                <c:pt idx="3">
                  <c:v>5.24</c:v>
                </c:pt>
                <c:pt idx="4">
                  <c:v>6.11</c:v>
                </c:pt>
                <c:pt idx="5">
                  <c:v>8.5</c:v>
                </c:pt>
              </c:numCache>
            </c:numRef>
          </c:xVal>
          <c:yVal>
            <c:numRef>
              <c:f>'COMPRESIÓN INCONF.'!$AG$34:$AG$39</c:f>
              <c:numCache>
                <c:formatCode>0.000</c:formatCode>
                <c:ptCount val="6"/>
                <c:pt idx="0">
                  <c:v>0.27440957522368464</c:v>
                </c:pt>
                <c:pt idx="1">
                  <c:v>0.42737611809790438</c:v>
                </c:pt>
                <c:pt idx="2">
                  <c:v>0.49042313914741387</c:v>
                </c:pt>
                <c:pt idx="3">
                  <c:v>0.71005415509857395</c:v>
                </c:pt>
                <c:pt idx="4">
                  <c:v>0.73692665587377471</c:v>
                </c:pt>
                <c:pt idx="5">
                  <c:v>0.86405425569491667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C4D6-4AFE-9E11-9F5332680503}"/>
            </c:ext>
          </c:extLst>
        </c:ser>
        <c:ser>
          <c:idx val="1"/>
          <c:order val="1"/>
          <c:tx>
            <c:strRef>
              <c:f>'COMPRESIÓN INCONF.'!$AD$40:$AD$45</c:f>
              <c:strCache>
                <c:ptCount val="6"/>
                <c:pt idx="0">
                  <c:v>M60BR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plus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dash"/>
              </a:ln>
              <a:effectLst/>
            </c:spPr>
          </c:marker>
          <c:xVal>
            <c:numRef>
              <c:f>'COMPRESIÓN INCONF.'!$AF$40:$AF$45</c:f>
              <c:numCache>
                <c:formatCode>General</c:formatCode>
                <c:ptCount val="6"/>
                <c:pt idx="0">
                  <c:v>0.74</c:v>
                </c:pt>
                <c:pt idx="1">
                  <c:v>1.75</c:v>
                </c:pt>
                <c:pt idx="2">
                  <c:v>2.4900000000000002</c:v>
                </c:pt>
                <c:pt idx="3">
                  <c:v>3.02</c:v>
                </c:pt>
                <c:pt idx="4">
                  <c:v>5.32</c:v>
                </c:pt>
                <c:pt idx="5">
                  <c:v>6.01</c:v>
                </c:pt>
              </c:numCache>
            </c:numRef>
          </c:xVal>
          <c:yVal>
            <c:numRef>
              <c:f>'COMPRESIÓN INCONF.'!$AG$40:$AG$45</c:f>
              <c:numCache>
                <c:formatCode>0.000</c:formatCode>
                <c:ptCount val="6"/>
                <c:pt idx="0">
                  <c:v>0.24988447628286639</c:v>
                </c:pt>
                <c:pt idx="1">
                  <c:v>0.45107626018513142</c:v>
                </c:pt>
                <c:pt idx="2">
                  <c:v>0.54097046150316463</c:v>
                </c:pt>
                <c:pt idx="3">
                  <c:v>0.65333821315070639</c:v>
                </c:pt>
                <c:pt idx="4">
                  <c:v>0.79085493778603111</c:v>
                </c:pt>
                <c:pt idx="5">
                  <c:v>0.82617051687525844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C4D6-4AFE-9E11-9F5332680503}"/>
            </c:ext>
          </c:extLst>
        </c:ser>
        <c:ser>
          <c:idx val="2"/>
          <c:order val="2"/>
          <c:tx>
            <c:strRef>
              <c:f>'COMPRESIÓN INCONF.'!$AD$46:$AD$51</c:f>
              <c:strCache>
                <c:ptCount val="6"/>
                <c:pt idx="0">
                  <c:v>M60CR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dashDot"/>
              <a:round/>
            </a:ln>
            <a:effectLst/>
          </c:spPr>
          <c:marker>
            <c:symbol val="triang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lgDashDot"/>
              </a:ln>
              <a:effectLst/>
            </c:spPr>
          </c:marker>
          <c:xVal>
            <c:numRef>
              <c:f>'COMPRESIÓN INCONF.'!$AF$46:$AF$51</c:f>
              <c:numCache>
                <c:formatCode>General</c:formatCode>
                <c:ptCount val="6"/>
                <c:pt idx="0">
                  <c:v>0.92</c:v>
                </c:pt>
                <c:pt idx="1">
                  <c:v>1.6</c:v>
                </c:pt>
                <c:pt idx="2">
                  <c:v>2.99</c:v>
                </c:pt>
                <c:pt idx="3">
                  <c:v>3.63</c:v>
                </c:pt>
                <c:pt idx="4">
                  <c:v>4.2699999999999996</c:v>
                </c:pt>
                <c:pt idx="5">
                  <c:v>4.87</c:v>
                </c:pt>
              </c:numCache>
            </c:numRef>
          </c:xVal>
          <c:yVal>
            <c:numRef>
              <c:f>'COMPRESIÓN INCONF.'!$AG$46:$AG$51</c:f>
              <c:numCache>
                <c:formatCode>0.000</c:formatCode>
                <c:ptCount val="6"/>
                <c:pt idx="0">
                  <c:v>0.26318399610942156</c:v>
                </c:pt>
                <c:pt idx="1">
                  <c:v>0.40205776480747607</c:v>
                </c:pt>
                <c:pt idx="2">
                  <c:v>0.58618253678916621</c:v>
                </c:pt>
                <c:pt idx="3">
                  <c:v>0.65327885200283298</c:v>
                </c:pt>
                <c:pt idx="4">
                  <c:v>0.75366326158607089</c:v>
                </c:pt>
                <c:pt idx="5">
                  <c:v>0.82804134744308133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C4D6-4AFE-9E11-9F533268050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43206944"/>
        <c:axId val="471467600"/>
      </c:scatterChart>
      <c:valAx>
        <c:axId val="3432069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Deformación (mm)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471467600"/>
        <c:crosses val="autoZero"/>
        <c:crossBetween val="midCat"/>
      </c:valAx>
      <c:valAx>
        <c:axId val="471467600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Esfuerzo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43206944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 sz="1400" b="0" i="0" u="none" strike="noStrike" kern="1200" spc="0" baseline="0">
                <a:solidFill>
                  <a:sysClr val="windowText" lastClr="000000">
                    <a:lumMod val="65000"/>
                    <a:lumOff val="35000"/>
                  </a:sysClr>
                </a:solidFill>
                <a:latin typeface="Times New Roman" panose="02020603050405020304" pitchFamily="18" charset="0"/>
                <a:cs typeface="Times New Roman" panose="02020603050405020304" pitchFamily="18" charset="0"/>
              </a:rPr>
              <a:t>RELACIÓN ESFUERZO/DEFORMACIÓN VELOCIDAD LENTA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'COMPRESIÓN INCONF.'!$AT$16:$AT$21</c:f>
              <c:strCache>
                <c:ptCount val="6"/>
                <c:pt idx="0">
                  <c:v>M90AL</c:v>
                </c:pt>
              </c:strCache>
            </c:strRef>
          </c:tx>
          <c:spPr>
            <a:ln w="15875" cap="rnd">
              <a:solidFill>
                <a:schemeClr val="tx1"/>
              </a:solidFill>
              <a:prstDash val="sysDot"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sysDot"/>
              </a:ln>
              <a:effectLst/>
            </c:spPr>
          </c:marker>
          <c:xVal>
            <c:numRef>
              <c:f>'COMPRESIÓN INCONF.'!$AV$16:$AV$21</c:f>
              <c:numCache>
                <c:formatCode>General</c:formatCode>
                <c:ptCount val="6"/>
                <c:pt idx="0">
                  <c:v>0.56000000000000005</c:v>
                </c:pt>
                <c:pt idx="1">
                  <c:v>3.39</c:v>
                </c:pt>
                <c:pt idx="2">
                  <c:v>4.96</c:v>
                </c:pt>
                <c:pt idx="3">
                  <c:v>7.38</c:v>
                </c:pt>
                <c:pt idx="4">
                  <c:v>9.7200000000000006</c:v>
                </c:pt>
                <c:pt idx="5">
                  <c:v>11.83</c:v>
                </c:pt>
              </c:numCache>
            </c:numRef>
          </c:xVal>
          <c:yVal>
            <c:numRef>
              <c:f>'COMPRESIÓN INCONF.'!$AW$16:$AW$21</c:f>
              <c:numCache>
                <c:formatCode>0.000</c:formatCode>
                <c:ptCount val="6"/>
                <c:pt idx="0">
                  <c:v>0.39748978929912304</c:v>
                </c:pt>
                <c:pt idx="1">
                  <c:v>0.51445685946694475</c:v>
                </c:pt>
                <c:pt idx="2">
                  <c:v>0.59326094487662129</c:v>
                </c:pt>
                <c:pt idx="3">
                  <c:v>0.73203543490624035</c:v>
                </c:pt>
                <c:pt idx="4">
                  <c:v>0.81480450574533458</c:v>
                </c:pt>
                <c:pt idx="5">
                  <c:v>0.92037224280358043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78E6-43EE-8699-B75453F6C409}"/>
            </c:ext>
          </c:extLst>
        </c:ser>
        <c:ser>
          <c:idx val="1"/>
          <c:order val="1"/>
          <c:tx>
            <c:strRef>
              <c:f>'COMPRESIÓN INCONF.'!$AT$22:$AT$27</c:f>
              <c:strCache>
                <c:ptCount val="6"/>
                <c:pt idx="0">
                  <c:v>M90BL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squar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dash"/>
              </a:ln>
              <a:effectLst/>
            </c:spPr>
          </c:marker>
          <c:xVal>
            <c:numRef>
              <c:f>'COMPRESIÓN INCONF.'!$AV$22:$AV$27</c:f>
              <c:numCache>
                <c:formatCode>General</c:formatCode>
                <c:ptCount val="6"/>
                <c:pt idx="0">
                  <c:v>0.75</c:v>
                </c:pt>
                <c:pt idx="1">
                  <c:v>1.58</c:v>
                </c:pt>
                <c:pt idx="2">
                  <c:v>3.2</c:v>
                </c:pt>
                <c:pt idx="3">
                  <c:v>3.84</c:v>
                </c:pt>
                <c:pt idx="4">
                  <c:v>4.97</c:v>
                </c:pt>
                <c:pt idx="5">
                  <c:v>5.35</c:v>
                </c:pt>
              </c:numCache>
            </c:numRef>
          </c:xVal>
          <c:yVal>
            <c:numRef>
              <c:f>'COMPRESIÓN INCONF.'!$AW$22:$AW$27</c:f>
              <c:numCache>
                <c:formatCode>0.000</c:formatCode>
                <c:ptCount val="6"/>
                <c:pt idx="0">
                  <c:v>0.52313775861428014</c:v>
                </c:pt>
                <c:pt idx="1">
                  <c:v>0.59720113022268284</c:v>
                </c:pt>
                <c:pt idx="2">
                  <c:v>0.73489641264957217</c:v>
                </c:pt>
                <c:pt idx="3">
                  <c:v>0.78548899748066403</c:v>
                </c:pt>
                <c:pt idx="4">
                  <c:v>0.83816787446973906</c:v>
                </c:pt>
                <c:pt idx="5">
                  <c:v>0.84651304310167175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78E6-43EE-8699-B75453F6C409}"/>
            </c:ext>
          </c:extLst>
        </c:ser>
        <c:ser>
          <c:idx val="2"/>
          <c:order val="2"/>
          <c:tx>
            <c:strRef>
              <c:f>'COMPRESIÓN INCONF.'!$AT$28:$AT$33</c:f>
              <c:strCache>
                <c:ptCount val="6"/>
                <c:pt idx="0">
                  <c:v>M90CL</c:v>
                </c:pt>
              </c:strCache>
            </c:strRef>
          </c:tx>
          <c:spPr>
            <a:ln w="15875" cap="rnd">
              <a:solidFill>
                <a:schemeClr val="tx1"/>
              </a:solidFill>
              <a:prstDash val="dashDot"/>
              <a:round/>
            </a:ln>
            <a:effectLst/>
          </c:spPr>
          <c:marker>
            <c:symbol val="triang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lgDashDot"/>
              </a:ln>
              <a:effectLst/>
            </c:spPr>
          </c:marker>
          <c:xVal>
            <c:numRef>
              <c:f>'COMPRESIÓN INCONF.'!$AV$28:$AV$33</c:f>
              <c:numCache>
                <c:formatCode>General</c:formatCode>
                <c:ptCount val="6"/>
                <c:pt idx="0">
                  <c:v>0.88</c:v>
                </c:pt>
                <c:pt idx="1">
                  <c:v>1.66</c:v>
                </c:pt>
                <c:pt idx="2">
                  <c:v>2.84</c:v>
                </c:pt>
                <c:pt idx="3">
                  <c:v>3.81</c:v>
                </c:pt>
                <c:pt idx="4">
                  <c:v>4.5199999999999996</c:v>
                </c:pt>
                <c:pt idx="5">
                  <c:v>4.37</c:v>
                </c:pt>
              </c:numCache>
            </c:numRef>
          </c:xVal>
          <c:yVal>
            <c:numRef>
              <c:f>'COMPRESIÓN INCONF.'!$AW$28:$AW$33</c:f>
              <c:numCache>
                <c:formatCode>0.000</c:formatCode>
                <c:ptCount val="6"/>
                <c:pt idx="0">
                  <c:v>0.61293784796866269</c:v>
                </c:pt>
                <c:pt idx="1">
                  <c:v>0.6794260213076363</c:v>
                </c:pt>
                <c:pt idx="2">
                  <c:v>0.7661723099608283</c:v>
                </c:pt>
                <c:pt idx="3">
                  <c:v>0.82486890048664097</c:v>
                </c:pt>
                <c:pt idx="4">
                  <c:v>0.83473823871664488</c:v>
                </c:pt>
                <c:pt idx="5">
                  <c:v>0.83785487184190921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78E6-43EE-8699-B75453F6C40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65700624"/>
        <c:axId val="365699184"/>
      </c:scatterChart>
      <c:valAx>
        <c:axId val="36570062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Deformación (mm)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65699184"/>
        <c:crosses val="autoZero"/>
        <c:crossBetween val="midCat"/>
      </c:valAx>
      <c:valAx>
        <c:axId val="365699184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 sz="1000" b="0" i="0" u="none" strike="noStrike" kern="1200" baseline="0">
                    <a:solidFill>
                      <a:sysClr val="windowText" lastClr="000000">
                        <a:lumMod val="65000"/>
                        <a:lumOff val="35000"/>
                      </a:sysClr>
                    </a:solidFill>
                    <a:latin typeface="Times New Roman" panose="02020603050405020304" pitchFamily="18" charset="0"/>
                    <a:cs typeface="Times New Roman" panose="02020603050405020304" pitchFamily="18" charset="0"/>
                  </a:rPr>
                  <a:t>Esfuerzo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65700624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/>
              <a:t>RELACIÓN ESFUERZO/DEFORMACIÓN VELOCIDAD RÁPIDA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tx>
            <c:strRef>
              <c:f>'COMPRESIÓN INCONF.'!$AT$34:$AT$39</c:f>
              <c:strCache>
                <c:ptCount val="6"/>
                <c:pt idx="0">
                  <c:v>M90AR</c:v>
                </c:pt>
              </c:strCache>
            </c:strRef>
          </c:tx>
          <c:spPr>
            <a:ln w="15875" cap="rnd">
              <a:solidFill>
                <a:schemeClr val="tx1"/>
              </a:solidFill>
              <a:prstDash val="sysDot"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sysDot"/>
              </a:ln>
              <a:effectLst/>
            </c:spPr>
          </c:marker>
          <c:xVal>
            <c:numRef>
              <c:f>'COMPRESIÓN INCONF.'!$AV$34:$AV$39</c:f>
              <c:numCache>
                <c:formatCode>General</c:formatCode>
                <c:ptCount val="6"/>
                <c:pt idx="0">
                  <c:v>0.48</c:v>
                </c:pt>
                <c:pt idx="1">
                  <c:v>2.0699999999999998</c:v>
                </c:pt>
                <c:pt idx="2">
                  <c:v>5.09</c:v>
                </c:pt>
                <c:pt idx="3">
                  <c:v>6.34</c:v>
                </c:pt>
                <c:pt idx="4">
                  <c:v>7.5</c:v>
                </c:pt>
                <c:pt idx="5">
                  <c:v>8.31</c:v>
                </c:pt>
              </c:numCache>
            </c:numRef>
          </c:xVal>
          <c:yVal>
            <c:numRef>
              <c:f>'COMPRESIÓN INCONF.'!$AW$34:$AW$39</c:f>
              <c:numCache>
                <c:formatCode>0.000</c:formatCode>
                <c:ptCount val="6"/>
                <c:pt idx="0">
                  <c:v>0.51486500068558105</c:v>
                </c:pt>
                <c:pt idx="1">
                  <c:v>0.60756085208102817</c:v>
                </c:pt>
                <c:pt idx="2">
                  <c:v>0.80101306368891778</c:v>
                </c:pt>
                <c:pt idx="3">
                  <c:v>0.86801604323019199</c:v>
                </c:pt>
                <c:pt idx="4">
                  <c:v>0.90529589650879572</c:v>
                </c:pt>
                <c:pt idx="5">
                  <c:v>0.90781480551410676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5173-4658-B79B-B4085B806602}"/>
            </c:ext>
          </c:extLst>
        </c:ser>
        <c:ser>
          <c:idx val="1"/>
          <c:order val="1"/>
          <c:tx>
            <c:strRef>
              <c:f>'COMPRESIÓN INCONF.'!$AT$40:$AT$45</c:f>
              <c:strCache>
                <c:ptCount val="6"/>
                <c:pt idx="0">
                  <c:v>M90BR</c:v>
                </c:pt>
              </c:strCache>
            </c:strRef>
          </c:tx>
          <c:spPr>
            <a:ln w="12700" cap="rnd">
              <a:solidFill>
                <a:schemeClr val="tx1"/>
              </a:solidFill>
              <a:prstDash val="dash"/>
              <a:round/>
            </a:ln>
            <a:effectLst/>
          </c:spPr>
          <c:marker>
            <c:symbol val="plus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dash"/>
              </a:ln>
              <a:effectLst/>
            </c:spPr>
          </c:marker>
          <c:xVal>
            <c:numRef>
              <c:f>'COMPRESIÓN INCONF.'!$AV$40:$AV$45</c:f>
              <c:numCache>
                <c:formatCode>General</c:formatCode>
                <c:ptCount val="6"/>
                <c:pt idx="0">
                  <c:v>0.91</c:v>
                </c:pt>
                <c:pt idx="1">
                  <c:v>2.0499999999999998</c:v>
                </c:pt>
                <c:pt idx="2">
                  <c:v>2.77</c:v>
                </c:pt>
                <c:pt idx="3">
                  <c:v>3.46</c:v>
                </c:pt>
                <c:pt idx="4">
                  <c:v>3.63</c:v>
                </c:pt>
                <c:pt idx="5">
                  <c:v>4.1100000000000003</c:v>
                </c:pt>
              </c:numCache>
            </c:numRef>
          </c:xVal>
          <c:yVal>
            <c:numRef>
              <c:f>'COMPRESIÓN INCONF.'!$AW$40:$AW$45</c:f>
              <c:numCache>
                <c:formatCode>0.000</c:formatCode>
                <c:ptCount val="6"/>
                <c:pt idx="0">
                  <c:v>0.64245625442892984</c:v>
                </c:pt>
                <c:pt idx="1">
                  <c:v>0.77275574311691642</c:v>
                </c:pt>
                <c:pt idx="2">
                  <c:v>0.81157967239945938</c:v>
                </c:pt>
                <c:pt idx="3">
                  <c:v>0.82859838112605355</c:v>
                </c:pt>
                <c:pt idx="4">
                  <c:v>0.83976690872788096</c:v>
                </c:pt>
                <c:pt idx="5">
                  <c:v>0.8488080977388841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1-5173-4658-B79B-B4085B806602}"/>
            </c:ext>
          </c:extLst>
        </c:ser>
        <c:ser>
          <c:idx val="2"/>
          <c:order val="2"/>
          <c:tx>
            <c:strRef>
              <c:f>'COMPRESIÓN INCONF.'!$AT$46:$AT$51</c:f>
              <c:strCache>
                <c:ptCount val="6"/>
                <c:pt idx="0">
                  <c:v>M90CR</c:v>
                </c:pt>
              </c:strCache>
            </c:strRef>
          </c:tx>
          <c:spPr>
            <a:ln w="15875" cap="rnd">
              <a:solidFill>
                <a:schemeClr val="tx1"/>
              </a:solidFill>
              <a:prstDash val="dashDot"/>
              <a:round/>
            </a:ln>
            <a:effectLst/>
          </c:spPr>
          <c:marker>
            <c:symbol val="triangle"/>
            <c:size val="5"/>
            <c:spPr>
              <a:solidFill>
                <a:schemeClr val="tx1"/>
              </a:solidFill>
              <a:ln w="9525">
                <a:solidFill>
                  <a:schemeClr val="tx1"/>
                </a:solidFill>
                <a:prstDash val="lgDashDot"/>
              </a:ln>
              <a:effectLst/>
            </c:spPr>
          </c:marker>
          <c:xVal>
            <c:numRef>
              <c:f>'COMPRESIÓN INCONF.'!$AV$46:$AV$51</c:f>
              <c:numCache>
                <c:formatCode>General</c:formatCode>
                <c:ptCount val="6"/>
                <c:pt idx="0">
                  <c:v>0.87</c:v>
                </c:pt>
                <c:pt idx="1">
                  <c:v>2.39</c:v>
                </c:pt>
                <c:pt idx="2">
                  <c:v>5.19</c:v>
                </c:pt>
                <c:pt idx="3">
                  <c:v>7.35</c:v>
                </c:pt>
                <c:pt idx="4">
                  <c:v>8.83</c:v>
                </c:pt>
                <c:pt idx="5">
                  <c:v>10.19</c:v>
                </c:pt>
              </c:numCache>
            </c:numRef>
          </c:xVal>
          <c:yVal>
            <c:numRef>
              <c:f>'COMPRESIÓN INCONF.'!$AW$46:$AW$51</c:f>
              <c:numCache>
                <c:formatCode>0.000</c:formatCode>
                <c:ptCount val="6"/>
                <c:pt idx="0">
                  <c:v>0.46503281247725925</c:v>
                </c:pt>
                <c:pt idx="1">
                  <c:v>0.5572375942615434</c:v>
                </c:pt>
                <c:pt idx="2">
                  <c:v>0.73112378599603589</c:v>
                </c:pt>
                <c:pt idx="3">
                  <c:v>0.86742650689454293</c:v>
                </c:pt>
                <c:pt idx="4">
                  <c:v>0.93808343206619538</c:v>
                </c:pt>
                <c:pt idx="5">
                  <c:v>0.96764909579050395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5173-4658-B79B-B4085B80660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343206944"/>
        <c:axId val="471467600"/>
      </c:scatterChart>
      <c:valAx>
        <c:axId val="343206944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Deformación (mm)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471467600"/>
        <c:crosses val="autoZero"/>
        <c:crossBetween val="midCat"/>
      </c:valAx>
      <c:valAx>
        <c:axId val="471467600"/>
        <c:scaling>
          <c:orientation val="minMax"/>
          <c:min val="0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Esfuerzo (Mpa)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0.000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343206944"/>
        <c:crosses val="autoZero"/>
        <c:crossBetween val="midCat"/>
      </c:valAx>
      <c:spPr>
        <a:noFill/>
        <a:ln>
          <a:noFill/>
        </a:ln>
        <a:effectLst/>
      </c:spPr>
    </c:plotArea>
    <c:legend>
      <c:legendPos val="r"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900" b="0" i="0" u="none" strike="noStrike" kern="120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legend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1"/>
    </mc:Choice>
    <mc:Fallback>
      <c:style val="1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/>
              <a:t>CONTROL DE TEMPERATURA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dk1">
                    <a:tint val="88500"/>
                  </a:schemeClr>
                </a:solidFill>
              </a:ln>
              <a:effectLst/>
            </c:spPr>
          </c:marker>
          <c:xVal>
            <c:numRef>
              <c:f>'CONTROL H Y T'!$C$5:$C$130</c:f>
              <c:numCache>
                <c:formatCode>General</c:formatCode>
                <c:ptCount val="126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  <c:pt idx="20">
                  <c:v>21</c:v>
                </c:pt>
                <c:pt idx="21">
                  <c:v>22</c:v>
                </c:pt>
                <c:pt idx="22">
                  <c:v>23</c:v>
                </c:pt>
                <c:pt idx="23">
                  <c:v>24</c:v>
                </c:pt>
                <c:pt idx="24">
                  <c:v>25</c:v>
                </c:pt>
                <c:pt idx="25">
                  <c:v>26</c:v>
                </c:pt>
                <c:pt idx="26">
                  <c:v>27</c:v>
                </c:pt>
                <c:pt idx="27">
                  <c:v>28</c:v>
                </c:pt>
                <c:pt idx="28">
                  <c:v>29</c:v>
                </c:pt>
                <c:pt idx="29">
                  <c:v>30</c:v>
                </c:pt>
                <c:pt idx="30">
                  <c:v>31</c:v>
                </c:pt>
                <c:pt idx="31">
                  <c:v>32</c:v>
                </c:pt>
                <c:pt idx="32">
                  <c:v>33</c:v>
                </c:pt>
                <c:pt idx="33">
                  <c:v>34</c:v>
                </c:pt>
                <c:pt idx="34">
                  <c:v>35</c:v>
                </c:pt>
                <c:pt idx="35">
                  <c:v>36</c:v>
                </c:pt>
                <c:pt idx="36">
                  <c:v>37</c:v>
                </c:pt>
                <c:pt idx="37">
                  <c:v>38</c:v>
                </c:pt>
                <c:pt idx="38">
                  <c:v>39</c:v>
                </c:pt>
                <c:pt idx="39">
                  <c:v>40</c:v>
                </c:pt>
                <c:pt idx="40">
                  <c:v>41</c:v>
                </c:pt>
                <c:pt idx="41">
                  <c:v>42</c:v>
                </c:pt>
                <c:pt idx="42">
                  <c:v>43</c:v>
                </c:pt>
                <c:pt idx="43">
                  <c:v>44</c:v>
                </c:pt>
                <c:pt idx="44">
                  <c:v>45</c:v>
                </c:pt>
                <c:pt idx="45">
                  <c:v>46</c:v>
                </c:pt>
                <c:pt idx="46">
                  <c:v>47</c:v>
                </c:pt>
                <c:pt idx="47">
                  <c:v>48</c:v>
                </c:pt>
                <c:pt idx="48">
                  <c:v>49</c:v>
                </c:pt>
                <c:pt idx="49">
                  <c:v>50</c:v>
                </c:pt>
                <c:pt idx="50">
                  <c:v>51</c:v>
                </c:pt>
                <c:pt idx="51">
                  <c:v>52</c:v>
                </c:pt>
                <c:pt idx="52">
                  <c:v>53</c:v>
                </c:pt>
                <c:pt idx="53">
                  <c:v>54</c:v>
                </c:pt>
                <c:pt idx="54">
                  <c:v>55</c:v>
                </c:pt>
                <c:pt idx="55">
                  <c:v>56</c:v>
                </c:pt>
                <c:pt idx="56">
                  <c:v>57</c:v>
                </c:pt>
                <c:pt idx="57">
                  <c:v>58</c:v>
                </c:pt>
                <c:pt idx="58">
                  <c:v>59</c:v>
                </c:pt>
                <c:pt idx="59">
                  <c:v>60</c:v>
                </c:pt>
                <c:pt idx="60">
                  <c:v>61</c:v>
                </c:pt>
                <c:pt idx="61">
                  <c:v>62</c:v>
                </c:pt>
                <c:pt idx="62">
                  <c:v>63</c:v>
                </c:pt>
                <c:pt idx="63">
                  <c:v>64</c:v>
                </c:pt>
                <c:pt idx="64">
                  <c:v>65</c:v>
                </c:pt>
                <c:pt idx="65">
                  <c:v>66</c:v>
                </c:pt>
                <c:pt idx="66">
                  <c:v>67</c:v>
                </c:pt>
                <c:pt idx="67">
                  <c:v>68</c:v>
                </c:pt>
                <c:pt idx="68">
                  <c:v>69</c:v>
                </c:pt>
                <c:pt idx="69">
                  <c:v>70</c:v>
                </c:pt>
                <c:pt idx="70">
                  <c:v>71</c:v>
                </c:pt>
                <c:pt idx="71">
                  <c:v>72</c:v>
                </c:pt>
                <c:pt idx="72">
                  <c:v>73</c:v>
                </c:pt>
                <c:pt idx="73">
                  <c:v>74</c:v>
                </c:pt>
                <c:pt idx="74">
                  <c:v>75</c:v>
                </c:pt>
                <c:pt idx="75">
                  <c:v>76</c:v>
                </c:pt>
                <c:pt idx="76">
                  <c:v>77</c:v>
                </c:pt>
                <c:pt idx="77">
                  <c:v>78</c:v>
                </c:pt>
                <c:pt idx="78">
                  <c:v>79</c:v>
                </c:pt>
                <c:pt idx="79">
                  <c:v>80</c:v>
                </c:pt>
                <c:pt idx="80">
                  <c:v>81</c:v>
                </c:pt>
                <c:pt idx="81">
                  <c:v>82</c:v>
                </c:pt>
                <c:pt idx="82">
                  <c:v>83</c:v>
                </c:pt>
                <c:pt idx="83">
                  <c:v>84</c:v>
                </c:pt>
                <c:pt idx="84">
                  <c:v>85</c:v>
                </c:pt>
                <c:pt idx="85">
                  <c:v>86</c:v>
                </c:pt>
                <c:pt idx="86">
                  <c:v>87</c:v>
                </c:pt>
                <c:pt idx="87">
                  <c:v>88</c:v>
                </c:pt>
                <c:pt idx="88">
                  <c:v>89</c:v>
                </c:pt>
                <c:pt idx="89">
                  <c:v>90</c:v>
                </c:pt>
                <c:pt idx="90">
                  <c:v>91</c:v>
                </c:pt>
                <c:pt idx="91">
                  <c:v>92</c:v>
                </c:pt>
                <c:pt idx="92">
                  <c:v>93</c:v>
                </c:pt>
                <c:pt idx="93">
                  <c:v>94</c:v>
                </c:pt>
                <c:pt idx="94">
                  <c:v>95</c:v>
                </c:pt>
                <c:pt idx="95">
                  <c:v>96</c:v>
                </c:pt>
                <c:pt idx="96">
                  <c:v>97</c:v>
                </c:pt>
                <c:pt idx="97">
                  <c:v>98</c:v>
                </c:pt>
                <c:pt idx="98">
                  <c:v>99</c:v>
                </c:pt>
                <c:pt idx="99">
                  <c:v>100</c:v>
                </c:pt>
                <c:pt idx="100">
                  <c:v>101</c:v>
                </c:pt>
                <c:pt idx="101">
                  <c:v>102</c:v>
                </c:pt>
                <c:pt idx="102">
                  <c:v>103</c:v>
                </c:pt>
                <c:pt idx="103">
                  <c:v>104</c:v>
                </c:pt>
                <c:pt idx="104">
                  <c:v>105</c:v>
                </c:pt>
                <c:pt idx="105">
                  <c:v>106</c:v>
                </c:pt>
                <c:pt idx="106">
                  <c:v>107</c:v>
                </c:pt>
                <c:pt idx="107">
                  <c:v>108</c:v>
                </c:pt>
                <c:pt idx="108">
                  <c:v>109</c:v>
                </c:pt>
                <c:pt idx="109">
                  <c:v>110</c:v>
                </c:pt>
                <c:pt idx="110">
                  <c:v>111</c:v>
                </c:pt>
                <c:pt idx="111">
                  <c:v>112</c:v>
                </c:pt>
                <c:pt idx="112">
                  <c:v>113</c:v>
                </c:pt>
                <c:pt idx="113">
                  <c:v>114</c:v>
                </c:pt>
                <c:pt idx="114">
                  <c:v>115</c:v>
                </c:pt>
                <c:pt idx="115">
                  <c:v>116</c:v>
                </c:pt>
                <c:pt idx="116">
                  <c:v>117</c:v>
                </c:pt>
                <c:pt idx="117">
                  <c:v>118</c:v>
                </c:pt>
                <c:pt idx="118">
                  <c:v>119</c:v>
                </c:pt>
                <c:pt idx="119">
                  <c:v>120</c:v>
                </c:pt>
                <c:pt idx="120">
                  <c:v>121</c:v>
                </c:pt>
                <c:pt idx="121">
                  <c:v>122</c:v>
                </c:pt>
                <c:pt idx="122">
                  <c:v>123</c:v>
                </c:pt>
                <c:pt idx="123">
                  <c:v>124</c:v>
                </c:pt>
                <c:pt idx="124">
                  <c:v>125</c:v>
                </c:pt>
                <c:pt idx="125">
                  <c:v>126</c:v>
                </c:pt>
              </c:numCache>
            </c:numRef>
          </c:xVal>
          <c:yVal>
            <c:numRef>
              <c:f>'CONTROL H Y T'!$E$5:$E$130</c:f>
              <c:numCache>
                <c:formatCode>General</c:formatCode>
                <c:ptCount val="126"/>
                <c:pt idx="0">
                  <c:v>19.5</c:v>
                </c:pt>
                <c:pt idx="1">
                  <c:v>18.5</c:v>
                </c:pt>
                <c:pt idx="2">
                  <c:v>18.399999999999999</c:v>
                </c:pt>
                <c:pt idx="4">
                  <c:v>19.5</c:v>
                </c:pt>
                <c:pt idx="5">
                  <c:v>19.5</c:v>
                </c:pt>
                <c:pt idx="6">
                  <c:v>19.5</c:v>
                </c:pt>
                <c:pt idx="7">
                  <c:v>18.399999999999999</c:v>
                </c:pt>
                <c:pt idx="8">
                  <c:v>21.4</c:v>
                </c:pt>
                <c:pt idx="9">
                  <c:v>19.5</c:v>
                </c:pt>
                <c:pt idx="11">
                  <c:v>18.5</c:v>
                </c:pt>
                <c:pt idx="12">
                  <c:v>18.399999999999999</c:v>
                </c:pt>
                <c:pt idx="13">
                  <c:v>19.5</c:v>
                </c:pt>
                <c:pt idx="14">
                  <c:v>18.399999999999999</c:v>
                </c:pt>
                <c:pt idx="15">
                  <c:v>19.5</c:v>
                </c:pt>
                <c:pt idx="16">
                  <c:v>18.5</c:v>
                </c:pt>
                <c:pt idx="18">
                  <c:v>18.3</c:v>
                </c:pt>
                <c:pt idx="19">
                  <c:v>18.399999999999999</c:v>
                </c:pt>
                <c:pt idx="20">
                  <c:v>18.3</c:v>
                </c:pt>
                <c:pt idx="21">
                  <c:v>18.3</c:v>
                </c:pt>
                <c:pt idx="22">
                  <c:v>18.7</c:v>
                </c:pt>
                <c:pt idx="23">
                  <c:v>18.7</c:v>
                </c:pt>
                <c:pt idx="25">
                  <c:v>18.7</c:v>
                </c:pt>
                <c:pt idx="26">
                  <c:v>18.3</c:v>
                </c:pt>
                <c:pt idx="27">
                  <c:v>18.3</c:v>
                </c:pt>
                <c:pt idx="28">
                  <c:v>18.399999999999999</c:v>
                </c:pt>
                <c:pt idx="29">
                  <c:v>18.5</c:v>
                </c:pt>
                <c:pt idx="30">
                  <c:v>18.399999999999999</c:v>
                </c:pt>
                <c:pt idx="32">
                  <c:v>18.3</c:v>
                </c:pt>
                <c:pt idx="33">
                  <c:v>18.5</c:v>
                </c:pt>
                <c:pt idx="34">
                  <c:v>18.399999999999999</c:v>
                </c:pt>
                <c:pt idx="35">
                  <c:v>18.2</c:v>
                </c:pt>
                <c:pt idx="36">
                  <c:v>18.5</c:v>
                </c:pt>
                <c:pt idx="37">
                  <c:v>18.3</c:v>
                </c:pt>
                <c:pt idx="39">
                  <c:v>18.2</c:v>
                </c:pt>
                <c:pt idx="40">
                  <c:v>18.3</c:v>
                </c:pt>
                <c:pt idx="41">
                  <c:v>18.7</c:v>
                </c:pt>
                <c:pt idx="43">
                  <c:v>18.600000000000001</c:v>
                </c:pt>
                <c:pt idx="44">
                  <c:v>18.399999999999999</c:v>
                </c:pt>
                <c:pt idx="46">
                  <c:v>18.7</c:v>
                </c:pt>
                <c:pt idx="47">
                  <c:v>18.399999999999999</c:v>
                </c:pt>
                <c:pt idx="48">
                  <c:v>18.5</c:v>
                </c:pt>
                <c:pt idx="49">
                  <c:v>18.5</c:v>
                </c:pt>
                <c:pt idx="50">
                  <c:v>18.899999999999999</c:v>
                </c:pt>
                <c:pt idx="51">
                  <c:v>18.5</c:v>
                </c:pt>
                <c:pt idx="54">
                  <c:v>18.5</c:v>
                </c:pt>
                <c:pt idx="55">
                  <c:v>18.399999999999999</c:v>
                </c:pt>
                <c:pt idx="56">
                  <c:v>18.7</c:v>
                </c:pt>
                <c:pt idx="57">
                  <c:v>18.3</c:v>
                </c:pt>
                <c:pt idx="58">
                  <c:v>18.7</c:v>
                </c:pt>
                <c:pt idx="60">
                  <c:v>18.3</c:v>
                </c:pt>
                <c:pt idx="61">
                  <c:v>19</c:v>
                </c:pt>
                <c:pt idx="62">
                  <c:v>18.5</c:v>
                </c:pt>
                <c:pt idx="63">
                  <c:v>19</c:v>
                </c:pt>
                <c:pt idx="64">
                  <c:v>18.7</c:v>
                </c:pt>
                <c:pt idx="65">
                  <c:v>19</c:v>
                </c:pt>
                <c:pt idx="67">
                  <c:v>19</c:v>
                </c:pt>
                <c:pt idx="68">
                  <c:v>18.7</c:v>
                </c:pt>
                <c:pt idx="69">
                  <c:v>19</c:v>
                </c:pt>
                <c:pt idx="70">
                  <c:v>19</c:v>
                </c:pt>
                <c:pt idx="71">
                  <c:v>18.5</c:v>
                </c:pt>
                <c:pt idx="72">
                  <c:v>18.7</c:v>
                </c:pt>
                <c:pt idx="74">
                  <c:v>19</c:v>
                </c:pt>
                <c:pt idx="75">
                  <c:v>19</c:v>
                </c:pt>
                <c:pt idx="76">
                  <c:v>19</c:v>
                </c:pt>
                <c:pt idx="77">
                  <c:v>19</c:v>
                </c:pt>
                <c:pt idx="78">
                  <c:v>19</c:v>
                </c:pt>
                <c:pt idx="79">
                  <c:v>19</c:v>
                </c:pt>
                <c:pt idx="81">
                  <c:v>18.7</c:v>
                </c:pt>
                <c:pt idx="82">
                  <c:v>18.8</c:v>
                </c:pt>
                <c:pt idx="83">
                  <c:v>19</c:v>
                </c:pt>
                <c:pt idx="84">
                  <c:v>18.600000000000001</c:v>
                </c:pt>
                <c:pt idx="85">
                  <c:v>19</c:v>
                </c:pt>
                <c:pt idx="86">
                  <c:v>19</c:v>
                </c:pt>
                <c:pt idx="88">
                  <c:v>18.7</c:v>
                </c:pt>
                <c:pt idx="89">
                  <c:v>18.7</c:v>
                </c:pt>
                <c:pt idx="90">
                  <c:v>19</c:v>
                </c:pt>
                <c:pt idx="91">
                  <c:v>19</c:v>
                </c:pt>
                <c:pt idx="92">
                  <c:v>19</c:v>
                </c:pt>
                <c:pt idx="93">
                  <c:v>18.7</c:v>
                </c:pt>
                <c:pt idx="95">
                  <c:v>19</c:v>
                </c:pt>
                <c:pt idx="96">
                  <c:v>19</c:v>
                </c:pt>
                <c:pt idx="97">
                  <c:v>18.7</c:v>
                </c:pt>
                <c:pt idx="98">
                  <c:v>18.7</c:v>
                </c:pt>
                <c:pt idx="99">
                  <c:v>18.7</c:v>
                </c:pt>
                <c:pt idx="100">
                  <c:v>19</c:v>
                </c:pt>
                <c:pt idx="102">
                  <c:v>19</c:v>
                </c:pt>
                <c:pt idx="103">
                  <c:v>18.7</c:v>
                </c:pt>
                <c:pt idx="104">
                  <c:v>18.7</c:v>
                </c:pt>
                <c:pt idx="105">
                  <c:v>19</c:v>
                </c:pt>
                <c:pt idx="106">
                  <c:v>19</c:v>
                </c:pt>
                <c:pt idx="107">
                  <c:v>19</c:v>
                </c:pt>
                <c:pt idx="109">
                  <c:v>18.7</c:v>
                </c:pt>
                <c:pt idx="110">
                  <c:v>18.7</c:v>
                </c:pt>
                <c:pt idx="111">
                  <c:v>19</c:v>
                </c:pt>
                <c:pt idx="112">
                  <c:v>18.7</c:v>
                </c:pt>
                <c:pt idx="113">
                  <c:v>18.7</c:v>
                </c:pt>
                <c:pt idx="114">
                  <c:v>19</c:v>
                </c:pt>
                <c:pt idx="116">
                  <c:v>19</c:v>
                </c:pt>
                <c:pt idx="117">
                  <c:v>18.7</c:v>
                </c:pt>
                <c:pt idx="118">
                  <c:v>19</c:v>
                </c:pt>
                <c:pt idx="119">
                  <c:v>19</c:v>
                </c:pt>
                <c:pt idx="120">
                  <c:v>18.7</c:v>
                </c:pt>
                <c:pt idx="121">
                  <c:v>19</c:v>
                </c:pt>
                <c:pt idx="123">
                  <c:v>18.7</c:v>
                </c:pt>
                <c:pt idx="124">
                  <c:v>18.7</c:v>
                </c:pt>
                <c:pt idx="125">
                  <c:v>18.7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2-5BCD-4B76-B79A-0D44F28CFA99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224121599"/>
        <c:axId val="1264387231"/>
      </c:scatterChart>
      <c:valAx>
        <c:axId val="1224121599"/>
        <c:scaling>
          <c:orientation val="minMax"/>
          <c:max val="13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Tiempo (días)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1264387231"/>
        <c:crosses val="autoZero"/>
        <c:crossBetween val="midCat"/>
      </c:valAx>
      <c:valAx>
        <c:axId val="1264387231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Temperatura (ºC)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1224121599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01"/>
    </mc:Choice>
    <mc:Fallback>
      <c:style val="1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r>
              <a:rPr lang="es-419"/>
              <a:t>CONTROL DE HUMEDAD</a:t>
            </a:r>
          </a:p>
        </c:rich>
      </c:tx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Times New Roman" panose="02020603050405020304" pitchFamily="18" charset="0"/>
              <a:ea typeface="+mn-ea"/>
              <a:cs typeface="Times New Roman" panose="02020603050405020304" pitchFamily="18" charset="0"/>
            </a:defRPr>
          </a:pPr>
          <a:endParaRPr lang="es-419"/>
        </a:p>
      </c:txPr>
    </c:title>
    <c:autoTitleDeleted val="0"/>
    <c:plotArea>
      <c:layout/>
      <c:scatterChart>
        <c:scatterStyle val="lineMarker"/>
        <c:varyColors val="0"/>
        <c:ser>
          <c:idx val="0"/>
          <c:order val="0"/>
          <c:spPr>
            <a:ln w="25400" cap="rnd">
              <a:noFill/>
              <a:round/>
            </a:ln>
            <a:effectLst/>
          </c:spPr>
          <c:marker>
            <c:symbol val="circle"/>
            <c:size val="5"/>
            <c:spPr>
              <a:solidFill>
                <a:schemeClr val="tx1"/>
              </a:solidFill>
              <a:ln w="9525">
                <a:solidFill>
                  <a:schemeClr val="dk1">
                    <a:tint val="88500"/>
                  </a:schemeClr>
                </a:solidFill>
              </a:ln>
              <a:effectLst/>
            </c:spPr>
          </c:marker>
          <c:xVal>
            <c:numRef>
              <c:f>'CONTROL H Y T'!$C$5:$C$130</c:f>
              <c:numCache>
                <c:formatCode>General</c:formatCode>
                <c:ptCount val="126"/>
                <c:pt idx="0">
                  <c:v>1</c:v>
                </c:pt>
                <c:pt idx="1">
                  <c:v>2</c:v>
                </c:pt>
                <c:pt idx="2">
                  <c:v>3</c:v>
                </c:pt>
                <c:pt idx="3">
                  <c:v>4</c:v>
                </c:pt>
                <c:pt idx="4">
                  <c:v>5</c:v>
                </c:pt>
                <c:pt idx="5">
                  <c:v>6</c:v>
                </c:pt>
                <c:pt idx="6">
                  <c:v>7</c:v>
                </c:pt>
                <c:pt idx="7">
                  <c:v>8</c:v>
                </c:pt>
                <c:pt idx="8">
                  <c:v>9</c:v>
                </c:pt>
                <c:pt idx="9">
                  <c:v>10</c:v>
                </c:pt>
                <c:pt idx="10">
                  <c:v>11</c:v>
                </c:pt>
                <c:pt idx="11">
                  <c:v>12</c:v>
                </c:pt>
                <c:pt idx="12">
                  <c:v>13</c:v>
                </c:pt>
                <c:pt idx="13">
                  <c:v>14</c:v>
                </c:pt>
                <c:pt idx="14">
                  <c:v>15</c:v>
                </c:pt>
                <c:pt idx="15">
                  <c:v>16</c:v>
                </c:pt>
                <c:pt idx="16">
                  <c:v>17</c:v>
                </c:pt>
                <c:pt idx="17">
                  <c:v>18</c:v>
                </c:pt>
                <c:pt idx="18">
                  <c:v>19</c:v>
                </c:pt>
                <c:pt idx="19">
                  <c:v>20</c:v>
                </c:pt>
                <c:pt idx="20">
                  <c:v>21</c:v>
                </c:pt>
                <c:pt idx="21">
                  <c:v>22</c:v>
                </c:pt>
                <c:pt idx="22">
                  <c:v>23</c:v>
                </c:pt>
                <c:pt idx="23">
                  <c:v>24</c:v>
                </c:pt>
                <c:pt idx="24">
                  <c:v>25</c:v>
                </c:pt>
                <c:pt idx="25">
                  <c:v>26</c:v>
                </c:pt>
                <c:pt idx="26">
                  <c:v>27</c:v>
                </c:pt>
                <c:pt idx="27">
                  <c:v>28</c:v>
                </c:pt>
                <c:pt idx="28">
                  <c:v>29</c:v>
                </c:pt>
                <c:pt idx="29">
                  <c:v>30</c:v>
                </c:pt>
                <c:pt idx="30">
                  <c:v>31</c:v>
                </c:pt>
                <c:pt idx="31">
                  <c:v>32</c:v>
                </c:pt>
                <c:pt idx="32">
                  <c:v>33</c:v>
                </c:pt>
                <c:pt idx="33">
                  <c:v>34</c:v>
                </c:pt>
                <c:pt idx="34">
                  <c:v>35</c:v>
                </c:pt>
                <c:pt idx="35">
                  <c:v>36</c:v>
                </c:pt>
                <c:pt idx="36">
                  <c:v>37</c:v>
                </c:pt>
                <c:pt idx="37">
                  <c:v>38</c:v>
                </c:pt>
                <c:pt idx="38">
                  <c:v>39</c:v>
                </c:pt>
                <c:pt idx="39">
                  <c:v>40</c:v>
                </c:pt>
                <c:pt idx="40">
                  <c:v>41</c:v>
                </c:pt>
                <c:pt idx="41">
                  <c:v>42</c:v>
                </c:pt>
                <c:pt idx="42">
                  <c:v>43</c:v>
                </c:pt>
                <c:pt idx="43">
                  <c:v>44</c:v>
                </c:pt>
                <c:pt idx="44">
                  <c:v>45</c:v>
                </c:pt>
                <c:pt idx="45">
                  <c:v>46</c:v>
                </c:pt>
                <c:pt idx="46">
                  <c:v>47</c:v>
                </c:pt>
                <c:pt idx="47">
                  <c:v>48</c:v>
                </c:pt>
                <c:pt idx="48">
                  <c:v>49</c:v>
                </c:pt>
                <c:pt idx="49">
                  <c:v>50</c:v>
                </c:pt>
                <c:pt idx="50">
                  <c:v>51</c:v>
                </c:pt>
                <c:pt idx="51">
                  <c:v>52</c:v>
                </c:pt>
                <c:pt idx="52">
                  <c:v>53</c:v>
                </c:pt>
                <c:pt idx="53">
                  <c:v>54</c:v>
                </c:pt>
                <c:pt idx="54">
                  <c:v>55</c:v>
                </c:pt>
                <c:pt idx="55">
                  <c:v>56</c:v>
                </c:pt>
                <c:pt idx="56">
                  <c:v>57</c:v>
                </c:pt>
                <c:pt idx="57">
                  <c:v>58</c:v>
                </c:pt>
                <c:pt idx="58">
                  <c:v>59</c:v>
                </c:pt>
                <c:pt idx="59">
                  <c:v>60</c:v>
                </c:pt>
                <c:pt idx="60">
                  <c:v>61</c:v>
                </c:pt>
                <c:pt idx="61">
                  <c:v>62</c:v>
                </c:pt>
                <c:pt idx="62">
                  <c:v>63</c:v>
                </c:pt>
                <c:pt idx="63">
                  <c:v>64</c:v>
                </c:pt>
                <c:pt idx="64">
                  <c:v>65</c:v>
                </c:pt>
                <c:pt idx="65">
                  <c:v>66</c:v>
                </c:pt>
                <c:pt idx="66">
                  <c:v>67</c:v>
                </c:pt>
                <c:pt idx="67">
                  <c:v>68</c:v>
                </c:pt>
                <c:pt idx="68">
                  <c:v>69</c:v>
                </c:pt>
                <c:pt idx="69">
                  <c:v>70</c:v>
                </c:pt>
                <c:pt idx="70">
                  <c:v>71</c:v>
                </c:pt>
                <c:pt idx="71">
                  <c:v>72</c:v>
                </c:pt>
                <c:pt idx="72">
                  <c:v>73</c:v>
                </c:pt>
                <c:pt idx="73">
                  <c:v>74</c:v>
                </c:pt>
                <c:pt idx="74">
                  <c:v>75</c:v>
                </c:pt>
                <c:pt idx="75">
                  <c:v>76</c:v>
                </c:pt>
                <c:pt idx="76">
                  <c:v>77</c:v>
                </c:pt>
                <c:pt idx="77">
                  <c:v>78</c:v>
                </c:pt>
                <c:pt idx="78">
                  <c:v>79</c:v>
                </c:pt>
                <c:pt idx="79">
                  <c:v>80</c:v>
                </c:pt>
                <c:pt idx="80">
                  <c:v>81</c:v>
                </c:pt>
                <c:pt idx="81">
                  <c:v>82</c:v>
                </c:pt>
                <c:pt idx="82">
                  <c:v>83</c:v>
                </c:pt>
                <c:pt idx="83">
                  <c:v>84</c:v>
                </c:pt>
                <c:pt idx="84">
                  <c:v>85</c:v>
                </c:pt>
                <c:pt idx="85">
                  <c:v>86</c:v>
                </c:pt>
                <c:pt idx="86">
                  <c:v>87</c:v>
                </c:pt>
                <c:pt idx="87">
                  <c:v>88</c:v>
                </c:pt>
                <c:pt idx="88">
                  <c:v>89</c:v>
                </c:pt>
                <c:pt idx="89">
                  <c:v>90</c:v>
                </c:pt>
                <c:pt idx="90">
                  <c:v>91</c:v>
                </c:pt>
                <c:pt idx="91">
                  <c:v>92</c:v>
                </c:pt>
                <c:pt idx="92">
                  <c:v>93</c:v>
                </c:pt>
                <c:pt idx="93">
                  <c:v>94</c:v>
                </c:pt>
                <c:pt idx="94">
                  <c:v>95</c:v>
                </c:pt>
                <c:pt idx="95">
                  <c:v>96</c:v>
                </c:pt>
                <c:pt idx="96">
                  <c:v>97</c:v>
                </c:pt>
                <c:pt idx="97">
                  <c:v>98</c:v>
                </c:pt>
                <c:pt idx="98">
                  <c:v>99</c:v>
                </c:pt>
                <c:pt idx="99">
                  <c:v>100</c:v>
                </c:pt>
                <c:pt idx="100">
                  <c:v>101</c:v>
                </c:pt>
                <c:pt idx="101">
                  <c:v>102</c:v>
                </c:pt>
                <c:pt idx="102">
                  <c:v>103</c:v>
                </c:pt>
                <c:pt idx="103">
                  <c:v>104</c:v>
                </c:pt>
                <c:pt idx="104">
                  <c:v>105</c:v>
                </c:pt>
                <c:pt idx="105">
                  <c:v>106</c:v>
                </c:pt>
                <c:pt idx="106">
                  <c:v>107</c:v>
                </c:pt>
                <c:pt idx="107">
                  <c:v>108</c:v>
                </c:pt>
                <c:pt idx="108">
                  <c:v>109</c:v>
                </c:pt>
                <c:pt idx="109">
                  <c:v>110</c:v>
                </c:pt>
                <c:pt idx="110">
                  <c:v>111</c:v>
                </c:pt>
                <c:pt idx="111">
                  <c:v>112</c:v>
                </c:pt>
                <c:pt idx="112">
                  <c:v>113</c:v>
                </c:pt>
                <c:pt idx="113">
                  <c:v>114</c:v>
                </c:pt>
                <c:pt idx="114">
                  <c:v>115</c:v>
                </c:pt>
                <c:pt idx="115">
                  <c:v>116</c:v>
                </c:pt>
                <c:pt idx="116">
                  <c:v>117</c:v>
                </c:pt>
                <c:pt idx="117">
                  <c:v>118</c:v>
                </c:pt>
                <c:pt idx="118">
                  <c:v>119</c:v>
                </c:pt>
                <c:pt idx="119">
                  <c:v>120</c:v>
                </c:pt>
                <c:pt idx="120">
                  <c:v>121</c:v>
                </c:pt>
                <c:pt idx="121">
                  <c:v>122</c:v>
                </c:pt>
                <c:pt idx="122">
                  <c:v>123</c:v>
                </c:pt>
                <c:pt idx="123">
                  <c:v>124</c:v>
                </c:pt>
                <c:pt idx="124">
                  <c:v>125</c:v>
                </c:pt>
                <c:pt idx="125">
                  <c:v>126</c:v>
                </c:pt>
              </c:numCache>
            </c:numRef>
          </c:xVal>
          <c:yVal>
            <c:numRef>
              <c:f>'CONTROL H Y T'!$D$5:$D$130</c:f>
              <c:numCache>
                <c:formatCode>General</c:formatCode>
                <c:ptCount val="126"/>
                <c:pt idx="0">
                  <c:v>88</c:v>
                </c:pt>
                <c:pt idx="1">
                  <c:v>99</c:v>
                </c:pt>
                <c:pt idx="2">
                  <c:v>99</c:v>
                </c:pt>
                <c:pt idx="4">
                  <c:v>99</c:v>
                </c:pt>
                <c:pt idx="5">
                  <c:v>99</c:v>
                </c:pt>
                <c:pt idx="6">
                  <c:v>99</c:v>
                </c:pt>
                <c:pt idx="7">
                  <c:v>99</c:v>
                </c:pt>
                <c:pt idx="8">
                  <c:v>99</c:v>
                </c:pt>
                <c:pt idx="9">
                  <c:v>99</c:v>
                </c:pt>
                <c:pt idx="11">
                  <c:v>99</c:v>
                </c:pt>
                <c:pt idx="12">
                  <c:v>99</c:v>
                </c:pt>
                <c:pt idx="13">
                  <c:v>99</c:v>
                </c:pt>
                <c:pt idx="14">
                  <c:v>99</c:v>
                </c:pt>
                <c:pt idx="15">
                  <c:v>99</c:v>
                </c:pt>
                <c:pt idx="16">
                  <c:v>99</c:v>
                </c:pt>
                <c:pt idx="18">
                  <c:v>99</c:v>
                </c:pt>
                <c:pt idx="19">
                  <c:v>99</c:v>
                </c:pt>
                <c:pt idx="20">
                  <c:v>99</c:v>
                </c:pt>
                <c:pt idx="21">
                  <c:v>99</c:v>
                </c:pt>
                <c:pt idx="22">
                  <c:v>99</c:v>
                </c:pt>
                <c:pt idx="23">
                  <c:v>99</c:v>
                </c:pt>
                <c:pt idx="25">
                  <c:v>99</c:v>
                </c:pt>
                <c:pt idx="26">
                  <c:v>99</c:v>
                </c:pt>
                <c:pt idx="27">
                  <c:v>99</c:v>
                </c:pt>
                <c:pt idx="28">
                  <c:v>99</c:v>
                </c:pt>
                <c:pt idx="29">
                  <c:v>99</c:v>
                </c:pt>
                <c:pt idx="30">
                  <c:v>99</c:v>
                </c:pt>
                <c:pt idx="32">
                  <c:v>99</c:v>
                </c:pt>
                <c:pt idx="33">
                  <c:v>99</c:v>
                </c:pt>
                <c:pt idx="34">
                  <c:v>99</c:v>
                </c:pt>
                <c:pt idx="35">
                  <c:v>99</c:v>
                </c:pt>
                <c:pt idx="36">
                  <c:v>99</c:v>
                </c:pt>
                <c:pt idx="37">
                  <c:v>99</c:v>
                </c:pt>
                <c:pt idx="39">
                  <c:v>99</c:v>
                </c:pt>
                <c:pt idx="40">
                  <c:v>99</c:v>
                </c:pt>
                <c:pt idx="41">
                  <c:v>99</c:v>
                </c:pt>
                <c:pt idx="43">
                  <c:v>99</c:v>
                </c:pt>
                <c:pt idx="44">
                  <c:v>99</c:v>
                </c:pt>
                <c:pt idx="46">
                  <c:v>99</c:v>
                </c:pt>
                <c:pt idx="47">
                  <c:v>99</c:v>
                </c:pt>
                <c:pt idx="48">
                  <c:v>99</c:v>
                </c:pt>
                <c:pt idx="49">
                  <c:v>99</c:v>
                </c:pt>
                <c:pt idx="50">
                  <c:v>99</c:v>
                </c:pt>
                <c:pt idx="51">
                  <c:v>99</c:v>
                </c:pt>
                <c:pt idx="54">
                  <c:v>99</c:v>
                </c:pt>
                <c:pt idx="55">
                  <c:v>99</c:v>
                </c:pt>
                <c:pt idx="56">
                  <c:v>99</c:v>
                </c:pt>
                <c:pt idx="57">
                  <c:v>99</c:v>
                </c:pt>
                <c:pt idx="58">
                  <c:v>99</c:v>
                </c:pt>
                <c:pt idx="60">
                  <c:v>99</c:v>
                </c:pt>
                <c:pt idx="61">
                  <c:v>99</c:v>
                </c:pt>
                <c:pt idx="62">
                  <c:v>99</c:v>
                </c:pt>
                <c:pt idx="63">
                  <c:v>99</c:v>
                </c:pt>
                <c:pt idx="64">
                  <c:v>99</c:v>
                </c:pt>
                <c:pt idx="65">
                  <c:v>99</c:v>
                </c:pt>
                <c:pt idx="67">
                  <c:v>99</c:v>
                </c:pt>
                <c:pt idx="68">
                  <c:v>99</c:v>
                </c:pt>
                <c:pt idx="69">
                  <c:v>99</c:v>
                </c:pt>
                <c:pt idx="70">
                  <c:v>99</c:v>
                </c:pt>
                <c:pt idx="71">
                  <c:v>99</c:v>
                </c:pt>
                <c:pt idx="72">
                  <c:v>99</c:v>
                </c:pt>
                <c:pt idx="74">
                  <c:v>99</c:v>
                </c:pt>
                <c:pt idx="75">
                  <c:v>99</c:v>
                </c:pt>
                <c:pt idx="76">
                  <c:v>99</c:v>
                </c:pt>
                <c:pt idx="77">
                  <c:v>99</c:v>
                </c:pt>
                <c:pt idx="78">
                  <c:v>99</c:v>
                </c:pt>
                <c:pt idx="79">
                  <c:v>99</c:v>
                </c:pt>
                <c:pt idx="81">
                  <c:v>99</c:v>
                </c:pt>
                <c:pt idx="82">
                  <c:v>99</c:v>
                </c:pt>
                <c:pt idx="83">
                  <c:v>99</c:v>
                </c:pt>
                <c:pt idx="84">
                  <c:v>99</c:v>
                </c:pt>
                <c:pt idx="85">
                  <c:v>99</c:v>
                </c:pt>
                <c:pt idx="86">
                  <c:v>99</c:v>
                </c:pt>
                <c:pt idx="88">
                  <c:v>99</c:v>
                </c:pt>
                <c:pt idx="89">
                  <c:v>99</c:v>
                </c:pt>
                <c:pt idx="90">
                  <c:v>99</c:v>
                </c:pt>
                <c:pt idx="91">
                  <c:v>99</c:v>
                </c:pt>
                <c:pt idx="92">
                  <c:v>99</c:v>
                </c:pt>
                <c:pt idx="93">
                  <c:v>99</c:v>
                </c:pt>
                <c:pt idx="95">
                  <c:v>99</c:v>
                </c:pt>
                <c:pt idx="96">
                  <c:v>99</c:v>
                </c:pt>
                <c:pt idx="97">
                  <c:v>99</c:v>
                </c:pt>
                <c:pt idx="98">
                  <c:v>99</c:v>
                </c:pt>
                <c:pt idx="99">
                  <c:v>99</c:v>
                </c:pt>
                <c:pt idx="100">
                  <c:v>99</c:v>
                </c:pt>
                <c:pt idx="102">
                  <c:v>99</c:v>
                </c:pt>
                <c:pt idx="103">
                  <c:v>99</c:v>
                </c:pt>
                <c:pt idx="104">
                  <c:v>99</c:v>
                </c:pt>
                <c:pt idx="105">
                  <c:v>99</c:v>
                </c:pt>
                <c:pt idx="106">
                  <c:v>99</c:v>
                </c:pt>
                <c:pt idx="107">
                  <c:v>99</c:v>
                </c:pt>
                <c:pt idx="109">
                  <c:v>99</c:v>
                </c:pt>
                <c:pt idx="110">
                  <c:v>99</c:v>
                </c:pt>
                <c:pt idx="111">
                  <c:v>99</c:v>
                </c:pt>
                <c:pt idx="112">
                  <c:v>99</c:v>
                </c:pt>
                <c:pt idx="113">
                  <c:v>99</c:v>
                </c:pt>
                <c:pt idx="114">
                  <c:v>99</c:v>
                </c:pt>
                <c:pt idx="116">
                  <c:v>99</c:v>
                </c:pt>
                <c:pt idx="117">
                  <c:v>99</c:v>
                </c:pt>
                <c:pt idx="118">
                  <c:v>99</c:v>
                </c:pt>
                <c:pt idx="119">
                  <c:v>99</c:v>
                </c:pt>
                <c:pt idx="120">
                  <c:v>99</c:v>
                </c:pt>
                <c:pt idx="121">
                  <c:v>99</c:v>
                </c:pt>
                <c:pt idx="123">
                  <c:v>99</c:v>
                </c:pt>
                <c:pt idx="124">
                  <c:v>99</c:v>
                </c:pt>
                <c:pt idx="125">
                  <c:v>99</c:v>
                </c:pt>
              </c:numCache>
            </c:numRef>
          </c:yVal>
          <c:smooth val="0"/>
          <c:extLst>
            <c:ext xmlns:c16="http://schemas.microsoft.com/office/drawing/2014/chart" uri="{C3380CC4-5D6E-409C-BE32-E72D297353CC}">
              <c16:uniqueId val="{00000000-F22D-4703-9782-DF7B424C63B1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axId val="1573773663"/>
        <c:axId val="1573775583"/>
      </c:scatterChart>
      <c:valAx>
        <c:axId val="1573773663"/>
        <c:scaling>
          <c:orientation val="minMax"/>
          <c:max val="130"/>
          <c:min val="0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Tiempo (días)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1573775583"/>
        <c:crosses val="autoZero"/>
        <c:crossBetween val="midCat"/>
      </c:valAx>
      <c:valAx>
        <c:axId val="1573775583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title>
          <c:tx>
            <c:rich>
              <a:bodyPr rot="-5400000" spcFirstLastPara="1" vertOverflow="ellipsis" vert="horz" wrap="square" anchor="ctr" anchorCtr="1"/>
              <a:lstStyle/>
              <a:p>
                <a:pPr>
                  <a:defRPr sz="1000" b="0" i="0" u="none" strike="noStrike" kern="1200" baseline="0">
                    <a:solidFill>
                      <a:schemeClr val="tx1">
                        <a:lumMod val="65000"/>
                        <a:lumOff val="35000"/>
                      </a:schemeClr>
                    </a:solidFill>
                    <a:latin typeface="Times New Roman" panose="02020603050405020304" pitchFamily="18" charset="0"/>
                    <a:ea typeface="+mn-ea"/>
                    <a:cs typeface="Times New Roman" panose="02020603050405020304" pitchFamily="18" charset="0"/>
                  </a:defRPr>
                </a:pPr>
                <a:r>
                  <a:rPr lang="es-419"/>
                  <a:t>Humedad (%) </a:t>
                </a:r>
              </a:p>
            </c:rich>
          </c:tx>
          <c:overlay val="0"/>
          <c:spPr>
            <a:noFill/>
            <a:ln>
              <a:noFill/>
            </a:ln>
            <a:effectLst/>
          </c:spPr>
          <c:txPr>
            <a:bodyPr rot="-5400000" spcFirstLastPara="1" vertOverflow="ellipsis" vert="horz" wrap="square" anchor="ctr" anchorCtr="1"/>
            <a:lstStyle/>
            <a:p>
              <a:pPr>
                <a:defRPr sz="1000" b="0" i="0" u="none" strike="noStrike" kern="1200" baseline="0">
                  <a:solidFill>
                    <a:schemeClr val="tx1">
                      <a:lumMod val="65000"/>
                      <a:lumOff val="35000"/>
                    </a:schemeClr>
                  </a:solidFill>
                  <a:latin typeface="Times New Roman" panose="02020603050405020304" pitchFamily="18" charset="0"/>
                  <a:ea typeface="+mn-ea"/>
                  <a:cs typeface="Times New Roman" panose="02020603050405020304" pitchFamily="18" charset="0"/>
                </a:defRPr>
              </a:pPr>
              <a:endParaRPr lang="es-419"/>
            </a:p>
          </c:txPr>
        </c:title>
        <c:numFmt formatCode="General" sourceLinked="1"/>
        <c:majorTickMark val="out"/>
        <c:minorTickMark val="out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Times New Roman" panose="02020603050405020304" pitchFamily="18" charset="0"/>
                <a:ea typeface="+mn-ea"/>
                <a:cs typeface="Times New Roman" panose="02020603050405020304" pitchFamily="18" charset="0"/>
              </a:defRPr>
            </a:pPr>
            <a:endParaRPr lang="es-419"/>
          </a:p>
        </c:txPr>
        <c:crossAx val="1573773663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  <c:extLst>
      <c:ext xmlns:c16r3="http://schemas.microsoft.com/office/drawing/2017/03/chart" uri="{56B9EC1D-385E-4148-901F-78D8002777C0}">
        <c16r3:dataDisplayOptions16>
          <c16r3:dispNaAsBlank val="1"/>
        </c16r3:dataDisplayOptions16>
      </c:ext>
    </c:extLst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>
          <a:latin typeface="Times New Roman" panose="02020603050405020304" pitchFamily="18" charset="0"/>
          <a:cs typeface="Times New Roman" panose="02020603050405020304" pitchFamily="18" charset="0"/>
        </a:defRPr>
      </a:pPr>
      <a:endParaRPr lang="es-419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20">
  <a:schemeClr val="dk1"/>
  <cs:variation>
    <a:tint val="88500"/>
  </cs:variation>
  <cs:variation>
    <a:tint val="55000"/>
  </cs:variation>
  <cs:variation>
    <a:tint val="75000"/>
  </cs:variation>
  <cs:variation>
    <a:tint val="98500"/>
  </cs:variation>
  <cs:variation>
    <a:tint val="30000"/>
  </cs:variation>
  <cs:variation>
    <a:tint val="60000"/>
  </cs:variation>
  <cs:variation>
    <a:tint val="80000"/>
  </cs:variation>
</cs:colorStyle>
</file>

<file path=xl/charts/colors2.xml><?xml version="1.0" encoding="utf-8"?>
<cs:colorStyle xmlns:cs="http://schemas.microsoft.com/office/drawing/2012/chartStyle" xmlns:a="http://schemas.openxmlformats.org/drawingml/2006/main" meth="cycle" id="20">
  <a:schemeClr val="dk1"/>
  <cs:variation>
    <a:tint val="88500"/>
  </cs:variation>
  <cs:variation>
    <a:tint val="55000"/>
  </cs:variation>
  <cs:variation>
    <a:tint val="75000"/>
  </cs:variation>
  <cs:variation>
    <a:tint val="98500"/>
  </cs:variation>
  <cs:variation>
    <a:tint val="30000"/>
  </cs:variation>
  <cs:variation>
    <a:tint val="60000"/>
  </cs:variation>
  <cs:variation>
    <a:tint val="80000"/>
  </cs:variation>
</cs:colorStyle>
</file>

<file path=xl/charts/colors3.xml><?xml version="1.0" encoding="utf-8"?>
<cs:colorStyle xmlns:cs="http://schemas.microsoft.com/office/drawing/2012/chartStyle" xmlns:a="http://schemas.openxmlformats.org/drawingml/2006/main" meth="cycle" id="20">
  <a:schemeClr val="dk1"/>
  <cs:variation>
    <a:tint val="88500"/>
  </cs:variation>
  <cs:variation>
    <a:tint val="55000"/>
  </cs:variation>
  <cs:variation>
    <a:tint val="75000"/>
  </cs:variation>
  <cs:variation>
    <a:tint val="98500"/>
  </cs:variation>
  <cs:variation>
    <a:tint val="30000"/>
  </cs:variation>
  <cs:variation>
    <a:tint val="60000"/>
  </cs:variation>
  <cs:variation>
    <a:tint val="80000"/>
  </cs:variation>
</cs:colorStyle>
</file>

<file path=xl/charts/colors4.xml><?xml version="1.0" encoding="utf-8"?>
<cs:colorStyle xmlns:cs="http://schemas.microsoft.com/office/drawing/2012/chartStyle" xmlns:a="http://schemas.openxmlformats.org/drawingml/2006/main" meth="cycle" id="20">
  <a:schemeClr val="dk1"/>
  <cs:variation>
    <a:tint val="88500"/>
  </cs:variation>
  <cs:variation>
    <a:tint val="55000"/>
  </cs:variation>
  <cs:variation>
    <a:tint val="75000"/>
  </cs:variation>
  <cs:variation>
    <a:tint val="98500"/>
  </cs:variation>
  <cs:variation>
    <a:tint val="30000"/>
  </cs:variation>
  <cs:variation>
    <a:tint val="60000"/>
  </cs:variation>
  <cs:variation>
    <a:tint val="80000"/>
  </cs:variation>
</cs:colorStyle>
</file>

<file path=xl/charts/colors5.xml><?xml version="1.0" encoding="utf-8"?>
<cs:colorStyle xmlns:cs="http://schemas.microsoft.com/office/drawing/2012/chartStyle" xmlns:a="http://schemas.openxmlformats.org/drawingml/2006/main" meth="cycle" id="20">
  <a:schemeClr val="dk1"/>
  <cs:variation>
    <a:tint val="88500"/>
  </cs:variation>
  <cs:variation>
    <a:tint val="55000"/>
  </cs:variation>
  <cs:variation>
    <a:tint val="75000"/>
  </cs:variation>
  <cs:variation>
    <a:tint val="98500"/>
  </cs:variation>
  <cs:variation>
    <a:tint val="30000"/>
  </cs:variation>
  <cs:variation>
    <a:tint val="60000"/>
  </cs:variation>
  <cs:variation>
    <a:tint val="80000"/>
  </cs:variation>
</cs:colorStyle>
</file>

<file path=xl/charts/colors6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7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8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9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0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2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3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4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5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colors16.xml><?xml version="1.0" encoding="utf-8"?>
<cs:colorStyle xmlns:cs="http://schemas.microsoft.com/office/drawing/2012/chartStyle" xmlns:a="http://schemas.openxmlformats.org/drawingml/2006/main" meth="cycle" id="20">
  <a:schemeClr val="dk1"/>
  <cs:variation>
    <a:tint val="88500"/>
  </cs:variation>
  <cs:variation>
    <a:tint val="55000"/>
  </cs:variation>
  <cs:variation>
    <a:tint val="75000"/>
  </cs:variation>
  <cs:variation>
    <a:tint val="98500"/>
  </cs:variation>
  <cs:variation>
    <a:tint val="30000"/>
  </cs:variation>
  <cs:variation>
    <a:tint val="60000"/>
  </cs:variation>
  <cs:variation>
    <a:tint val="80000"/>
  </cs:variation>
</cs:colorStyle>
</file>

<file path=xl/charts/colors17.xml><?xml version="1.0" encoding="utf-8"?>
<cs:colorStyle xmlns:cs="http://schemas.microsoft.com/office/drawing/2012/chartStyle" xmlns:a="http://schemas.openxmlformats.org/drawingml/2006/main" meth="cycle" id="20">
  <a:schemeClr val="dk1"/>
  <cs:variation>
    <a:tint val="88500"/>
  </cs:variation>
  <cs:variation>
    <a:tint val="55000"/>
  </cs:variation>
  <cs:variation>
    <a:tint val="75000"/>
  </cs:variation>
  <cs:variation>
    <a:tint val="98500"/>
  </cs:variation>
  <cs:variation>
    <a:tint val="30000"/>
  </cs:variation>
  <cs:variation>
    <a:tint val="60000"/>
  </cs:variation>
  <cs:variation>
    <a:tint val="8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8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9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0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2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3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4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5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6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charts/style17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.png"/><Relationship Id="rId3" Type="http://schemas.openxmlformats.org/officeDocument/2006/relationships/chart" Target="../charts/chart2.xml"/><Relationship Id="rId7" Type="http://schemas.openxmlformats.org/officeDocument/2006/relationships/image" Target="../media/image4.png"/><Relationship Id="rId2" Type="http://schemas.openxmlformats.org/officeDocument/2006/relationships/chart" Target="../charts/chart1.xml"/><Relationship Id="rId1" Type="http://schemas.openxmlformats.org/officeDocument/2006/relationships/image" Target="../media/image1.png"/><Relationship Id="rId6" Type="http://schemas.openxmlformats.org/officeDocument/2006/relationships/image" Target="../media/image3.png"/><Relationship Id="rId5" Type="http://schemas.openxmlformats.org/officeDocument/2006/relationships/image" Target="../media/image2.png"/><Relationship Id="rId4" Type="http://schemas.openxmlformats.org/officeDocument/2006/relationships/chart" Target="../charts/chart3.xml"/><Relationship Id="rId9" Type="http://schemas.openxmlformats.org/officeDocument/2006/relationships/image" Target="../media/image6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3" Type="http://schemas.openxmlformats.org/officeDocument/2006/relationships/image" Target="../media/image7.png"/><Relationship Id="rId7" Type="http://schemas.openxmlformats.org/officeDocument/2006/relationships/image" Target="../media/image11.png"/><Relationship Id="rId2" Type="http://schemas.openxmlformats.org/officeDocument/2006/relationships/chart" Target="../charts/chart5.xml"/><Relationship Id="rId1" Type="http://schemas.openxmlformats.org/officeDocument/2006/relationships/chart" Target="../charts/chart4.xml"/><Relationship Id="rId6" Type="http://schemas.openxmlformats.org/officeDocument/2006/relationships/image" Target="../media/image10.png"/><Relationship Id="rId5" Type="http://schemas.openxmlformats.org/officeDocument/2006/relationships/image" Target="../media/image9.png"/><Relationship Id="rId4" Type="http://schemas.openxmlformats.org/officeDocument/2006/relationships/image" Target="../media/image8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3.pn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chart" Target="../charts/chart9.xml"/><Relationship Id="rId13" Type="http://schemas.openxmlformats.org/officeDocument/2006/relationships/chart" Target="../charts/chart14.xml"/><Relationship Id="rId3" Type="http://schemas.openxmlformats.org/officeDocument/2006/relationships/image" Target="../media/image16.png"/><Relationship Id="rId7" Type="http://schemas.openxmlformats.org/officeDocument/2006/relationships/chart" Target="../charts/chart8.xml"/><Relationship Id="rId12" Type="http://schemas.openxmlformats.org/officeDocument/2006/relationships/chart" Target="../charts/chart13.xml"/><Relationship Id="rId2" Type="http://schemas.openxmlformats.org/officeDocument/2006/relationships/image" Target="../media/image15.png"/><Relationship Id="rId1" Type="http://schemas.openxmlformats.org/officeDocument/2006/relationships/image" Target="../media/image14.png"/><Relationship Id="rId6" Type="http://schemas.openxmlformats.org/officeDocument/2006/relationships/image" Target="../media/image17.png"/><Relationship Id="rId11" Type="http://schemas.openxmlformats.org/officeDocument/2006/relationships/chart" Target="../charts/chart12.xml"/><Relationship Id="rId5" Type="http://schemas.openxmlformats.org/officeDocument/2006/relationships/chart" Target="../charts/chart7.xml"/><Relationship Id="rId10" Type="http://schemas.openxmlformats.org/officeDocument/2006/relationships/chart" Target="../charts/chart11.xml"/><Relationship Id="rId4" Type="http://schemas.openxmlformats.org/officeDocument/2006/relationships/chart" Target="../charts/chart6.xml"/><Relationship Id="rId9" Type="http://schemas.openxmlformats.org/officeDocument/2006/relationships/chart" Target="../charts/chart10.xml"/><Relationship Id="rId14" Type="http://schemas.openxmlformats.org/officeDocument/2006/relationships/chart" Target="../charts/chart15.xml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8.png"/><Relationship Id="rId2" Type="http://schemas.openxmlformats.org/officeDocument/2006/relationships/chart" Target="../charts/chart17.xml"/><Relationship Id="rId1" Type="http://schemas.openxmlformats.org/officeDocument/2006/relationships/chart" Target="../charts/chart16.xml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103186</xdr:rowOff>
    </xdr:from>
    <xdr:to>
      <xdr:col>6</xdr:col>
      <xdr:colOff>565967</xdr:colOff>
      <xdr:row>23</xdr:row>
      <xdr:rowOff>132277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0BD3F2A-47FA-1956-09B4-CBF3EB9E17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62000" y="2732086"/>
          <a:ext cx="3325495" cy="1870591"/>
        </a:xfrm>
        <a:prstGeom prst="rect">
          <a:avLst/>
        </a:prstGeom>
      </xdr:spPr>
    </xdr:pic>
    <xdr:clientData/>
  </xdr:twoCellAnchor>
  <xdr:twoCellAnchor>
    <xdr:from>
      <xdr:col>7</xdr:col>
      <xdr:colOff>530225</xdr:colOff>
      <xdr:row>29</xdr:row>
      <xdr:rowOff>176143</xdr:rowOff>
    </xdr:from>
    <xdr:to>
      <xdr:col>12</xdr:col>
      <xdr:colOff>263525</xdr:colOff>
      <xdr:row>39</xdr:row>
      <xdr:rowOff>112643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004980C5-D643-34D6-B8F9-28A480BC094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>
    <xdr:from>
      <xdr:col>7</xdr:col>
      <xdr:colOff>516283</xdr:colOff>
      <xdr:row>45</xdr:row>
      <xdr:rowOff>124791</xdr:rowOff>
    </xdr:from>
    <xdr:to>
      <xdr:col>12</xdr:col>
      <xdr:colOff>245717</xdr:colOff>
      <xdr:row>55</xdr:row>
      <xdr:rowOff>68470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18F11C83-CEAB-A6C9-5974-90212C1E45BA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>
    <xdr:from>
      <xdr:col>7</xdr:col>
      <xdr:colOff>483153</xdr:colOff>
      <xdr:row>61</xdr:row>
      <xdr:rowOff>141356</xdr:rowOff>
    </xdr:from>
    <xdr:to>
      <xdr:col>12</xdr:col>
      <xdr:colOff>212587</xdr:colOff>
      <xdr:row>71</xdr:row>
      <xdr:rowOff>85035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C0519373-7761-0951-041E-0790FBFCDE7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 editAs="oneCell">
    <xdr:from>
      <xdr:col>13</xdr:col>
      <xdr:colOff>73977</xdr:colOff>
      <xdr:row>30</xdr:row>
      <xdr:rowOff>16565</xdr:rowOff>
    </xdr:from>
    <xdr:to>
      <xdr:col>15</xdr:col>
      <xdr:colOff>563217</xdr:colOff>
      <xdr:row>39</xdr:row>
      <xdr:rowOff>175809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BCE70E12-C0F2-4232-98C9-5C2321BE12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3524934" y="5626652"/>
          <a:ext cx="2013240" cy="2675402"/>
        </a:xfrm>
        <a:prstGeom prst="rect">
          <a:avLst/>
        </a:prstGeom>
      </xdr:spPr>
    </xdr:pic>
    <xdr:clientData/>
  </xdr:twoCellAnchor>
  <xdr:twoCellAnchor editAs="oneCell">
    <xdr:from>
      <xdr:col>13</xdr:col>
      <xdr:colOff>82824</xdr:colOff>
      <xdr:row>45</xdr:row>
      <xdr:rowOff>103557</xdr:rowOff>
    </xdr:from>
    <xdr:to>
      <xdr:col>15</xdr:col>
      <xdr:colOff>577793</xdr:colOff>
      <xdr:row>54</xdr:row>
      <xdr:rowOff>107129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4D959274-F548-F2CF-B36C-C505A6D59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533781" y="9490514"/>
          <a:ext cx="2018969" cy="2683015"/>
        </a:xfrm>
        <a:prstGeom prst="rect">
          <a:avLst/>
        </a:prstGeom>
      </xdr:spPr>
    </xdr:pic>
    <xdr:clientData/>
  </xdr:twoCellAnchor>
  <xdr:twoCellAnchor editAs="oneCell">
    <xdr:from>
      <xdr:col>13</xdr:col>
      <xdr:colOff>96316</xdr:colOff>
      <xdr:row>61</xdr:row>
      <xdr:rowOff>93868</xdr:rowOff>
    </xdr:from>
    <xdr:to>
      <xdr:col>15</xdr:col>
      <xdr:colOff>577797</xdr:colOff>
      <xdr:row>70</xdr:row>
      <xdr:rowOff>79515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4006721C-81D9-A9E8-0574-F8D472C07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547273" y="13439911"/>
          <a:ext cx="2005481" cy="2665091"/>
        </a:xfrm>
        <a:prstGeom prst="rect">
          <a:avLst/>
        </a:prstGeom>
      </xdr:spPr>
    </xdr:pic>
    <xdr:clientData/>
  </xdr:twoCellAnchor>
  <xdr:twoCellAnchor editAs="oneCell">
    <xdr:from>
      <xdr:col>3</xdr:col>
      <xdr:colOff>408213</xdr:colOff>
      <xdr:row>90</xdr:row>
      <xdr:rowOff>384</xdr:rowOff>
    </xdr:from>
    <xdr:to>
      <xdr:col>9</xdr:col>
      <xdr:colOff>512899</xdr:colOff>
      <xdr:row>101</xdr:row>
      <xdr:rowOff>180902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453B7E-F285-76CB-AA7B-3FCFB9CA3E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882570" y="18986884"/>
          <a:ext cx="3291025" cy="2476497"/>
        </a:xfrm>
        <a:prstGeom prst="rect">
          <a:avLst/>
        </a:prstGeom>
      </xdr:spPr>
    </xdr:pic>
    <xdr:clientData/>
  </xdr:twoCellAnchor>
  <xdr:twoCellAnchor editAs="oneCell">
    <xdr:from>
      <xdr:col>6</xdr:col>
      <xdr:colOff>414529</xdr:colOff>
      <xdr:row>90</xdr:row>
      <xdr:rowOff>22277</xdr:rowOff>
    </xdr:from>
    <xdr:to>
      <xdr:col>10</xdr:col>
      <xdr:colOff>405699</xdr:colOff>
      <xdr:row>102</xdr:row>
      <xdr:rowOff>40420</xdr:rowOff>
    </xdr:to>
    <xdr:pic>
      <xdr:nvPicPr>
        <xdr:cNvPr id="10" name="Imagen 9" descr="MARIENFELD - SUPERIOR ALEMAN">
          <a:extLst>
            <a:ext uri="{FF2B5EF4-FFF2-40B4-BE49-F238E27FC236}">
              <a16:creationId xmlns:a16="http://schemas.microsoft.com/office/drawing/2014/main" id="{13524DEF-04EF-FB2C-7D11-B22C1B9AA7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99529" y="18999935"/>
          <a:ext cx="2527231" cy="2542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184150</xdr:colOff>
      <xdr:row>22</xdr:row>
      <xdr:rowOff>63500</xdr:rowOff>
    </xdr:from>
    <xdr:to>
      <xdr:col>14</xdr:col>
      <xdr:colOff>609852</xdr:colOff>
      <xdr:row>32</xdr:row>
      <xdr:rowOff>314356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DAF7E401-791B-CA0F-AB9B-F7A31888811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8</xdr:col>
      <xdr:colOff>114300</xdr:colOff>
      <xdr:row>39</xdr:row>
      <xdr:rowOff>152400</xdr:rowOff>
    </xdr:from>
    <xdr:to>
      <xdr:col>14</xdr:col>
      <xdr:colOff>342900</xdr:colOff>
      <xdr:row>50</xdr:row>
      <xdr:rowOff>171450</xdr:rowOff>
    </xdr:to>
    <xdr:graphicFrame macro="">
      <xdr:nvGraphicFramePr>
        <xdr:cNvPr id="5" name="Gráfico 4">
          <a:extLst>
            <a:ext uri="{FF2B5EF4-FFF2-40B4-BE49-F238E27FC236}">
              <a16:creationId xmlns:a16="http://schemas.microsoft.com/office/drawing/2014/main" id="{BEC378FF-DAAA-AFE5-CAB6-704A3866646E}"/>
            </a:ext>
            <a:ext uri="{147F2762-F138-4A5C-976F-8EAC2B608ADB}">
              <a16:predDERef xmlns:a16="http://schemas.microsoft.com/office/drawing/2014/main" pred="{DAF7E401-791B-CA0F-AB9B-F7A31888811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8</xdr:col>
      <xdr:colOff>94290</xdr:colOff>
      <xdr:row>1</xdr:row>
      <xdr:rowOff>44010</xdr:rowOff>
    </xdr:from>
    <xdr:to>
      <xdr:col>12</xdr:col>
      <xdr:colOff>1084</xdr:colOff>
      <xdr:row>13</xdr:row>
      <xdr:rowOff>134075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EEEFEB15-F0E7-B63B-E865-1EF3CB6D04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15777" b="16986"/>
        <a:stretch>
          <a:fillRect/>
        </a:stretch>
      </xdr:blipFill>
      <xdr:spPr>
        <a:xfrm rot="16200000">
          <a:off x="7860386" y="-1492"/>
          <a:ext cx="2422589" cy="2865674"/>
        </a:xfrm>
        <a:prstGeom prst="rect">
          <a:avLst/>
        </a:prstGeom>
      </xdr:spPr>
    </xdr:pic>
    <xdr:clientData/>
  </xdr:twoCellAnchor>
  <xdr:twoCellAnchor editAs="oneCell">
    <xdr:from>
      <xdr:col>15</xdr:col>
      <xdr:colOff>602621</xdr:colOff>
      <xdr:row>1</xdr:row>
      <xdr:rowOff>12763</xdr:rowOff>
    </xdr:from>
    <xdr:to>
      <xdr:col>19</xdr:col>
      <xdr:colOff>710572</xdr:colOff>
      <xdr:row>13</xdr:row>
      <xdr:rowOff>93386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29665C-5C71-C1B1-E2BF-1F0E77CB63D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3311" r="23268"/>
        <a:stretch>
          <a:fillRect/>
        </a:stretch>
      </xdr:blipFill>
      <xdr:spPr>
        <a:xfrm>
          <a:off x="13384354" y="188803"/>
          <a:ext cx="3119674" cy="2413147"/>
        </a:xfrm>
        <a:prstGeom prst="rect">
          <a:avLst/>
        </a:prstGeom>
      </xdr:spPr>
    </xdr:pic>
    <xdr:clientData/>
  </xdr:twoCellAnchor>
  <xdr:twoCellAnchor editAs="oneCell">
    <xdr:from>
      <xdr:col>12</xdr:col>
      <xdr:colOff>142013</xdr:colOff>
      <xdr:row>1</xdr:row>
      <xdr:rowOff>24902</xdr:rowOff>
    </xdr:from>
    <xdr:to>
      <xdr:col>15</xdr:col>
      <xdr:colOff>475998</xdr:colOff>
      <xdr:row>13</xdr:row>
      <xdr:rowOff>125914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2968AF41-7E55-E9A7-76E2-9174DA64DED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13865" b="26012"/>
        <a:stretch>
          <a:fillRect/>
        </a:stretch>
      </xdr:blipFill>
      <xdr:spPr>
        <a:xfrm rot="16200000">
          <a:off x="10751718" y="128465"/>
          <a:ext cx="2433536" cy="2578490"/>
        </a:xfrm>
        <a:prstGeom prst="rect">
          <a:avLst/>
        </a:prstGeom>
      </xdr:spPr>
    </xdr:pic>
    <xdr:clientData/>
  </xdr:twoCellAnchor>
  <xdr:twoCellAnchor editAs="oneCell">
    <xdr:from>
      <xdr:col>20</xdr:col>
      <xdr:colOff>201883</xdr:colOff>
      <xdr:row>0</xdr:row>
      <xdr:rowOff>123939</xdr:rowOff>
    </xdr:from>
    <xdr:to>
      <xdr:col>24</xdr:col>
      <xdr:colOff>595581</xdr:colOff>
      <xdr:row>13</xdr:row>
      <xdr:rowOff>68209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561CD207-AA93-7D26-05D6-FEFD5D03FD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5887" b="15825"/>
        <a:stretch>
          <a:fillRect/>
        </a:stretch>
      </xdr:blipFill>
      <xdr:spPr>
        <a:xfrm rot="16200000">
          <a:off x="17191226" y="-342830"/>
          <a:ext cx="2452834" cy="3386372"/>
        </a:xfrm>
        <a:prstGeom prst="rect">
          <a:avLst/>
        </a:prstGeom>
      </xdr:spPr>
    </xdr:pic>
    <xdr:clientData/>
  </xdr:twoCellAnchor>
  <xdr:twoCellAnchor editAs="oneCell">
    <xdr:from>
      <xdr:col>24</xdr:col>
      <xdr:colOff>647008</xdr:colOff>
      <xdr:row>0</xdr:row>
      <xdr:rowOff>118649</xdr:rowOff>
    </xdr:from>
    <xdr:to>
      <xdr:col>28</xdr:col>
      <xdr:colOff>558108</xdr:colOff>
      <xdr:row>13</xdr:row>
      <xdr:rowOff>73666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4FEF51E5-CBA6-C902-6320-FB4699FE42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t="14609" b="18454"/>
        <a:stretch>
          <a:fillRect/>
        </a:stretch>
      </xdr:blipFill>
      <xdr:spPr>
        <a:xfrm rot="16200000">
          <a:off x="20382352" y="-101447"/>
          <a:ext cx="2463581" cy="2903773"/>
        </a:xfrm>
        <a:prstGeom prst="rect">
          <a:avLst/>
        </a:prstGeom>
      </xdr:spPr>
    </xdr:pic>
    <xdr:clientData/>
  </xdr:twoCellAnchor>
  <xdr:twoCellAnchor editAs="oneCell">
    <xdr:from>
      <xdr:col>4</xdr:col>
      <xdr:colOff>156158</xdr:colOff>
      <xdr:row>3</xdr:row>
      <xdr:rowOff>12574</xdr:rowOff>
    </xdr:from>
    <xdr:to>
      <xdr:col>8</xdr:col>
      <xdr:colOff>209582</xdr:colOff>
      <xdr:row>16</xdr:row>
      <xdr:rowOff>147370</xdr:rowOff>
    </xdr:to>
    <xdr:pic>
      <xdr:nvPicPr>
        <xdr:cNvPr id="9" name="Imagen 8" descr="Molde para prueba de compactación Proctor de 4&quot; | Pinzuar - Equipos de  Laboratorio para la Industria de la Construcción en Colombia.">
          <a:extLst>
            <a:ext uri="{FF2B5EF4-FFF2-40B4-BE49-F238E27FC236}">
              <a16:creationId xmlns:a16="http://schemas.microsoft.com/office/drawing/2014/main" id="{BEB993BA-2E68-0F9C-9B68-866F76D1C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91901" y="540693"/>
          <a:ext cx="2670724" cy="26559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225199</xdr:colOff>
      <xdr:row>15</xdr:row>
      <xdr:rowOff>111125</xdr:rowOff>
    </xdr:from>
    <xdr:to>
      <xdr:col>5</xdr:col>
      <xdr:colOff>380217</xdr:colOff>
      <xdr:row>31</xdr:row>
      <xdr:rowOff>135487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283BDC0-301C-BEB8-49A7-C513849E3C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758724" y="3054350"/>
          <a:ext cx="1640918" cy="301521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257173</xdr:colOff>
      <xdr:row>1</xdr:row>
      <xdr:rowOff>165100</xdr:rowOff>
    </xdr:from>
    <xdr:to>
      <xdr:col>2</xdr:col>
      <xdr:colOff>227455</xdr:colOff>
      <xdr:row>9</xdr:row>
      <xdr:rowOff>65151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2EBE8C7F-D614-D64E-1058-3920881F0F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57173" y="342900"/>
          <a:ext cx="1494282" cy="1992376"/>
        </a:xfrm>
        <a:prstGeom prst="rect">
          <a:avLst/>
        </a:prstGeom>
      </xdr:spPr>
    </xdr:pic>
    <xdr:clientData/>
  </xdr:twoCellAnchor>
  <xdr:twoCellAnchor editAs="oneCell">
    <xdr:from>
      <xdr:col>9</xdr:col>
      <xdr:colOff>88900</xdr:colOff>
      <xdr:row>4</xdr:row>
      <xdr:rowOff>57604</xdr:rowOff>
    </xdr:from>
    <xdr:to>
      <xdr:col>11</xdr:col>
      <xdr:colOff>457888</xdr:colOff>
      <xdr:row>9</xdr:row>
      <xdr:rowOff>100165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B0F7346-DBB9-83FF-5328-4A967924E9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64450" y="787854"/>
          <a:ext cx="2032688" cy="1534811"/>
        </a:xfrm>
        <a:prstGeom prst="rect">
          <a:avLst/>
        </a:prstGeom>
      </xdr:spPr>
    </xdr:pic>
    <xdr:clientData/>
  </xdr:twoCellAnchor>
  <xdr:twoCellAnchor editAs="oneCell">
    <xdr:from>
      <xdr:col>11</xdr:col>
      <xdr:colOff>663881</xdr:colOff>
      <xdr:row>4</xdr:row>
      <xdr:rowOff>57150</xdr:rowOff>
    </xdr:from>
    <xdr:to>
      <xdr:col>14</xdr:col>
      <xdr:colOff>436245</xdr:colOff>
      <xdr:row>9</xdr:row>
      <xdr:rowOff>113819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6CB143A-C374-38F3-D6A5-936CD7051E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763431" y="787400"/>
          <a:ext cx="2058364" cy="1548919"/>
        </a:xfrm>
        <a:prstGeom prst="rect">
          <a:avLst/>
        </a:prstGeom>
      </xdr:spPr>
    </xdr:pic>
    <xdr:clientData/>
  </xdr:twoCellAnchor>
  <xdr:twoCellAnchor>
    <xdr:from>
      <xdr:col>7</xdr:col>
      <xdr:colOff>377824</xdr:colOff>
      <xdr:row>32</xdr:row>
      <xdr:rowOff>120650</xdr:rowOff>
    </xdr:from>
    <xdr:to>
      <xdr:col>13</xdr:col>
      <xdr:colOff>742949</xdr:colOff>
      <xdr:row>51</xdr:row>
      <xdr:rowOff>0</xdr:rowOff>
    </xdr:to>
    <xdr:graphicFrame macro="">
      <xdr:nvGraphicFramePr>
        <xdr:cNvPr id="6" name="Gráfico 5">
          <a:extLst>
            <a:ext uri="{FF2B5EF4-FFF2-40B4-BE49-F238E27FC236}">
              <a16:creationId xmlns:a16="http://schemas.microsoft.com/office/drawing/2014/main" id="{4A240236-A44D-222B-34B7-EAB1481B7E85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7</xdr:col>
      <xdr:colOff>384174</xdr:colOff>
      <xdr:row>14</xdr:row>
      <xdr:rowOff>50800</xdr:rowOff>
    </xdr:from>
    <xdr:to>
      <xdr:col>13</xdr:col>
      <xdr:colOff>736600</xdr:colOff>
      <xdr:row>32</xdr:row>
      <xdr:rowOff>101600</xdr:rowOff>
    </xdr:to>
    <xdr:graphicFrame macro="">
      <xdr:nvGraphicFramePr>
        <xdr:cNvPr id="7" name="Gráfico 6">
          <a:extLst>
            <a:ext uri="{FF2B5EF4-FFF2-40B4-BE49-F238E27FC236}">
              <a16:creationId xmlns:a16="http://schemas.microsoft.com/office/drawing/2014/main" id="{15CE3B2A-D562-3C7E-A521-7E23B8F2D7CB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 editAs="oneCell">
    <xdr:from>
      <xdr:col>0</xdr:col>
      <xdr:colOff>236932</xdr:colOff>
      <xdr:row>11</xdr:row>
      <xdr:rowOff>76200</xdr:rowOff>
    </xdr:from>
    <xdr:to>
      <xdr:col>2</xdr:col>
      <xdr:colOff>227407</xdr:colOff>
      <xdr:row>19</xdr:row>
      <xdr:rowOff>63500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1C1CA4A-29D1-6787-4852-7A9D0CCEFD1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t="11059" b="19765"/>
        <a:stretch>
          <a:fillRect/>
        </a:stretch>
      </xdr:blipFill>
      <xdr:spPr>
        <a:xfrm>
          <a:off x="236932" y="2419350"/>
          <a:ext cx="1514475" cy="1866900"/>
        </a:xfrm>
        <a:prstGeom prst="rect">
          <a:avLst/>
        </a:prstGeom>
      </xdr:spPr>
    </xdr:pic>
    <xdr:clientData/>
  </xdr:twoCellAnchor>
  <xdr:twoCellAnchor>
    <xdr:from>
      <xdr:col>11</xdr:col>
      <xdr:colOff>590550</xdr:colOff>
      <xdr:row>52</xdr:row>
      <xdr:rowOff>95250</xdr:rowOff>
    </xdr:from>
    <xdr:to>
      <xdr:col>17</xdr:col>
      <xdr:colOff>82550</xdr:colOff>
      <xdr:row>66</xdr:row>
      <xdr:rowOff>165100</xdr:rowOff>
    </xdr:to>
    <xdr:graphicFrame macro="">
      <xdr:nvGraphicFramePr>
        <xdr:cNvPr id="8" name="Gráfico 7">
          <a:extLst>
            <a:ext uri="{FF2B5EF4-FFF2-40B4-BE49-F238E27FC236}">
              <a16:creationId xmlns:a16="http://schemas.microsoft.com/office/drawing/2014/main" id="{2E96C724-CE4C-34D9-BF54-92E35E0633A7}"/>
            </a:ext>
            <a:ext uri="{147F2762-F138-4A5C-976F-8EAC2B608ADB}">
              <a16:predDERef xmlns:a16="http://schemas.microsoft.com/office/drawing/2014/main" pred="{21C1CA4A-29D1-6787-4852-7A9D0CCEFD11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  <xdr:twoCellAnchor>
    <xdr:from>
      <xdr:col>10</xdr:col>
      <xdr:colOff>222250</xdr:colOff>
      <xdr:row>70</xdr:row>
      <xdr:rowOff>28575</xdr:rowOff>
    </xdr:from>
    <xdr:to>
      <xdr:col>15</xdr:col>
      <xdr:colOff>257175</xdr:colOff>
      <xdr:row>82</xdr:row>
      <xdr:rowOff>73025</xdr:rowOff>
    </xdr:to>
    <xdr:graphicFrame macro="">
      <xdr:nvGraphicFramePr>
        <xdr:cNvPr id="9" name="Gráfico 8">
          <a:extLst>
            <a:ext uri="{FF2B5EF4-FFF2-40B4-BE49-F238E27FC236}">
              <a16:creationId xmlns:a16="http://schemas.microsoft.com/office/drawing/2014/main" id="{573DE7C0-3110-DE44-07CF-2DFCA24C1F47}"/>
            </a:ext>
            <a:ext uri="{147F2762-F138-4A5C-976F-8EAC2B608ADB}">
              <a16:predDERef xmlns:a16="http://schemas.microsoft.com/office/drawing/2014/main" pred="{2E96C724-CE4C-34D9-BF54-92E35E0633A7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8"/>
        </a:graphicData>
      </a:graphic>
    </xdr:graphicFrame>
    <xdr:clientData/>
  </xdr:twoCellAnchor>
  <xdr:twoCellAnchor>
    <xdr:from>
      <xdr:col>20</xdr:col>
      <xdr:colOff>552450</xdr:colOff>
      <xdr:row>14</xdr:row>
      <xdr:rowOff>88900</xdr:rowOff>
    </xdr:from>
    <xdr:to>
      <xdr:col>27</xdr:col>
      <xdr:colOff>282576</xdr:colOff>
      <xdr:row>32</xdr:row>
      <xdr:rowOff>139700</xdr:rowOff>
    </xdr:to>
    <xdr:graphicFrame macro="">
      <xdr:nvGraphicFramePr>
        <xdr:cNvPr id="10" name="Gráfico 9">
          <a:extLst>
            <a:ext uri="{FF2B5EF4-FFF2-40B4-BE49-F238E27FC236}">
              <a16:creationId xmlns:a16="http://schemas.microsoft.com/office/drawing/2014/main" id="{8B2F7EE6-5178-4C9D-91B1-B1826E706CFF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9"/>
        </a:graphicData>
      </a:graphic>
    </xdr:graphicFrame>
    <xdr:clientData/>
  </xdr:twoCellAnchor>
  <xdr:twoCellAnchor>
    <xdr:from>
      <xdr:col>20</xdr:col>
      <xdr:colOff>552450</xdr:colOff>
      <xdr:row>32</xdr:row>
      <xdr:rowOff>158750</xdr:rowOff>
    </xdr:from>
    <xdr:to>
      <xdr:col>27</xdr:col>
      <xdr:colOff>295275</xdr:colOff>
      <xdr:row>51</xdr:row>
      <xdr:rowOff>38100</xdr:rowOff>
    </xdr:to>
    <xdr:graphicFrame macro="">
      <xdr:nvGraphicFramePr>
        <xdr:cNvPr id="11" name="Gráfico 10">
          <a:extLst>
            <a:ext uri="{FF2B5EF4-FFF2-40B4-BE49-F238E27FC236}">
              <a16:creationId xmlns:a16="http://schemas.microsoft.com/office/drawing/2014/main" id="{8A939B06-1279-4487-91B6-CD135A6EFDB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0"/>
        </a:graphicData>
      </a:graphic>
    </xdr:graphicFrame>
    <xdr:clientData/>
  </xdr:twoCellAnchor>
  <xdr:twoCellAnchor>
    <xdr:from>
      <xdr:col>34</xdr:col>
      <xdr:colOff>0</xdr:colOff>
      <xdr:row>14</xdr:row>
      <xdr:rowOff>0</xdr:rowOff>
    </xdr:from>
    <xdr:to>
      <xdr:col>40</xdr:col>
      <xdr:colOff>492126</xdr:colOff>
      <xdr:row>32</xdr:row>
      <xdr:rowOff>50800</xdr:rowOff>
    </xdr:to>
    <xdr:graphicFrame macro="">
      <xdr:nvGraphicFramePr>
        <xdr:cNvPr id="12" name="Gráfico 11">
          <a:extLst>
            <a:ext uri="{FF2B5EF4-FFF2-40B4-BE49-F238E27FC236}">
              <a16:creationId xmlns:a16="http://schemas.microsoft.com/office/drawing/2014/main" id="{FD042343-6656-4DCB-ADF7-45FE7E66841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1"/>
        </a:graphicData>
      </a:graphic>
    </xdr:graphicFrame>
    <xdr:clientData/>
  </xdr:twoCellAnchor>
  <xdr:twoCellAnchor>
    <xdr:from>
      <xdr:col>33</xdr:col>
      <xdr:colOff>754529</xdr:colOff>
      <xdr:row>32</xdr:row>
      <xdr:rowOff>67235</xdr:rowOff>
    </xdr:from>
    <xdr:to>
      <xdr:col>40</xdr:col>
      <xdr:colOff>497354</xdr:colOff>
      <xdr:row>50</xdr:row>
      <xdr:rowOff>133350</xdr:rowOff>
    </xdr:to>
    <xdr:graphicFrame macro="">
      <xdr:nvGraphicFramePr>
        <xdr:cNvPr id="13" name="Gráfico 12">
          <a:extLst>
            <a:ext uri="{FF2B5EF4-FFF2-40B4-BE49-F238E27FC236}">
              <a16:creationId xmlns:a16="http://schemas.microsoft.com/office/drawing/2014/main" id="{ED738323-C6D2-4958-8F3B-41DB67F3A219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2"/>
        </a:graphicData>
      </a:graphic>
    </xdr:graphicFrame>
    <xdr:clientData/>
  </xdr:twoCellAnchor>
  <xdr:twoCellAnchor>
    <xdr:from>
      <xdr:col>50</xdr:col>
      <xdr:colOff>0</xdr:colOff>
      <xdr:row>14</xdr:row>
      <xdr:rowOff>0</xdr:rowOff>
    </xdr:from>
    <xdr:to>
      <xdr:col>56</xdr:col>
      <xdr:colOff>492126</xdr:colOff>
      <xdr:row>32</xdr:row>
      <xdr:rowOff>50800</xdr:rowOff>
    </xdr:to>
    <xdr:graphicFrame macro="">
      <xdr:nvGraphicFramePr>
        <xdr:cNvPr id="14" name="Gráfico 13">
          <a:extLst>
            <a:ext uri="{FF2B5EF4-FFF2-40B4-BE49-F238E27FC236}">
              <a16:creationId xmlns:a16="http://schemas.microsoft.com/office/drawing/2014/main" id="{48A4842E-A937-4BBC-918C-B5F77AEDE1AB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3"/>
        </a:graphicData>
      </a:graphic>
    </xdr:graphicFrame>
    <xdr:clientData/>
  </xdr:twoCellAnchor>
  <xdr:twoCellAnchor>
    <xdr:from>
      <xdr:col>50</xdr:col>
      <xdr:colOff>0</xdr:colOff>
      <xdr:row>32</xdr:row>
      <xdr:rowOff>74706</xdr:rowOff>
    </xdr:from>
    <xdr:to>
      <xdr:col>56</xdr:col>
      <xdr:colOff>504825</xdr:colOff>
      <xdr:row>50</xdr:row>
      <xdr:rowOff>140821</xdr:rowOff>
    </xdr:to>
    <xdr:graphicFrame macro="">
      <xdr:nvGraphicFramePr>
        <xdr:cNvPr id="15" name="Gráfico 14">
          <a:extLst>
            <a:ext uri="{FF2B5EF4-FFF2-40B4-BE49-F238E27FC236}">
              <a16:creationId xmlns:a16="http://schemas.microsoft.com/office/drawing/2014/main" id="{BDCDBC20-F186-4097-AE37-37458C8A98B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4"/>
        </a:graphicData>
      </a:graphic>
    </xdr:graphicFrame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619124</xdr:colOff>
      <xdr:row>5</xdr:row>
      <xdr:rowOff>44450</xdr:rowOff>
    </xdr:from>
    <xdr:to>
      <xdr:col>13</xdr:col>
      <xdr:colOff>19050</xdr:colOff>
      <xdr:row>27</xdr:row>
      <xdr:rowOff>0</xdr:rowOff>
    </xdr:to>
    <xdr:graphicFrame macro="">
      <xdr:nvGraphicFramePr>
        <xdr:cNvPr id="2" name="Gráfico 1">
          <a:extLst>
            <a:ext uri="{FF2B5EF4-FFF2-40B4-BE49-F238E27FC236}">
              <a16:creationId xmlns:a16="http://schemas.microsoft.com/office/drawing/2014/main" id="{B9F1DE57-30D3-4B35-B541-7AF42FA6D866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>
    <xdr:from>
      <xdr:col>5</xdr:col>
      <xdr:colOff>612774</xdr:colOff>
      <xdr:row>27</xdr:row>
      <xdr:rowOff>38100</xdr:rowOff>
    </xdr:from>
    <xdr:to>
      <xdr:col>13</xdr:col>
      <xdr:colOff>25400</xdr:colOff>
      <xdr:row>46</xdr:row>
      <xdr:rowOff>158750</xdr:rowOff>
    </xdr:to>
    <xdr:graphicFrame macro="">
      <xdr:nvGraphicFramePr>
        <xdr:cNvPr id="3" name="Gráfico 2">
          <a:extLst>
            <a:ext uri="{FF2B5EF4-FFF2-40B4-BE49-F238E27FC236}">
              <a16:creationId xmlns:a16="http://schemas.microsoft.com/office/drawing/2014/main" id="{C2E3D76D-A8E8-1036-E6B9-EFF1D21ED85D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  <xdr:twoCellAnchor editAs="oneCell">
    <xdr:from>
      <xdr:col>13</xdr:col>
      <xdr:colOff>296333</xdr:colOff>
      <xdr:row>1</xdr:row>
      <xdr:rowOff>142092</xdr:rowOff>
    </xdr:from>
    <xdr:to>
      <xdr:col>18</xdr:col>
      <xdr:colOff>616162</xdr:colOff>
      <xdr:row>22</xdr:row>
      <xdr:rowOff>129801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53B7F90-606C-0724-0390-73DAF27FA7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625666" y="319892"/>
          <a:ext cx="4968029" cy="3738442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50ADE4-781A-4B4C-93FD-51FF100E76A7}">
  <dimension ref="C3:M30"/>
  <sheetViews>
    <sheetView tabSelected="1" workbookViewId="0">
      <selection activeCell="H3" sqref="H3"/>
    </sheetView>
  </sheetViews>
  <sheetFormatPr defaultColWidth="10.7109375" defaultRowHeight="14.1"/>
  <cols>
    <col min="1" max="16384" width="10.7109375" style="1"/>
  </cols>
  <sheetData>
    <row r="3" spans="3:13" ht="14.45" thickBot="1"/>
    <row r="4" spans="3:13">
      <c r="C4" s="139" t="s">
        <v>0</v>
      </c>
      <c r="D4" s="140"/>
      <c r="E4" s="140"/>
      <c r="F4" s="140"/>
      <c r="G4" s="140"/>
      <c r="H4" s="140"/>
      <c r="I4" s="140"/>
      <c r="J4" s="140"/>
      <c r="K4" s="140"/>
      <c r="L4" s="140"/>
      <c r="M4" s="141"/>
    </row>
    <row r="5" spans="3:13" ht="14.45" thickBot="1">
      <c r="C5" s="142"/>
      <c r="D5" s="143"/>
      <c r="E5" s="143"/>
      <c r="F5" s="143"/>
      <c r="G5" s="143"/>
      <c r="H5" s="143"/>
      <c r="I5" s="143"/>
      <c r="J5" s="143"/>
      <c r="K5" s="143"/>
      <c r="L5" s="143"/>
      <c r="M5" s="144"/>
    </row>
    <row r="6" spans="3:13">
      <c r="C6" s="129"/>
      <c r="D6" s="130"/>
      <c r="E6" s="130"/>
      <c r="F6" s="130"/>
      <c r="G6" s="130"/>
      <c r="H6" s="130"/>
      <c r="I6" s="130"/>
      <c r="J6" s="130"/>
      <c r="K6" s="130"/>
      <c r="L6" s="130"/>
      <c r="M6" s="138"/>
    </row>
    <row r="7" spans="3:13">
      <c r="C7" s="129" t="s">
        <v>1</v>
      </c>
      <c r="D7" s="130"/>
      <c r="E7" s="130"/>
      <c r="F7" s="130"/>
      <c r="G7" s="130"/>
      <c r="H7" s="130"/>
      <c r="I7" s="130"/>
      <c r="J7" s="130"/>
      <c r="K7" s="130"/>
      <c r="L7" s="130"/>
      <c r="M7" s="138"/>
    </row>
    <row r="8" spans="3:13">
      <c r="C8" s="129"/>
      <c r="D8" s="130"/>
      <c r="E8" s="130"/>
      <c r="F8" s="130"/>
      <c r="G8" s="130"/>
      <c r="H8" s="130"/>
      <c r="I8" s="130"/>
      <c r="J8" s="130"/>
      <c r="K8" s="130"/>
      <c r="L8" s="130"/>
      <c r="M8" s="138"/>
    </row>
    <row r="9" spans="3:13">
      <c r="C9" s="129" t="s">
        <v>2</v>
      </c>
      <c r="D9" s="130"/>
      <c r="E9" s="130"/>
      <c r="F9" s="130"/>
      <c r="G9" s="130"/>
      <c r="H9" s="130"/>
      <c r="I9" s="130"/>
      <c r="J9" s="130"/>
      <c r="K9" s="130"/>
      <c r="L9" s="130"/>
      <c r="M9" s="138"/>
    </row>
    <row r="10" spans="3:13">
      <c r="C10" s="129" t="s">
        <v>3</v>
      </c>
      <c r="D10" s="130"/>
      <c r="E10" s="130"/>
      <c r="F10" s="130"/>
      <c r="G10" s="130"/>
      <c r="H10" s="130"/>
      <c r="I10" s="130"/>
      <c r="J10" s="130"/>
      <c r="K10" s="130"/>
      <c r="L10" s="130"/>
      <c r="M10" s="138"/>
    </row>
    <row r="11" spans="3:13">
      <c r="C11" s="129"/>
      <c r="D11" s="130"/>
      <c r="E11" s="130"/>
      <c r="F11" s="130"/>
      <c r="G11" s="130"/>
      <c r="H11" s="130"/>
      <c r="I11" s="130"/>
      <c r="J11" s="130"/>
      <c r="K11" s="130"/>
      <c r="L11" s="130"/>
      <c r="M11" s="138"/>
    </row>
    <row r="12" spans="3:13">
      <c r="C12" s="129" t="s">
        <v>4</v>
      </c>
      <c r="D12" s="130"/>
      <c r="E12" s="130"/>
      <c r="F12" s="130"/>
      <c r="G12" s="130"/>
      <c r="H12" s="130"/>
      <c r="I12" s="130"/>
      <c r="J12" s="130"/>
      <c r="K12" s="130"/>
      <c r="L12" s="130"/>
      <c r="M12" s="138"/>
    </row>
    <row r="13" spans="3:13">
      <c r="C13" s="129" t="s">
        <v>5</v>
      </c>
      <c r="D13" s="130"/>
      <c r="E13" s="130"/>
      <c r="F13" s="130"/>
      <c r="G13" s="130"/>
      <c r="H13" s="130"/>
      <c r="I13" s="130"/>
      <c r="J13" s="130"/>
      <c r="K13" s="130"/>
      <c r="L13" s="130"/>
      <c r="M13" s="138"/>
    </row>
    <row r="14" spans="3:13">
      <c r="C14" s="129" t="s">
        <v>6</v>
      </c>
      <c r="D14" s="130"/>
      <c r="E14" s="130"/>
      <c r="F14" s="130"/>
      <c r="G14" s="130"/>
      <c r="H14" s="130"/>
      <c r="I14" s="130"/>
      <c r="J14" s="130"/>
      <c r="K14" s="130"/>
      <c r="L14" s="130"/>
      <c r="M14" s="138"/>
    </row>
    <row r="15" spans="3:13">
      <c r="C15" s="129" t="s">
        <v>7</v>
      </c>
      <c r="D15" s="130"/>
      <c r="E15" s="130"/>
      <c r="F15" s="130"/>
      <c r="G15" s="130"/>
      <c r="H15" s="130"/>
      <c r="I15" s="130"/>
      <c r="J15" s="130"/>
      <c r="K15" s="130"/>
      <c r="L15" s="130"/>
      <c r="M15" s="138"/>
    </row>
    <row r="16" spans="3:13">
      <c r="C16" s="129"/>
      <c r="D16" s="130"/>
      <c r="E16" s="130"/>
      <c r="F16" s="130"/>
      <c r="G16" s="130"/>
      <c r="H16" s="130"/>
      <c r="I16" s="130"/>
      <c r="J16" s="130"/>
      <c r="K16" s="130"/>
      <c r="L16" s="130"/>
      <c r="M16" s="138"/>
    </row>
    <row r="17" spans="3:13">
      <c r="C17" s="129" t="s">
        <v>8</v>
      </c>
      <c r="D17" s="130"/>
      <c r="E17" s="130"/>
      <c r="F17" s="130"/>
      <c r="G17" s="130"/>
      <c r="H17" s="130"/>
      <c r="I17" s="130"/>
      <c r="J17" s="130"/>
      <c r="K17" s="130"/>
      <c r="L17" s="130"/>
      <c r="M17" s="138"/>
    </row>
    <row r="18" spans="3:13">
      <c r="C18" s="129"/>
      <c r="D18" s="130"/>
      <c r="E18" s="130"/>
      <c r="F18" s="130"/>
      <c r="G18" s="130"/>
      <c r="H18" s="130"/>
      <c r="I18" s="130"/>
      <c r="J18" s="130"/>
      <c r="K18" s="130"/>
      <c r="L18" s="130"/>
      <c r="M18" s="138"/>
    </row>
    <row r="19" spans="3:13">
      <c r="C19" s="129" t="s">
        <v>9</v>
      </c>
      <c r="D19" s="130"/>
      <c r="E19" s="130"/>
      <c r="F19" s="130"/>
      <c r="G19" s="130"/>
      <c r="H19" s="130"/>
      <c r="I19" s="130"/>
      <c r="J19" s="130"/>
      <c r="K19" s="130"/>
      <c r="L19" s="130"/>
      <c r="M19" s="138"/>
    </row>
    <row r="20" spans="3:13">
      <c r="C20" s="129" t="s">
        <v>10</v>
      </c>
      <c r="D20" s="130"/>
      <c r="E20" s="130"/>
      <c r="F20" s="130"/>
      <c r="G20" s="130"/>
      <c r="H20" s="130"/>
      <c r="I20" s="130"/>
      <c r="J20" s="130"/>
      <c r="K20" s="130"/>
      <c r="L20" s="130"/>
      <c r="M20" s="138"/>
    </row>
    <row r="21" spans="3:13">
      <c r="C21" s="129"/>
      <c r="D21" s="130"/>
      <c r="E21" s="130"/>
      <c r="F21" s="130"/>
      <c r="G21" s="130"/>
      <c r="H21" s="130"/>
      <c r="I21" s="130"/>
      <c r="J21" s="130"/>
      <c r="K21" s="130"/>
      <c r="L21" s="130"/>
      <c r="M21" s="138"/>
    </row>
    <row r="22" spans="3:13">
      <c r="C22" s="129"/>
      <c r="D22" s="130"/>
      <c r="E22" s="130"/>
      <c r="F22" s="130"/>
      <c r="G22" s="130"/>
      <c r="H22" s="130"/>
      <c r="I22" s="130"/>
      <c r="J22" s="130"/>
      <c r="K22" s="130"/>
      <c r="L22" s="130"/>
      <c r="M22" s="138"/>
    </row>
    <row r="23" spans="3:13" ht="14.45" thickBot="1">
      <c r="C23" s="24"/>
      <c r="D23" s="25"/>
      <c r="E23" s="25"/>
      <c r="F23" s="25"/>
      <c r="G23" s="25"/>
      <c r="H23" s="25"/>
      <c r="I23" s="25"/>
      <c r="J23" s="25"/>
      <c r="K23" s="25"/>
      <c r="L23" s="25"/>
      <c r="M23" s="26"/>
    </row>
    <row r="25" spans="3:13">
      <c r="C25" s="130"/>
      <c r="D25" s="130"/>
      <c r="E25" s="130"/>
      <c r="F25" s="130"/>
      <c r="G25" s="130"/>
      <c r="H25" s="130"/>
      <c r="I25" s="130"/>
      <c r="J25" s="130"/>
      <c r="K25" s="130"/>
      <c r="L25" s="130"/>
      <c r="M25" s="130"/>
    </row>
    <row r="26" spans="3:13">
      <c r="C26" s="130"/>
      <c r="D26" s="130"/>
      <c r="E26" s="130"/>
      <c r="F26" s="130"/>
      <c r="G26" s="130"/>
      <c r="H26" s="130"/>
      <c r="I26" s="130"/>
      <c r="J26" s="130"/>
      <c r="K26" s="130"/>
      <c r="L26" s="130"/>
      <c r="M26" s="130"/>
    </row>
    <row r="27" spans="3:13">
      <c r="C27" s="130"/>
      <c r="D27" s="130"/>
      <c r="E27" s="130"/>
      <c r="F27" s="130"/>
      <c r="G27" s="130"/>
      <c r="H27" s="130"/>
      <c r="I27" s="130"/>
      <c r="J27" s="130"/>
      <c r="K27" s="130"/>
      <c r="L27" s="130"/>
      <c r="M27" s="130"/>
    </row>
    <row r="30" spans="3:13">
      <c r="C30" s="130"/>
      <c r="D30" s="130"/>
      <c r="E30" s="130"/>
      <c r="F30" s="130"/>
      <c r="G30" s="130"/>
      <c r="H30" s="130"/>
      <c r="I30" s="130"/>
      <c r="J30" s="130"/>
      <c r="K30" s="130"/>
      <c r="L30" s="130"/>
      <c r="M30" s="130"/>
    </row>
  </sheetData>
  <mergeCells count="22">
    <mergeCell ref="C11:M11"/>
    <mergeCell ref="C26:M26"/>
    <mergeCell ref="C27:M27"/>
    <mergeCell ref="C19:M19"/>
    <mergeCell ref="C20:M20"/>
    <mergeCell ref="C12:M12"/>
    <mergeCell ref="C30:M30"/>
    <mergeCell ref="C13:M13"/>
    <mergeCell ref="C21:M21"/>
    <mergeCell ref="C22:M22"/>
    <mergeCell ref="C14:M14"/>
    <mergeCell ref="C15:M15"/>
    <mergeCell ref="C25:M25"/>
    <mergeCell ref="C16:M16"/>
    <mergeCell ref="C17:M17"/>
    <mergeCell ref="C18:M18"/>
    <mergeCell ref="C10:M10"/>
    <mergeCell ref="C4:M5"/>
    <mergeCell ref="C6:M6"/>
    <mergeCell ref="C7:M7"/>
    <mergeCell ref="C8:M8"/>
    <mergeCell ref="C9:M9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EF5C47-61E5-4E96-BDB8-F40B59FCDD4C}">
  <dimension ref="B2:M109"/>
  <sheetViews>
    <sheetView topLeftCell="A55" zoomScale="79" zoomScaleNormal="70" workbookViewId="0">
      <selection activeCell="B62" sqref="B62:G66"/>
    </sheetView>
  </sheetViews>
  <sheetFormatPr defaultColWidth="10.7109375" defaultRowHeight="15"/>
  <cols>
    <col min="1" max="1" width="10.7109375" style="1"/>
    <col min="2" max="2" width="8.5703125" style="1" customWidth="1"/>
    <col min="3" max="3" width="7.28515625" style="1" customWidth="1"/>
    <col min="4" max="4" width="6" style="1" customWidth="1"/>
    <col min="5" max="5" width="8.85546875" style="1" customWidth="1"/>
    <col min="6" max="7" width="8.5703125" style="1" customWidth="1"/>
    <col min="8" max="8" width="5.5703125" style="1" customWidth="1"/>
    <col min="9" max="9" width="7.5703125" style="1" customWidth="1"/>
    <col min="10" max="10" width="14.85546875" style="1" customWidth="1"/>
    <col min="11" max="11" width="15.42578125" style="1" customWidth="1"/>
    <col min="12" max="12" width="10.7109375" style="1" bestFit="1" customWidth="1"/>
    <col min="13" max="13" width="20" style="1" customWidth="1"/>
    <col min="14" max="16" width="10.7109375" style="1" bestFit="1" customWidth="1"/>
    <col min="17" max="16384" width="10.7109375" style="1"/>
  </cols>
  <sheetData>
    <row r="2" spans="2:13">
      <c r="B2" s="145" t="s">
        <v>11</v>
      </c>
      <c r="C2" s="146"/>
      <c r="D2" s="147"/>
    </row>
    <row r="3" spans="2:13">
      <c r="B3" s="120"/>
      <c r="C3" s="120"/>
      <c r="D3" s="120"/>
    </row>
    <row r="4" spans="2:13" ht="30">
      <c r="L4" s="127" t="s">
        <v>12</v>
      </c>
      <c r="M4" s="61" t="s">
        <v>13</v>
      </c>
    </row>
    <row r="5" spans="2:13">
      <c r="B5" s="45" t="s">
        <v>14</v>
      </c>
      <c r="C5" s="8">
        <v>3</v>
      </c>
      <c r="L5" s="117" t="s">
        <v>15</v>
      </c>
      <c r="M5" s="53" t="s">
        <v>16</v>
      </c>
    </row>
    <row r="6" spans="2:13">
      <c r="B6" s="46" t="s">
        <v>17</v>
      </c>
      <c r="C6" s="2">
        <v>200</v>
      </c>
      <c r="L6" s="62" t="s">
        <v>18</v>
      </c>
      <c r="M6" s="53" t="s">
        <v>19</v>
      </c>
    </row>
    <row r="7" spans="2:13">
      <c r="B7" s="47" t="s">
        <v>20</v>
      </c>
      <c r="C7" s="3">
        <f>(C6*C5)</f>
        <v>600</v>
      </c>
      <c r="D7" s="9"/>
      <c r="L7" s="62" t="s">
        <v>21</v>
      </c>
      <c r="M7" s="53" t="s">
        <v>22</v>
      </c>
    </row>
    <row r="8" spans="2:13">
      <c r="L8" s="63" t="s">
        <v>23</v>
      </c>
      <c r="M8" s="124" t="s">
        <v>24</v>
      </c>
    </row>
    <row r="10" spans="2:13">
      <c r="B10" s="131" t="s">
        <v>25</v>
      </c>
      <c r="C10" s="134" t="s">
        <v>26</v>
      </c>
      <c r="D10" s="134"/>
      <c r="E10" s="134" t="s">
        <v>27</v>
      </c>
      <c r="F10" s="134"/>
      <c r="G10" s="134" t="s">
        <v>28</v>
      </c>
      <c r="H10" s="134"/>
    </row>
    <row r="11" spans="2:13">
      <c r="B11" s="132"/>
      <c r="C11" s="53" t="s">
        <v>29</v>
      </c>
      <c r="D11" s="53" t="s">
        <v>30</v>
      </c>
      <c r="E11" s="53" t="s">
        <v>29</v>
      </c>
      <c r="F11" s="53" t="s">
        <v>30</v>
      </c>
      <c r="G11" s="53" t="s">
        <v>29</v>
      </c>
      <c r="H11" s="53" t="s">
        <v>30</v>
      </c>
    </row>
    <row r="12" spans="2:13">
      <c r="B12" s="60" t="s">
        <v>31</v>
      </c>
      <c r="C12" s="119">
        <f>$C$6*(D12/100)</f>
        <v>160</v>
      </c>
      <c r="D12" s="119">
        <v>80</v>
      </c>
      <c r="E12" s="119">
        <f>$C$6*(F12/100)</f>
        <v>20</v>
      </c>
      <c r="F12" s="119">
        <v>10</v>
      </c>
      <c r="G12" s="119">
        <f>$C$6*(H12/100)</f>
        <v>20</v>
      </c>
      <c r="H12" s="119">
        <v>10</v>
      </c>
    </row>
    <row r="13" spans="2:13">
      <c r="B13" s="58" t="s">
        <v>32</v>
      </c>
      <c r="C13" s="53">
        <f>$C$6*(D13/100)</f>
        <v>140</v>
      </c>
      <c r="D13" s="53">
        <v>70</v>
      </c>
      <c r="E13" s="53">
        <f>$C$6*(F13/100)</f>
        <v>20</v>
      </c>
      <c r="F13" s="53">
        <v>10</v>
      </c>
      <c r="G13" s="53">
        <f>$C$6*(H13/100)</f>
        <v>40</v>
      </c>
      <c r="H13" s="53">
        <v>20</v>
      </c>
    </row>
    <row r="14" spans="2:13">
      <c r="B14" s="59" t="s">
        <v>33</v>
      </c>
      <c r="C14" s="124">
        <f>$C$6*(D14/100)</f>
        <v>100</v>
      </c>
      <c r="D14" s="124">
        <v>50</v>
      </c>
      <c r="E14" s="124">
        <f>$C$6*(F14/100)</f>
        <v>40</v>
      </c>
      <c r="F14" s="124">
        <v>20</v>
      </c>
      <c r="G14" s="124">
        <f>$C$6*(H14/100)</f>
        <v>60</v>
      </c>
      <c r="H14" s="124">
        <v>30</v>
      </c>
    </row>
    <row r="27" spans="2:7" ht="15" customHeight="1">
      <c r="B27" s="145" t="s">
        <v>34</v>
      </c>
      <c r="C27" s="146"/>
      <c r="D27" s="147"/>
    </row>
    <row r="29" spans="2:7">
      <c r="B29" s="58"/>
      <c r="C29" s="58"/>
      <c r="D29" s="58"/>
      <c r="E29" s="58"/>
      <c r="F29" s="58"/>
      <c r="G29" s="58"/>
    </row>
    <row r="30" spans="2:7">
      <c r="B30" s="148" t="s">
        <v>31</v>
      </c>
      <c r="C30" s="148"/>
      <c r="D30" s="148"/>
      <c r="E30" s="148"/>
      <c r="F30" s="148"/>
      <c r="G30" s="148"/>
    </row>
    <row r="31" spans="2:7" ht="41.25">
      <c r="B31" s="90" t="s">
        <v>35</v>
      </c>
      <c r="C31" s="90" t="s">
        <v>36</v>
      </c>
      <c r="D31" s="90" t="s">
        <v>37</v>
      </c>
      <c r="E31" s="90" t="s">
        <v>38</v>
      </c>
      <c r="F31" s="90" t="s">
        <v>39</v>
      </c>
      <c r="G31" s="90" t="s">
        <v>40</v>
      </c>
    </row>
    <row r="32" spans="2:7">
      <c r="B32" s="92" t="s">
        <v>41</v>
      </c>
      <c r="C32" s="100">
        <v>13.7</v>
      </c>
      <c r="D32" s="100">
        <v>15</v>
      </c>
      <c r="E32" s="100">
        <v>43.6</v>
      </c>
      <c r="F32" s="100">
        <v>30.1</v>
      </c>
      <c r="G32" s="101">
        <f>((E32-F32)/(F32-C32))*100</f>
        <v>82.317073170731689</v>
      </c>
    </row>
    <row r="33" spans="2:7">
      <c r="B33" s="102" t="s">
        <v>42</v>
      </c>
      <c r="C33" s="103">
        <v>15.5</v>
      </c>
      <c r="D33" s="103">
        <v>23</v>
      </c>
      <c r="E33" s="103">
        <v>41.9</v>
      </c>
      <c r="F33" s="103">
        <v>31.1</v>
      </c>
      <c r="G33" s="104">
        <f t="shared" ref="G33:G34" si="0">((E33-F33)/(F33-C33))*100</f>
        <v>69.230769230769212</v>
      </c>
    </row>
    <row r="34" spans="2:7">
      <c r="B34" s="94" t="s">
        <v>43</v>
      </c>
      <c r="C34" s="125">
        <v>16.5</v>
      </c>
      <c r="D34" s="125">
        <v>35</v>
      </c>
      <c r="E34" s="125">
        <v>38</v>
      </c>
      <c r="F34" s="125">
        <v>29.5</v>
      </c>
      <c r="G34" s="110">
        <f t="shared" si="0"/>
        <v>65.384615384615387</v>
      </c>
    </row>
    <row r="36" spans="2:7" ht="15.95" customHeight="1">
      <c r="B36" s="48" t="s">
        <v>44</v>
      </c>
      <c r="C36" s="23">
        <f>168.83*(25^(-0.272))</f>
        <v>70.341226745862201</v>
      </c>
    </row>
    <row r="38" spans="2:7" ht="47.25" customHeight="1">
      <c r="B38" s="99" t="s">
        <v>45</v>
      </c>
      <c r="C38" s="99" t="s">
        <v>36</v>
      </c>
      <c r="D38" s="99" t="s">
        <v>38</v>
      </c>
      <c r="E38" s="99" t="s">
        <v>39</v>
      </c>
      <c r="F38" s="99" t="s">
        <v>40</v>
      </c>
    </row>
    <row r="39" spans="2:7">
      <c r="B39" s="92" t="s">
        <v>41</v>
      </c>
      <c r="C39" s="100">
        <v>16.7</v>
      </c>
      <c r="D39" s="100">
        <v>26.5</v>
      </c>
      <c r="E39" s="100">
        <v>22.7</v>
      </c>
      <c r="F39" s="101">
        <f>((D39-E39)/(E39-C39))*100</f>
        <v>63.333333333333343</v>
      </c>
    </row>
    <row r="40" spans="2:7">
      <c r="B40" s="102" t="s">
        <v>42</v>
      </c>
      <c r="C40" s="103">
        <v>51.5</v>
      </c>
      <c r="D40" s="103">
        <v>61.2</v>
      </c>
      <c r="E40" s="103">
        <v>57.6</v>
      </c>
      <c r="F40" s="104">
        <f>((D40-E40)/(E40-C40))*100</f>
        <v>59.016393442622963</v>
      </c>
    </row>
    <row r="41" spans="2:7" ht="20.25">
      <c r="B41" s="105" t="s">
        <v>46</v>
      </c>
      <c r="C41" s="106">
        <f>AVERAGE(F39:F40)</f>
        <v>61.174863387978149</v>
      </c>
      <c r="D41" s="107"/>
      <c r="E41" s="107"/>
      <c r="F41" s="108"/>
    </row>
    <row r="42" spans="2:7" ht="20.25">
      <c r="B42" s="109" t="s">
        <v>47</v>
      </c>
      <c r="C42" s="98">
        <f>C36-C41</f>
        <v>9.1663633578840518</v>
      </c>
      <c r="D42" s="94"/>
      <c r="E42" s="94"/>
      <c r="F42" s="94"/>
    </row>
    <row r="45" spans="2:7">
      <c r="B45" s="59" t="s">
        <v>32</v>
      </c>
    </row>
    <row r="46" spans="2:7">
      <c r="B46" s="148" t="s">
        <v>32</v>
      </c>
      <c r="C46" s="148"/>
      <c r="D46" s="148"/>
      <c r="E46" s="148"/>
      <c r="F46" s="148"/>
      <c r="G46" s="148"/>
    </row>
    <row r="47" spans="2:7" ht="41.25">
      <c r="B47" s="90" t="s">
        <v>35</v>
      </c>
      <c r="C47" s="90" t="s">
        <v>36</v>
      </c>
      <c r="D47" s="90" t="s">
        <v>37</v>
      </c>
      <c r="E47" s="90" t="s">
        <v>38</v>
      </c>
      <c r="F47" s="90" t="s">
        <v>39</v>
      </c>
      <c r="G47" s="90" t="s">
        <v>40</v>
      </c>
    </row>
    <row r="48" spans="2:7">
      <c r="B48" s="92" t="s">
        <v>41</v>
      </c>
      <c r="C48" s="100">
        <v>14.2</v>
      </c>
      <c r="D48" s="100">
        <v>16</v>
      </c>
      <c r="E48" s="100">
        <v>37.5</v>
      </c>
      <c r="F48" s="100">
        <v>27.5</v>
      </c>
      <c r="G48" s="101">
        <f>((E48-F48)/(F48-C48))*100</f>
        <v>75.187969924812023</v>
      </c>
    </row>
    <row r="49" spans="2:7">
      <c r="B49" s="102" t="s">
        <v>42</v>
      </c>
      <c r="C49" s="103">
        <v>16.5</v>
      </c>
      <c r="D49" s="103">
        <v>27</v>
      </c>
      <c r="E49" s="103">
        <v>38.6</v>
      </c>
      <c r="F49" s="103">
        <v>29.3</v>
      </c>
      <c r="G49" s="104">
        <f t="shared" ref="G49:G50" si="1">((E49-F49)/(F49-C49))*100</f>
        <v>72.65625</v>
      </c>
    </row>
    <row r="50" spans="2:7">
      <c r="B50" s="94" t="s">
        <v>43</v>
      </c>
      <c r="C50" s="125">
        <v>16.7</v>
      </c>
      <c r="D50" s="125">
        <v>35</v>
      </c>
      <c r="E50" s="125">
        <v>41.1</v>
      </c>
      <c r="F50" s="125">
        <v>31</v>
      </c>
      <c r="G50" s="110">
        <f t="shared" si="1"/>
        <v>70.629370629370641</v>
      </c>
    </row>
    <row r="52" spans="2:7">
      <c r="B52" s="48" t="s">
        <v>44</v>
      </c>
      <c r="C52" s="23">
        <f>93.443*(25^(-0.078))</f>
        <v>72.695487349335224</v>
      </c>
    </row>
    <row r="54" spans="2:7" ht="60.75">
      <c r="B54" s="57" t="s">
        <v>45</v>
      </c>
      <c r="C54" s="28" t="s">
        <v>36</v>
      </c>
      <c r="D54" s="28" t="s">
        <v>38</v>
      </c>
      <c r="E54" s="28" t="s">
        <v>39</v>
      </c>
      <c r="F54" s="29" t="s">
        <v>40</v>
      </c>
    </row>
    <row r="55" spans="2:7">
      <c r="B55" s="46" t="s">
        <v>41</v>
      </c>
      <c r="C55" s="54">
        <v>16.899999999999999</v>
      </c>
      <c r="D55" s="54">
        <v>27.4</v>
      </c>
      <c r="E55" s="54">
        <v>23.4</v>
      </c>
      <c r="F55" s="10">
        <f>((D55-E55)/(E55-C55))*100</f>
        <v>61.53846153846154</v>
      </c>
    </row>
    <row r="56" spans="2:7">
      <c r="B56" s="47" t="s">
        <v>42</v>
      </c>
      <c r="C56" s="56">
        <v>15.8</v>
      </c>
      <c r="D56" s="56">
        <v>28.2</v>
      </c>
      <c r="E56" s="56">
        <v>23.6</v>
      </c>
      <c r="F56" s="11">
        <f>((D56-E56)/(E56-C56))*100</f>
        <v>58.974358974358942</v>
      </c>
    </row>
    <row r="58" spans="2:7">
      <c r="B58" s="45" t="s">
        <v>46</v>
      </c>
      <c r="C58" s="22">
        <f>AVERAGE(F55:F56)</f>
        <v>60.256410256410241</v>
      </c>
    </row>
    <row r="59" spans="2:7">
      <c r="B59" s="47" t="s">
        <v>47</v>
      </c>
      <c r="C59" s="11">
        <f>C52-C58</f>
        <v>12.439077092924983</v>
      </c>
    </row>
    <row r="61" spans="2:7">
      <c r="B61" s="60"/>
    </row>
    <row r="62" spans="2:7">
      <c r="B62" s="148" t="s">
        <v>33</v>
      </c>
      <c r="C62" s="148"/>
      <c r="D62" s="148"/>
      <c r="E62" s="148"/>
      <c r="F62" s="148"/>
      <c r="G62" s="148"/>
    </row>
    <row r="63" spans="2:7" ht="41.25">
      <c r="B63" s="90" t="s">
        <v>35</v>
      </c>
      <c r="C63" s="90" t="s">
        <v>36</v>
      </c>
      <c r="D63" s="90" t="s">
        <v>37</v>
      </c>
      <c r="E63" s="90" t="s">
        <v>38</v>
      </c>
      <c r="F63" s="90" t="s">
        <v>39</v>
      </c>
      <c r="G63" s="90" t="s">
        <v>40</v>
      </c>
    </row>
    <row r="64" spans="2:7">
      <c r="B64" s="92" t="s">
        <v>41</v>
      </c>
      <c r="C64" s="100">
        <v>15</v>
      </c>
      <c r="D64" s="100">
        <v>16</v>
      </c>
      <c r="E64" s="100">
        <v>33.200000000000003</v>
      </c>
      <c r="F64" s="100">
        <v>24.9</v>
      </c>
      <c r="G64" s="101">
        <f>((E64-F64)/(F64-C64))*100</f>
        <v>83.838383838383891</v>
      </c>
    </row>
    <row r="65" spans="2:7">
      <c r="B65" s="102" t="s">
        <v>42</v>
      </c>
      <c r="C65" s="103">
        <v>16.100000000000001</v>
      </c>
      <c r="D65" s="103">
        <v>29</v>
      </c>
      <c r="E65" s="103">
        <v>37.1</v>
      </c>
      <c r="F65" s="103">
        <v>27.8</v>
      </c>
      <c r="G65" s="104">
        <f t="shared" ref="G65:G66" si="2">((E65-F65)/(F65-C65))*100</f>
        <v>79.487179487179489</v>
      </c>
    </row>
    <row r="66" spans="2:7">
      <c r="B66" s="94" t="s">
        <v>43</v>
      </c>
      <c r="C66" s="125">
        <v>12.7</v>
      </c>
      <c r="D66" s="125">
        <v>35</v>
      </c>
      <c r="E66" s="125">
        <v>30.3</v>
      </c>
      <c r="F66" s="125">
        <v>22.6</v>
      </c>
      <c r="G66" s="110">
        <f t="shared" si="2"/>
        <v>77.777777777777757</v>
      </c>
    </row>
    <row r="68" spans="2:7">
      <c r="B68" s="48" t="s">
        <v>44</v>
      </c>
      <c r="C68" s="23">
        <f>108.97*(25^(-0.094))</f>
        <v>80.519411133594119</v>
      </c>
    </row>
    <row r="70" spans="2:7" ht="60.75">
      <c r="B70" s="57" t="s">
        <v>45</v>
      </c>
      <c r="C70" s="28" t="s">
        <v>36</v>
      </c>
      <c r="D70" s="28" t="s">
        <v>38</v>
      </c>
      <c r="E70" s="28" t="s">
        <v>39</v>
      </c>
      <c r="F70" s="29" t="s">
        <v>40</v>
      </c>
    </row>
    <row r="71" spans="2:7">
      <c r="B71" s="46" t="s">
        <v>41</v>
      </c>
      <c r="C71" s="54">
        <v>16.899999999999999</v>
      </c>
      <c r="D71" s="54">
        <v>23.9</v>
      </c>
      <c r="E71" s="54">
        <v>21.8</v>
      </c>
      <c r="F71" s="10">
        <f>((D71-E71)/(E71-C71))*100</f>
        <v>42.85714285714279</v>
      </c>
    </row>
    <row r="72" spans="2:7">
      <c r="B72" s="47" t="s">
        <v>42</v>
      </c>
      <c r="C72" s="56">
        <v>14.1</v>
      </c>
      <c r="D72" s="56">
        <v>18.3</v>
      </c>
      <c r="E72" s="56">
        <v>17</v>
      </c>
      <c r="F72" s="11">
        <f>((D72-E72)/(E72-C72))*100</f>
        <v>44.827586206896569</v>
      </c>
    </row>
    <row r="74" spans="2:7">
      <c r="B74" s="45" t="s">
        <v>46</v>
      </c>
      <c r="C74" s="22">
        <f>AVERAGE(F71:F72)</f>
        <v>43.84236453201968</v>
      </c>
    </row>
    <row r="75" spans="2:7">
      <c r="B75" s="47" t="s">
        <v>47</v>
      </c>
      <c r="C75" s="11">
        <f>C68-C74</f>
        <v>36.677046601574439</v>
      </c>
    </row>
    <row r="78" spans="2:7" ht="20.25">
      <c r="B78" s="95" t="s">
        <v>48</v>
      </c>
      <c r="C78" s="96" t="s">
        <v>49</v>
      </c>
      <c r="D78" s="96" t="s">
        <v>50</v>
      </c>
      <c r="E78" s="96" t="s">
        <v>47</v>
      </c>
      <c r="F78" s="151" t="s">
        <v>51</v>
      </c>
      <c r="G78" s="151"/>
    </row>
    <row r="79" spans="2:7" ht="23.25" customHeight="1">
      <c r="B79" s="87" t="s">
        <v>31</v>
      </c>
      <c r="C79" s="88">
        <f>C36</f>
        <v>70.341226745862201</v>
      </c>
      <c r="D79" s="88">
        <f>C41</f>
        <v>61.174863387978149</v>
      </c>
      <c r="E79" s="88">
        <f>C42</f>
        <v>9.1663633578840518</v>
      </c>
      <c r="F79" s="152" t="s">
        <v>52</v>
      </c>
      <c r="G79" s="152"/>
    </row>
    <row r="80" spans="2:7" ht="19.5" customHeight="1">
      <c r="B80" s="87" t="s">
        <v>32</v>
      </c>
      <c r="C80" s="88">
        <f>C52</f>
        <v>72.695487349335224</v>
      </c>
      <c r="D80" s="88">
        <f>C58</f>
        <v>60.256410256410241</v>
      </c>
      <c r="E80" s="88">
        <f>C59</f>
        <v>12.439077092924983</v>
      </c>
      <c r="F80" s="152" t="s">
        <v>52</v>
      </c>
      <c r="G80" s="152"/>
    </row>
    <row r="81" spans="2:9" ht="19.5" customHeight="1">
      <c r="B81" s="87" t="s">
        <v>33</v>
      </c>
      <c r="C81" s="88">
        <f>C68</f>
        <v>80.519411133594119</v>
      </c>
      <c r="D81" s="88">
        <f>C74</f>
        <v>43.84236453201968</v>
      </c>
      <c r="E81" s="88">
        <f>C75</f>
        <v>36.677046601574439</v>
      </c>
      <c r="F81" s="152" t="s">
        <v>52</v>
      </c>
      <c r="G81" s="152"/>
    </row>
    <row r="82" spans="2:9" ht="15" customHeight="1">
      <c r="B82" s="149" t="s">
        <v>53</v>
      </c>
      <c r="C82" s="149"/>
      <c r="D82" s="149"/>
      <c r="E82" s="149"/>
      <c r="F82" s="149"/>
      <c r="G82" s="149"/>
    </row>
    <row r="83" spans="2:9" ht="20.25" customHeight="1">
      <c r="B83" s="97" t="s">
        <v>32</v>
      </c>
      <c r="C83" s="98">
        <f>C80</f>
        <v>72.695487349335224</v>
      </c>
      <c r="D83" s="98">
        <f>D80</f>
        <v>60.256410256410241</v>
      </c>
      <c r="E83" s="98">
        <f>E80</f>
        <v>12.439077092924983</v>
      </c>
      <c r="F83" s="150" t="s">
        <v>52</v>
      </c>
      <c r="G83" s="150"/>
    </row>
    <row r="89" spans="2:9">
      <c r="B89" s="145" t="s">
        <v>54</v>
      </c>
      <c r="C89" s="147"/>
    </row>
    <row r="91" spans="2:9">
      <c r="B91" s="119" t="s">
        <v>55</v>
      </c>
      <c r="C91" s="119">
        <v>114.9</v>
      </c>
    </row>
    <row r="92" spans="2:9">
      <c r="B92" s="121" t="s">
        <v>56</v>
      </c>
      <c r="C92" s="127">
        <v>362.7</v>
      </c>
    </row>
    <row r="93" spans="2:9">
      <c r="B93" s="69" t="s">
        <v>57</v>
      </c>
      <c r="C93" s="117">
        <v>0.99734999999999996</v>
      </c>
    </row>
    <row r="94" spans="2:9">
      <c r="B94" s="121" t="s">
        <v>58</v>
      </c>
      <c r="C94" s="127">
        <v>0.99914000000000003</v>
      </c>
    </row>
    <row r="95" spans="2:9">
      <c r="B95" s="69" t="s">
        <v>59</v>
      </c>
      <c r="C95" s="117">
        <v>386.9</v>
      </c>
      <c r="I95" s="42"/>
    </row>
    <row r="96" spans="2:9">
      <c r="B96" s="123" t="s">
        <v>60</v>
      </c>
      <c r="C96" s="123">
        <v>63.4</v>
      </c>
    </row>
    <row r="97" spans="2:3">
      <c r="B97" s="124" t="s">
        <v>61</v>
      </c>
      <c r="C97" s="124">
        <f>102.6-C96</f>
        <v>39.199999999999996</v>
      </c>
    </row>
    <row r="98" spans="2:3">
      <c r="B98" s="120"/>
    </row>
    <row r="99" spans="2:3" ht="19.5" customHeight="1">
      <c r="B99" s="70" t="s">
        <v>62</v>
      </c>
      <c r="C99" s="71">
        <f>(C92-C91)/C93</f>
        <v>248.45841479921793</v>
      </c>
    </row>
    <row r="100" spans="2:3" ht="19.5" customHeight="1">
      <c r="B100" s="70" t="s">
        <v>63</v>
      </c>
      <c r="C100" s="71">
        <f>C91+(C99*C93)</f>
        <v>362.7</v>
      </c>
    </row>
    <row r="101" spans="2:3" ht="19.5" customHeight="1">
      <c r="B101" s="74" t="s">
        <v>64</v>
      </c>
      <c r="C101" s="75">
        <f>C97/(C100-(C95-C97))</f>
        <v>2.6133333333333328</v>
      </c>
    </row>
    <row r="102" spans="2:3" ht="18.600000000000001" customHeight="1">
      <c r="B102" s="72" t="s">
        <v>65</v>
      </c>
      <c r="C102" s="73">
        <f>C101*C94</f>
        <v>2.6110858666666661</v>
      </c>
    </row>
    <row r="103" spans="2:3">
      <c r="B103" s="120"/>
    </row>
    <row r="104" spans="2:3">
      <c r="B104" s="120"/>
    </row>
    <row r="105" spans="2:3">
      <c r="B105" s="120"/>
    </row>
    <row r="106" spans="2:3">
      <c r="B106" s="120"/>
    </row>
    <row r="107" spans="2:3">
      <c r="B107" s="120"/>
    </row>
    <row r="108" spans="2:3">
      <c r="B108" s="120"/>
    </row>
    <row r="109" spans="2:3">
      <c r="B109" s="120"/>
    </row>
  </sheetData>
  <mergeCells count="16">
    <mergeCell ref="B30:G30"/>
    <mergeCell ref="B46:G46"/>
    <mergeCell ref="B62:G62"/>
    <mergeCell ref="B82:G82"/>
    <mergeCell ref="B89:C89"/>
    <mergeCell ref="F83:G83"/>
    <mergeCell ref="F78:G78"/>
    <mergeCell ref="F79:G79"/>
    <mergeCell ref="F80:G80"/>
    <mergeCell ref="F81:G81"/>
    <mergeCell ref="G10:H10"/>
    <mergeCell ref="B27:D27"/>
    <mergeCell ref="B2:D2"/>
    <mergeCell ref="B10:B11"/>
    <mergeCell ref="C10:D10"/>
    <mergeCell ref="E10:F10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3CB7BD-22D3-47B5-9C65-9A96C0FEC59B}">
  <dimension ref="B4:AC64"/>
  <sheetViews>
    <sheetView zoomScaleNormal="85" workbookViewId="0">
      <selection activeCell="B40" sqref="B40:G57"/>
    </sheetView>
  </sheetViews>
  <sheetFormatPr defaultColWidth="10.7109375" defaultRowHeight="14.1"/>
  <cols>
    <col min="1" max="1" width="10.7109375" style="1"/>
    <col min="2" max="2" width="18.42578125" style="1" customWidth="1"/>
    <col min="3" max="3" width="10" style="1" customWidth="1"/>
    <col min="4" max="4" width="9.28515625" style="1" customWidth="1"/>
    <col min="5" max="5" width="8.85546875" style="1" customWidth="1"/>
    <col min="6" max="6" width="8.7109375" style="1" customWidth="1"/>
    <col min="7" max="7" width="9.5703125" style="1" customWidth="1"/>
    <col min="8" max="8" width="10.7109375" style="1"/>
    <col min="9" max="9" width="10.7109375" style="1" customWidth="1"/>
    <col min="10" max="16384" width="10.7109375" style="1"/>
  </cols>
  <sheetData>
    <row r="4" spans="2:29" ht="14.45" thickBot="1"/>
    <row r="5" spans="2:29" ht="15" customHeight="1" thickBot="1">
      <c r="B5" s="145" t="s">
        <v>66</v>
      </c>
      <c r="C5" s="147"/>
      <c r="D5" s="21"/>
    </row>
    <row r="6" spans="2:29" ht="14.45" thickBot="1"/>
    <row r="7" spans="2:29" ht="14.45">
      <c r="B7" s="41" t="s">
        <v>67</v>
      </c>
      <c r="C7" s="39">
        <v>101.6</v>
      </c>
      <c r="E7" s="42"/>
      <c r="F7" s="17"/>
    </row>
    <row r="8" spans="2:29">
      <c r="B8" s="40" t="s">
        <v>68</v>
      </c>
      <c r="C8" s="4">
        <v>116.4</v>
      </c>
      <c r="D8" s="120">
        <v>120</v>
      </c>
      <c r="E8" s="16"/>
      <c r="F8" s="17"/>
    </row>
    <row r="9" spans="2:29">
      <c r="B9" s="43" t="s">
        <v>69</v>
      </c>
      <c r="C9" s="5">
        <f>((PI()*((C7/1000)^2)/4))*(D8   /1000)</f>
        <v>9.7287835986719555E-4</v>
      </c>
      <c r="E9" s="17"/>
      <c r="F9" s="17"/>
    </row>
    <row r="10" spans="2:29" ht="27.95">
      <c r="B10" s="40" t="s">
        <v>70</v>
      </c>
      <c r="C10" s="7">
        <f>E63</f>
        <v>14.781825648384354</v>
      </c>
      <c r="E10" s="16"/>
      <c r="F10" s="17"/>
    </row>
    <row r="11" spans="2:29" ht="14.45" thickBot="1">
      <c r="B11" s="44" t="s">
        <v>71</v>
      </c>
      <c r="C11" s="6">
        <f>(C10*C9)*101.971</f>
        <v>1.466436619219101</v>
      </c>
      <c r="E11" s="18"/>
      <c r="F11" s="19"/>
    </row>
    <row r="12" spans="2:29">
      <c r="E12" s="120"/>
      <c r="F12" s="120"/>
    </row>
    <row r="13" spans="2:29">
      <c r="E13" s="120"/>
      <c r="F13" s="20"/>
    </row>
    <row r="14" spans="2:29" ht="14.45" thickBot="1"/>
    <row r="15" spans="2:29" ht="14.45" thickBot="1">
      <c r="I15" s="145" t="s">
        <v>72</v>
      </c>
      <c r="J15" s="146"/>
      <c r="K15" s="146"/>
      <c r="L15" s="147"/>
      <c r="M15" s="145" t="s">
        <v>73</v>
      </c>
      <c r="N15" s="146"/>
      <c r="O15" s="146"/>
      <c r="P15" s="147"/>
      <c r="Q15" s="145" t="s">
        <v>74</v>
      </c>
      <c r="R15" s="146"/>
      <c r="S15" s="146"/>
      <c r="T15" s="147"/>
      <c r="U15" s="145" t="s">
        <v>75</v>
      </c>
      <c r="V15" s="146"/>
      <c r="W15" s="146"/>
      <c r="X15" s="146"/>
      <c r="Y15" s="147"/>
      <c r="Z15" s="145" t="s">
        <v>76</v>
      </c>
      <c r="AA15" s="146"/>
      <c r="AB15" s="146"/>
      <c r="AC15" s="147"/>
    </row>
    <row r="18" spans="2:7" ht="15"/>
    <row r="19" spans="2:7" ht="10.5" customHeight="1">
      <c r="B19" s="158" t="s">
        <v>77</v>
      </c>
      <c r="C19" s="158"/>
      <c r="D19" s="158"/>
      <c r="E19" s="158"/>
      <c r="F19" s="158"/>
      <c r="G19" s="158"/>
    </row>
    <row r="20" spans="2:7" ht="4.5" customHeight="1">
      <c r="B20" s="159"/>
      <c r="C20" s="159"/>
      <c r="D20" s="159"/>
      <c r="E20" s="159"/>
      <c r="F20" s="159"/>
      <c r="G20" s="159"/>
    </row>
    <row r="21" spans="2:7" ht="15">
      <c r="B21" s="64" t="s">
        <v>78</v>
      </c>
      <c r="C21" s="64">
        <v>1</v>
      </c>
      <c r="D21" s="64">
        <v>2</v>
      </c>
      <c r="E21" s="64">
        <v>3</v>
      </c>
      <c r="F21" s="64">
        <v>4</v>
      </c>
      <c r="G21" s="64">
        <v>5</v>
      </c>
    </row>
    <row r="22" spans="2:7" ht="15">
      <c r="B22" s="65" t="s">
        <v>79</v>
      </c>
      <c r="C22" s="82">
        <v>10</v>
      </c>
      <c r="D22" s="82">
        <v>15</v>
      </c>
      <c r="E22" s="82">
        <v>20</v>
      </c>
      <c r="F22" s="82">
        <v>25</v>
      </c>
      <c r="G22" s="82">
        <v>30</v>
      </c>
    </row>
    <row r="23" spans="2:7" ht="15">
      <c r="B23" s="65" t="s">
        <v>80</v>
      </c>
      <c r="C23" s="65">
        <v>0.10093000000000001</v>
      </c>
      <c r="D23" s="65">
        <v>0.10098</v>
      </c>
      <c r="E23" s="65">
        <v>0.10093000000000001</v>
      </c>
      <c r="F23" s="65">
        <v>0.10098</v>
      </c>
      <c r="G23" s="65">
        <v>0.10093000000000001</v>
      </c>
    </row>
    <row r="24" spans="2:7" ht="15">
      <c r="B24" s="65" t="s">
        <v>81</v>
      </c>
      <c r="C24" s="65">
        <v>0.11669</v>
      </c>
      <c r="D24" s="65">
        <v>0.11624</v>
      </c>
      <c r="E24" s="65">
        <v>0.11669</v>
      </c>
      <c r="F24" s="65">
        <v>0.11624</v>
      </c>
      <c r="G24" s="65">
        <v>0.11669</v>
      </c>
    </row>
    <row r="25" spans="2:7" ht="15">
      <c r="B25" s="65" t="s">
        <v>82</v>
      </c>
      <c r="C25" s="83">
        <f>(PI()*((C23^2)/4))*C24</f>
        <v>9.3360693209403435E-4</v>
      </c>
      <c r="D25" s="83">
        <f t="shared" ref="D25:G25" si="0">(PI()*((D23^2)/4))*D24</f>
        <v>9.3092826231889016E-4</v>
      </c>
      <c r="E25" s="83">
        <f t="shared" si="0"/>
        <v>9.3360693209403435E-4</v>
      </c>
      <c r="F25" s="83">
        <f t="shared" si="0"/>
        <v>9.3092826231889016E-4</v>
      </c>
      <c r="G25" s="83">
        <f t="shared" si="0"/>
        <v>9.3360693209403435E-4</v>
      </c>
    </row>
    <row r="26" spans="2:7" ht="15">
      <c r="B26" s="65" t="s">
        <v>83</v>
      </c>
      <c r="C26" s="65">
        <v>3775</v>
      </c>
      <c r="D26" s="65">
        <v>3735</v>
      </c>
      <c r="E26" s="65">
        <v>3775</v>
      </c>
      <c r="F26" s="65">
        <v>3735</v>
      </c>
      <c r="G26" s="65">
        <v>3775</v>
      </c>
    </row>
    <row r="27" spans="2:7" ht="15">
      <c r="B27" s="68" t="s">
        <v>84</v>
      </c>
      <c r="C27" s="65">
        <v>5230</v>
      </c>
      <c r="D27" s="65">
        <v>5310</v>
      </c>
      <c r="E27" s="65">
        <v>5510</v>
      </c>
      <c r="F27" s="65">
        <v>5505</v>
      </c>
      <c r="G27" s="65">
        <v>5460</v>
      </c>
    </row>
    <row r="28" spans="2:7" ht="15">
      <c r="B28" s="65" t="s">
        <v>85</v>
      </c>
      <c r="C28" s="65">
        <f>C27-C26</f>
        <v>1455</v>
      </c>
      <c r="D28" s="65">
        <f t="shared" ref="D28:F28" si="1">D27-D26</f>
        <v>1575</v>
      </c>
      <c r="E28" s="65">
        <f t="shared" si="1"/>
        <v>1735</v>
      </c>
      <c r="F28" s="65">
        <f t="shared" si="1"/>
        <v>1770</v>
      </c>
      <c r="G28" s="65">
        <f>G27-G26</f>
        <v>1685</v>
      </c>
    </row>
    <row r="29" spans="2:7" ht="15">
      <c r="B29" s="68" t="s">
        <v>86</v>
      </c>
      <c r="C29" s="82">
        <f>(C28/C25)/1000</f>
        <v>1558.4717186455616</v>
      </c>
      <c r="D29" s="82">
        <f>(D28/D25)/1000</f>
        <v>1691.8596886045366</v>
      </c>
      <c r="E29" s="82">
        <f>(E28/E25)/1000</f>
        <v>1858.383801958797</v>
      </c>
      <c r="F29" s="82">
        <f>(F28/F25)/1000</f>
        <v>1901.3280310031937</v>
      </c>
      <c r="G29" s="82">
        <f>(G28/G25)/1000</f>
        <v>1804.8280727957194</v>
      </c>
    </row>
    <row r="30" spans="2:7" ht="22.5">
      <c r="B30" s="68" t="s">
        <v>87</v>
      </c>
      <c r="C30" s="82">
        <f>(C29*9.81)/1000</f>
        <v>15.288607559912959</v>
      </c>
      <c r="D30" s="82">
        <f t="shared" ref="D30:F30" si="2">(D29*9.81)/1000</f>
        <v>16.597143545210503</v>
      </c>
      <c r="E30" s="82">
        <f t="shared" si="2"/>
        <v>18.230745097215799</v>
      </c>
      <c r="F30" s="82">
        <f t="shared" si="2"/>
        <v>18.652027984141331</v>
      </c>
      <c r="G30" s="82">
        <f>(G29*9.81)/1000</f>
        <v>17.70536339412601</v>
      </c>
    </row>
    <row r="31" spans="2:7" ht="22.5">
      <c r="B31" s="68" t="s">
        <v>88</v>
      </c>
      <c r="C31" s="82">
        <f>C30/(1+(C35/100))</f>
        <v>13.958498702200531</v>
      </c>
      <c r="D31" s="82">
        <f t="shared" ref="D31:G31" si="3">D30/(1+(D35/100))</f>
        <v>14.086825583997417</v>
      </c>
      <c r="E31" s="82">
        <f t="shared" si="3"/>
        <v>15.328410477739043</v>
      </c>
      <c r="F31" s="82">
        <f t="shared" si="3"/>
        <v>14.870753220083589</v>
      </c>
      <c r="G31" s="82">
        <f t="shared" si="3"/>
        <v>13.761341065641387</v>
      </c>
    </row>
    <row r="32" spans="2:7" ht="15">
      <c r="B32" s="68" t="s">
        <v>60</v>
      </c>
      <c r="C32" s="65">
        <v>30</v>
      </c>
      <c r="D32" s="65">
        <v>35</v>
      </c>
      <c r="E32" s="65">
        <v>30</v>
      </c>
      <c r="F32" s="65">
        <v>30</v>
      </c>
      <c r="G32" s="65">
        <v>35</v>
      </c>
    </row>
    <row r="33" spans="2:7" ht="22.5">
      <c r="B33" s="68" t="s">
        <v>89</v>
      </c>
      <c r="C33" s="65">
        <v>130</v>
      </c>
      <c r="D33" s="65">
        <v>115</v>
      </c>
      <c r="E33" s="65">
        <v>155</v>
      </c>
      <c r="F33" s="65">
        <v>140</v>
      </c>
      <c r="G33" s="65">
        <v>180</v>
      </c>
    </row>
    <row r="34" spans="2:7" ht="22.5">
      <c r="B34" s="68" t="s">
        <v>90</v>
      </c>
      <c r="C34" s="65">
        <v>121.3</v>
      </c>
      <c r="D34" s="65">
        <v>102.9</v>
      </c>
      <c r="E34" s="65">
        <v>135.1</v>
      </c>
      <c r="F34" s="65">
        <v>117.7</v>
      </c>
      <c r="G34" s="65">
        <v>147.69999999999999</v>
      </c>
    </row>
    <row r="35" spans="2:7" ht="15">
      <c r="B35" s="68" t="s">
        <v>91</v>
      </c>
      <c r="C35" s="82">
        <f>((C33-C34)/(C34-C32))*100</f>
        <v>9.5290251916757978</v>
      </c>
      <c r="D35" s="82">
        <f t="shared" ref="D35:G35" si="4">((D33-D34)/(D34-D32))*100</f>
        <v>17.820324005891006</v>
      </c>
      <c r="E35" s="82">
        <f t="shared" si="4"/>
        <v>18.934348239771655</v>
      </c>
      <c r="F35" s="82">
        <f t="shared" si="4"/>
        <v>25.427594070695548</v>
      </c>
      <c r="G35" s="82">
        <f t="shared" si="4"/>
        <v>28.660159716060353</v>
      </c>
    </row>
    <row r="36" spans="2:7" ht="15">
      <c r="B36" s="157" t="s">
        <v>92</v>
      </c>
      <c r="C36" s="157"/>
      <c r="D36" s="84">
        <f>(-0.3821)/(2*(-0.0098))</f>
        <v>19.494897959183675</v>
      </c>
      <c r="E36" s="66"/>
      <c r="F36" s="66"/>
      <c r="G36" s="66"/>
    </row>
    <row r="37" spans="2:7" ht="15">
      <c r="B37" s="156" t="s">
        <v>93</v>
      </c>
      <c r="C37" s="156"/>
      <c r="D37" s="85">
        <f>(-0.0098*(D36^2))+(0.3821*D36)+11.115</f>
        <v>14.839500255102042</v>
      </c>
      <c r="E37" s="67"/>
      <c r="F37" s="67"/>
      <c r="G37" s="67"/>
    </row>
    <row r="38" spans="2:7" ht="15"/>
    <row r="39" spans="2:7" ht="15"/>
    <row r="40" spans="2:7" ht="15">
      <c r="B40" s="155" t="s">
        <v>94</v>
      </c>
      <c r="C40" s="155"/>
      <c r="D40" s="155"/>
      <c r="E40" s="155"/>
      <c r="F40" s="155"/>
      <c r="G40" s="155"/>
    </row>
    <row r="41" spans="2:7" ht="15">
      <c r="B41" s="86" t="s">
        <v>78</v>
      </c>
      <c r="C41" s="86">
        <v>1</v>
      </c>
      <c r="D41" s="86">
        <v>2</v>
      </c>
      <c r="E41" s="86">
        <v>3</v>
      </c>
      <c r="F41" s="86">
        <v>4</v>
      </c>
      <c r="G41" s="86">
        <v>5</v>
      </c>
    </row>
    <row r="42" spans="2:7" ht="15">
      <c r="B42" s="87" t="s">
        <v>79</v>
      </c>
      <c r="C42" s="88">
        <v>10</v>
      </c>
      <c r="D42" s="88">
        <v>15</v>
      </c>
      <c r="E42" s="88">
        <v>20</v>
      </c>
      <c r="F42" s="88">
        <v>25</v>
      </c>
      <c r="G42" s="88">
        <v>30</v>
      </c>
    </row>
    <row r="43" spans="2:7" ht="15">
      <c r="B43" s="87" t="s">
        <v>80</v>
      </c>
      <c r="C43" s="87">
        <v>0.10093000000000001</v>
      </c>
      <c r="D43" s="87">
        <v>0.10098</v>
      </c>
      <c r="E43" s="87">
        <v>0.10093000000000001</v>
      </c>
      <c r="F43" s="87">
        <v>0.10098</v>
      </c>
      <c r="G43" s="87">
        <v>0.10093000000000001</v>
      </c>
    </row>
    <row r="44" spans="2:7" ht="15">
      <c r="B44" s="87" t="s">
        <v>81</v>
      </c>
      <c r="C44" s="87">
        <v>0.11669</v>
      </c>
      <c r="D44" s="87">
        <v>0.11624</v>
      </c>
      <c r="E44" s="87">
        <v>0.11669</v>
      </c>
      <c r="F44" s="87">
        <v>0.11624</v>
      </c>
      <c r="G44" s="87">
        <v>0.11669</v>
      </c>
    </row>
    <row r="45" spans="2:7" ht="15">
      <c r="B45" s="87" t="s">
        <v>82</v>
      </c>
      <c r="C45" s="89">
        <f>(PI()*((C43^2)/4))*C44</f>
        <v>9.3360693209403435E-4</v>
      </c>
      <c r="D45" s="89">
        <f t="shared" ref="D45:G45" si="5">(PI()*((D43^2)/4))*D44</f>
        <v>9.3092826231889016E-4</v>
      </c>
      <c r="E45" s="89">
        <f t="shared" si="5"/>
        <v>9.3360693209403435E-4</v>
      </c>
      <c r="F45" s="89">
        <f t="shared" si="5"/>
        <v>9.3092826231889016E-4</v>
      </c>
      <c r="G45" s="89">
        <f t="shared" si="5"/>
        <v>9.3360693209403435E-4</v>
      </c>
    </row>
    <row r="46" spans="2:7" ht="15">
      <c r="B46" s="87" t="s">
        <v>83</v>
      </c>
      <c r="C46" s="87">
        <v>3775</v>
      </c>
      <c r="D46" s="87">
        <v>3735</v>
      </c>
      <c r="E46" s="87">
        <v>3775</v>
      </c>
      <c r="F46" s="87">
        <v>3735</v>
      </c>
      <c r="G46" s="87">
        <v>3775</v>
      </c>
    </row>
    <row r="47" spans="2:7" ht="15">
      <c r="B47" s="90" t="s">
        <v>84</v>
      </c>
      <c r="C47" s="87">
        <v>5120</v>
      </c>
      <c r="D47" s="87">
        <v>5285</v>
      </c>
      <c r="E47" s="87">
        <v>5435</v>
      </c>
      <c r="F47" s="87">
        <v>5475</v>
      </c>
      <c r="G47" s="87">
        <v>5505</v>
      </c>
    </row>
    <row r="48" spans="2:7" ht="15">
      <c r="B48" s="87" t="s">
        <v>85</v>
      </c>
      <c r="C48" s="87">
        <f>C47-C46</f>
        <v>1345</v>
      </c>
      <c r="D48" s="87">
        <f t="shared" ref="D48:F48" si="6">D47-D46</f>
        <v>1550</v>
      </c>
      <c r="E48" s="87">
        <f t="shared" si="6"/>
        <v>1660</v>
      </c>
      <c r="F48" s="87">
        <f t="shared" si="6"/>
        <v>1740</v>
      </c>
      <c r="G48" s="87">
        <f>G47-G46</f>
        <v>1730</v>
      </c>
    </row>
    <row r="49" spans="2:7" ht="15">
      <c r="B49" s="90" t="s">
        <v>86</v>
      </c>
      <c r="C49" s="88">
        <f>(C48/C45)/1000</f>
        <v>1440.6491144867907</v>
      </c>
      <c r="D49" s="88">
        <f>(D48/D45)/1000</f>
        <v>1665.0047729124012</v>
      </c>
      <c r="E49" s="88">
        <f>(E48/E45)/1000</f>
        <v>1778.0502082141807</v>
      </c>
      <c r="F49" s="88">
        <f>(F48/F45)/1000</f>
        <v>1869.1021321726312</v>
      </c>
      <c r="G49" s="88">
        <f>(G48/G45)/1000</f>
        <v>1853.0282290424893</v>
      </c>
    </row>
    <row r="50" spans="2:7" ht="20.25">
      <c r="B50" s="90" t="s">
        <v>87</v>
      </c>
      <c r="C50" s="88">
        <f>(C49*9.81)/1000</f>
        <v>14.132767813115418</v>
      </c>
      <c r="D50" s="88">
        <f t="shared" ref="D50:F50" si="7">(D49*9.81)/1000</f>
        <v>16.333696822270657</v>
      </c>
      <c r="E50" s="88">
        <f t="shared" si="7"/>
        <v>17.442672542581114</v>
      </c>
      <c r="F50" s="88">
        <f t="shared" si="7"/>
        <v>18.335891916613512</v>
      </c>
      <c r="G50" s="88">
        <f>(G49*9.81)/1000</f>
        <v>18.178206926906821</v>
      </c>
    </row>
    <row r="51" spans="2:7" ht="15">
      <c r="B51" s="90" t="s">
        <v>88</v>
      </c>
      <c r="C51" s="88">
        <f>C50/(1+(C55/100))</f>
        <v>12.959748084626838</v>
      </c>
      <c r="D51" s="88">
        <f t="shared" ref="D51:G51" si="8">D50/(1+(D55/100))</f>
        <v>14.249205989714209</v>
      </c>
      <c r="E51" s="88">
        <f t="shared" si="8"/>
        <v>14.554165969529683</v>
      </c>
      <c r="F51" s="88">
        <f>F50/(1+(F55/100))</f>
        <v>14.604936517928675</v>
      </c>
      <c r="G51" s="88">
        <f t="shared" si="8"/>
        <v>13.724546229814651</v>
      </c>
    </row>
    <row r="52" spans="2:7" ht="15">
      <c r="B52" s="90" t="s">
        <v>60</v>
      </c>
      <c r="C52" s="87">
        <v>35</v>
      </c>
      <c r="D52" s="87">
        <v>30</v>
      </c>
      <c r="E52" s="87">
        <v>35</v>
      </c>
      <c r="F52" s="87">
        <v>25</v>
      </c>
      <c r="G52" s="87">
        <v>35</v>
      </c>
    </row>
    <row r="53" spans="2:7" ht="20.25">
      <c r="B53" s="90" t="s">
        <v>89</v>
      </c>
      <c r="C53" s="87">
        <v>135</v>
      </c>
      <c r="D53" s="87">
        <v>135</v>
      </c>
      <c r="E53" s="87">
        <v>160</v>
      </c>
      <c r="F53" s="87">
        <v>255</v>
      </c>
      <c r="G53" s="87">
        <v>195</v>
      </c>
    </row>
    <row r="54" spans="2:7" ht="20.25">
      <c r="B54" s="90" t="s">
        <v>90</v>
      </c>
      <c r="C54" s="87">
        <v>126.7</v>
      </c>
      <c r="D54" s="87">
        <v>121.6</v>
      </c>
      <c r="E54" s="87">
        <v>139.30000000000001</v>
      </c>
      <c r="F54" s="87">
        <v>208.2</v>
      </c>
      <c r="G54" s="87">
        <v>155.80000000000001</v>
      </c>
    </row>
    <row r="55" spans="2:7" ht="15">
      <c r="B55" s="90" t="s">
        <v>91</v>
      </c>
      <c r="C55" s="88">
        <f>((C53-C54)/(C54-C52))*100</f>
        <v>9.0512540894220255</v>
      </c>
      <c r="D55" s="88">
        <f t="shared" ref="D55" si="9">((D53-D54)/(D54-D52))*100</f>
        <v>14.628820960698697</v>
      </c>
      <c r="E55" s="88">
        <f t="shared" ref="E55" si="10">((E53-E54)/(E54-E52))*100</f>
        <v>19.846596356663458</v>
      </c>
      <c r="F55" s="88">
        <f t="shared" ref="F55" si="11">((F53-F54)/(F54-F52))*100</f>
        <v>25.54585152838429</v>
      </c>
      <c r="G55" s="88">
        <f t="shared" ref="G55" si="12">((G53-G54)/(G54-G52))*100</f>
        <v>32.450331125827802</v>
      </c>
    </row>
    <row r="56" spans="2:7" ht="15">
      <c r="B56" s="160" t="s">
        <v>92</v>
      </c>
      <c r="C56" s="160"/>
      <c r="D56" s="91">
        <f>(-0.4306)/(2*(-0.0096))</f>
        <v>22.427083333333336</v>
      </c>
      <c r="E56" s="92"/>
      <c r="F56" s="92"/>
      <c r="G56" s="92"/>
    </row>
    <row r="57" spans="2:7" ht="15">
      <c r="B57" s="154" t="s">
        <v>93</v>
      </c>
      <c r="C57" s="154"/>
      <c r="D57" s="93">
        <f>(-0.0096*(D56^2))+(0.4306*D56)+9.8956</f>
        <v>14.724151041666666</v>
      </c>
      <c r="E57" s="94"/>
      <c r="F57" s="94"/>
      <c r="G57" s="94"/>
    </row>
    <row r="58" spans="2:7" ht="15"/>
    <row r="59" spans="2:7" ht="15"/>
    <row r="60" spans="2:7" ht="15"/>
    <row r="61" spans="2:7" ht="15"/>
    <row r="62" spans="2:7" ht="15">
      <c r="B62" s="135" t="s">
        <v>95</v>
      </c>
      <c r="C62" s="135"/>
      <c r="D62" s="135"/>
      <c r="E62" s="77">
        <f>AVERAGE(D36,D56)</f>
        <v>20.960990646258505</v>
      </c>
    </row>
    <row r="63" spans="2:7" ht="15">
      <c r="B63" s="153" t="s">
        <v>96</v>
      </c>
      <c r="C63" s="153"/>
      <c r="D63" s="153"/>
      <c r="E63" s="76">
        <f>AVERAGE(D37,D57)</f>
        <v>14.781825648384354</v>
      </c>
    </row>
    <row r="64" spans="2:7" ht="15"/>
  </sheetData>
  <mergeCells count="14">
    <mergeCell ref="U15:Y15"/>
    <mergeCell ref="Z15:AC15"/>
    <mergeCell ref="B5:C5"/>
    <mergeCell ref="B63:D63"/>
    <mergeCell ref="I15:L15"/>
    <mergeCell ref="M15:P15"/>
    <mergeCell ref="Q15:T15"/>
    <mergeCell ref="B57:C57"/>
    <mergeCell ref="B40:G40"/>
    <mergeCell ref="B37:C37"/>
    <mergeCell ref="B36:C36"/>
    <mergeCell ref="B19:G20"/>
    <mergeCell ref="B56:C56"/>
    <mergeCell ref="B62:D62"/>
  </mergeCells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550941F-1643-4788-8310-26512A699704}">
  <dimension ref="B1:T28"/>
  <sheetViews>
    <sheetView zoomScaleNormal="100" workbookViewId="0">
      <selection activeCell="O6" sqref="O6"/>
    </sheetView>
  </sheetViews>
  <sheetFormatPr defaultColWidth="10.7109375" defaultRowHeight="14.1"/>
  <cols>
    <col min="1" max="1" width="10.7109375" style="1"/>
    <col min="2" max="2" width="12.28515625" style="1" customWidth="1"/>
    <col min="3" max="3" width="6.5703125" style="1" customWidth="1"/>
    <col min="4" max="4" width="8.42578125" style="1" customWidth="1"/>
    <col min="5" max="5" width="7.28515625" style="1" customWidth="1"/>
    <col min="6" max="6" width="8.85546875" style="1" customWidth="1"/>
    <col min="7" max="7" width="7.85546875" style="1" customWidth="1"/>
    <col min="8" max="8" width="7.7109375" style="1" customWidth="1"/>
    <col min="9" max="19" width="10.7109375" style="1"/>
    <col min="20" max="20" width="13.5703125" style="1" customWidth="1"/>
    <col min="21" max="16384" width="10.7109375" style="1"/>
  </cols>
  <sheetData>
    <row r="1" spans="2:20" ht="15"/>
    <row r="2" spans="2:20" ht="15">
      <c r="J2" s="161" t="s">
        <v>97</v>
      </c>
      <c r="K2" s="161"/>
      <c r="L2" s="161"/>
      <c r="M2" s="161"/>
      <c r="N2" s="161"/>
    </row>
    <row r="3" spans="2:20" ht="29.45" customHeight="1">
      <c r="B3" s="163" t="s">
        <v>98</v>
      </c>
      <c r="C3" s="162" t="s">
        <v>99</v>
      </c>
      <c r="D3" s="162"/>
      <c r="E3" s="162"/>
      <c r="F3" s="162" t="s">
        <v>100</v>
      </c>
      <c r="G3" s="162"/>
      <c r="H3" s="162"/>
      <c r="J3" s="113" t="s">
        <v>78</v>
      </c>
      <c r="K3" s="114" t="s">
        <v>101</v>
      </c>
      <c r="L3" s="114" t="s">
        <v>102</v>
      </c>
      <c r="M3" s="114" t="s">
        <v>103</v>
      </c>
      <c r="N3" s="114" t="s">
        <v>104</v>
      </c>
      <c r="Q3" s="16"/>
      <c r="R3" s="17"/>
      <c r="S3" s="16"/>
      <c r="T3" s="16"/>
    </row>
    <row r="4" spans="2:20" ht="15">
      <c r="B4" s="163"/>
      <c r="C4" s="123" t="s">
        <v>105</v>
      </c>
      <c r="D4" s="123" t="s">
        <v>106</v>
      </c>
      <c r="E4" s="123" t="s">
        <v>107</v>
      </c>
      <c r="F4" s="123" t="s">
        <v>105</v>
      </c>
      <c r="G4" s="123" t="s">
        <v>106</v>
      </c>
      <c r="H4" s="123" t="s">
        <v>107</v>
      </c>
      <c r="J4" s="126" t="s">
        <v>108</v>
      </c>
      <c r="K4" s="115">
        <v>45873</v>
      </c>
      <c r="L4" s="116">
        <v>0.5</v>
      </c>
      <c r="M4" s="115">
        <f>K4+1</f>
        <v>45874</v>
      </c>
      <c r="N4" s="116">
        <v>0.58333333333333337</v>
      </c>
    </row>
    <row r="5" spans="2:20" ht="15">
      <c r="B5" s="53">
        <v>1</v>
      </c>
      <c r="C5" s="53" t="s">
        <v>108</v>
      </c>
      <c r="D5" s="53" t="s">
        <v>109</v>
      </c>
      <c r="E5" s="53" t="s">
        <v>110</v>
      </c>
      <c r="F5" s="53" t="s">
        <v>111</v>
      </c>
      <c r="G5" s="53" t="s">
        <v>112</v>
      </c>
      <c r="H5" s="53" t="s">
        <v>113</v>
      </c>
      <c r="J5" s="126" t="s">
        <v>109</v>
      </c>
      <c r="K5" s="115">
        <f>K4</f>
        <v>45873</v>
      </c>
      <c r="L5" s="116">
        <v>0.5</v>
      </c>
      <c r="M5" s="115">
        <f t="shared" ref="M5:M9" si="0">K5+1</f>
        <v>45874</v>
      </c>
      <c r="N5" s="116">
        <v>0.58333333333333337</v>
      </c>
    </row>
    <row r="6" spans="2:20" ht="15">
      <c r="B6" s="53">
        <v>30</v>
      </c>
      <c r="C6" s="53" t="s">
        <v>114</v>
      </c>
      <c r="D6" s="53" t="s">
        <v>115</v>
      </c>
      <c r="E6" s="53" t="s">
        <v>116</v>
      </c>
      <c r="F6" s="53" t="s">
        <v>117</v>
      </c>
      <c r="G6" s="53" t="s">
        <v>118</v>
      </c>
      <c r="H6" s="53" t="s">
        <v>119</v>
      </c>
      <c r="J6" s="126" t="s">
        <v>110</v>
      </c>
      <c r="K6" s="115">
        <f t="shared" ref="K6:K9" si="1">K5</f>
        <v>45873</v>
      </c>
      <c r="L6" s="116">
        <v>0.5</v>
      </c>
      <c r="M6" s="115">
        <f t="shared" si="0"/>
        <v>45874</v>
      </c>
      <c r="N6" s="116">
        <v>0.58333333333333337</v>
      </c>
    </row>
    <row r="7" spans="2:20" ht="15">
      <c r="B7" s="53">
        <v>60</v>
      </c>
      <c r="C7" s="53" t="s">
        <v>120</v>
      </c>
      <c r="D7" s="53" t="s">
        <v>121</v>
      </c>
      <c r="E7" s="53" t="s">
        <v>122</v>
      </c>
      <c r="F7" s="53" t="s">
        <v>123</v>
      </c>
      <c r="G7" s="53" t="s">
        <v>124</v>
      </c>
      <c r="H7" s="53" t="s">
        <v>125</v>
      </c>
      <c r="J7" s="126" t="s">
        <v>111</v>
      </c>
      <c r="K7" s="115">
        <f t="shared" si="1"/>
        <v>45873</v>
      </c>
      <c r="L7" s="116">
        <v>0.5</v>
      </c>
      <c r="M7" s="115">
        <f t="shared" si="0"/>
        <v>45874</v>
      </c>
      <c r="N7" s="116">
        <v>0.58333333333333304</v>
      </c>
    </row>
    <row r="8" spans="2:20" ht="15">
      <c r="B8" s="49">
        <v>90</v>
      </c>
      <c r="C8" s="49" t="s">
        <v>126</v>
      </c>
      <c r="D8" s="49" t="s">
        <v>127</v>
      </c>
      <c r="E8" s="49" t="s">
        <v>128</v>
      </c>
      <c r="F8" s="49" t="s">
        <v>129</v>
      </c>
      <c r="G8" s="49" t="s">
        <v>130</v>
      </c>
      <c r="H8" s="49" t="s">
        <v>131</v>
      </c>
      <c r="J8" s="126" t="s">
        <v>112</v>
      </c>
      <c r="K8" s="115">
        <f t="shared" si="1"/>
        <v>45873</v>
      </c>
      <c r="L8" s="116">
        <v>0.5</v>
      </c>
      <c r="M8" s="115">
        <f t="shared" si="0"/>
        <v>45874</v>
      </c>
      <c r="N8" s="116">
        <v>0.58333333333333304</v>
      </c>
    </row>
    <row r="9" spans="2:20" ht="15">
      <c r="J9" s="126" t="s">
        <v>113</v>
      </c>
      <c r="K9" s="115">
        <f t="shared" si="1"/>
        <v>45873</v>
      </c>
      <c r="L9" s="116">
        <v>0.5</v>
      </c>
      <c r="M9" s="115">
        <f t="shared" si="0"/>
        <v>45874</v>
      </c>
      <c r="N9" s="116">
        <v>0.58333333333333304</v>
      </c>
    </row>
    <row r="10" spans="2:20" ht="15">
      <c r="B10" s="145" t="s">
        <v>132</v>
      </c>
      <c r="C10" s="146"/>
      <c r="D10" s="146"/>
      <c r="E10" s="147"/>
      <c r="F10" s="27">
        <v>24</v>
      </c>
      <c r="J10" s="126" t="s">
        <v>114</v>
      </c>
      <c r="K10" s="115">
        <v>45874</v>
      </c>
      <c r="L10" s="116">
        <v>0.66666666666666663</v>
      </c>
      <c r="M10" s="115">
        <f>K10+30</f>
        <v>45904</v>
      </c>
      <c r="N10" s="116">
        <v>0.58333333333333304</v>
      </c>
    </row>
    <row r="11" spans="2:20" ht="15">
      <c r="B11" s="145" t="s">
        <v>133</v>
      </c>
      <c r="C11" s="146"/>
      <c r="D11" s="146"/>
      <c r="E11" s="147"/>
      <c r="F11" s="27">
        <v>4</v>
      </c>
      <c r="J11" s="126" t="s">
        <v>115</v>
      </c>
      <c r="K11" s="115">
        <f>K10</f>
        <v>45874</v>
      </c>
      <c r="L11" s="116">
        <v>0.66666666666666663</v>
      </c>
      <c r="M11" s="115">
        <f t="shared" ref="M11:M15" si="2">K11+30</f>
        <v>45904</v>
      </c>
      <c r="N11" s="116">
        <v>0.58333333333333304</v>
      </c>
    </row>
    <row r="12" spans="2:20" ht="15">
      <c r="B12" s="145" t="s">
        <v>134</v>
      </c>
      <c r="C12" s="146"/>
      <c r="D12" s="146"/>
      <c r="E12" s="147"/>
      <c r="F12" s="27">
        <v>28</v>
      </c>
      <c r="J12" s="126" t="s">
        <v>116</v>
      </c>
      <c r="K12" s="115">
        <f t="shared" ref="K12:K15" si="3">K11</f>
        <v>45874</v>
      </c>
      <c r="L12" s="116">
        <v>0.66666666666666696</v>
      </c>
      <c r="M12" s="115">
        <f t="shared" si="2"/>
        <v>45904</v>
      </c>
      <c r="N12" s="116">
        <v>0.58333333333333304</v>
      </c>
    </row>
    <row r="13" spans="2:20" ht="15">
      <c r="J13" s="126" t="s">
        <v>117</v>
      </c>
      <c r="K13" s="115">
        <f t="shared" si="3"/>
        <v>45874</v>
      </c>
      <c r="L13" s="116">
        <v>0.66666666666666696</v>
      </c>
      <c r="M13" s="115">
        <f t="shared" si="2"/>
        <v>45904</v>
      </c>
      <c r="N13" s="116">
        <v>0.58333333333333304</v>
      </c>
    </row>
    <row r="14" spans="2:20" ht="15">
      <c r="J14" s="126" t="s">
        <v>118</v>
      </c>
      <c r="K14" s="115">
        <f t="shared" si="3"/>
        <v>45874</v>
      </c>
      <c r="L14" s="116">
        <v>0.66666666666666696</v>
      </c>
      <c r="M14" s="115">
        <f t="shared" si="2"/>
        <v>45904</v>
      </c>
      <c r="N14" s="116">
        <v>0.58333333333333304</v>
      </c>
    </row>
    <row r="15" spans="2:20" ht="15">
      <c r="J15" s="126" t="s">
        <v>119</v>
      </c>
      <c r="K15" s="115">
        <f t="shared" si="3"/>
        <v>45874</v>
      </c>
      <c r="L15" s="116">
        <v>0.66666666666666696</v>
      </c>
      <c r="M15" s="115">
        <f t="shared" si="2"/>
        <v>45904</v>
      </c>
      <c r="N15" s="116">
        <v>0.58333333333333304</v>
      </c>
    </row>
    <row r="16" spans="2:20" ht="15">
      <c r="J16" s="126" t="s">
        <v>120</v>
      </c>
      <c r="K16" s="115">
        <v>45869</v>
      </c>
      <c r="L16" s="116">
        <v>0.5</v>
      </c>
      <c r="M16" s="115">
        <f>K16+60</f>
        <v>45929</v>
      </c>
      <c r="N16" s="116">
        <v>0.52083333333333337</v>
      </c>
    </row>
    <row r="17" spans="10:14" ht="15">
      <c r="J17" s="126" t="s">
        <v>121</v>
      </c>
      <c r="K17" s="115">
        <f>K16</f>
        <v>45869</v>
      </c>
      <c r="L17" s="116">
        <v>0.5</v>
      </c>
      <c r="M17" s="115">
        <f t="shared" ref="M17:M21" si="4">K17+60</f>
        <v>45929</v>
      </c>
      <c r="N17" s="116">
        <v>0.52083333333333337</v>
      </c>
    </row>
    <row r="18" spans="10:14" ht="15">
      <c r="J18" s="126" t="s">
        <v>122</v>
      </c>
      <c r="K18" s="115">
        <f t="shared" ref="K18:K19" si="5">K17</f>
        <v>45869</v>
      </c>
      <c r="L18" s="116">
        <v>0.5</v>
      </c>
      <c r="M18" s="115">
        <f t="shared" si="4"/>
        <v>45929</v>
      </c>
      <c r="N18" s="116">
        <v>0.52083333333333304</v>
      </c>
    </row>
    <row r="19" spans="10:14" ht="15">
      <c r="J19" s="126" t="s">
        <v>123</v>
      </c>
      <c r="K19" s="115">
        <f t="shared" si="5"/>
        <v>45869</v>
      </c>
      <c r="L19" s="116">
        <v>0.5</v>
      </c>
      <c r="M19" s="115">
        <f t="shared" si="4"/>
        <v>45929</v>
      </c>
      <c r="N19" s="116">
        <v>0.52083333333333304</v>
      </c>
    </row>
    <row r="20" spans="10:14" ht="15">
      <c r="J20" s="126" t="s">
        <v>124</v>
      </c>
      <c r="K20" s="115">
        <v>45874</v>
      </c>
      <c r="L20" s="116">
        <v>0.66666666666666663</v>
      </c>
      <c r="M20" s="115">
        <f t="shared" si="4"/>
        <v>45934</v>
      </c>
      <c r="N20" s="116">
        <v>0.52083333333333304</v>
      </c>
    </row>
    <row r="21" spans="10:14" ht="15">
      <c r="J21" s="126" t="s">
        <v>125</v>
      </c>
      <c r="K21" s="115">
        <f t="shared" ref="K21" si="6">K20</f>
        <v>45874</v>
      </c>
      <c r="L21" s="116">
        <v>0.66666666666666663</v>
      </c>
      <c r="M21" s="115">
        <f t="shared" si="4"/>
        <v>45934</v>
      </c>
      <c r="N21" s="116">
        <v>0.52083333333333304</v>
      </c>
    </row>
    <row r="22" spans="10:14" ht="15">
      <c r="J22" s="126" t="s">
        <v>126</v>
      </c>
      <c r="K22" s="115">
        <v>45869</v>
      </c>
      <c r="L22" s="116">
        <v>0.5</v>
      </c>
      <c r="M22" s="115">
        <f>K22+90</f>
        <v>45959</v>
      </c>
      <c r="N22" s="116">
        <v>0.52083333333333304</v>
      </c>
    </row>
    <row r="23" spans="10:14" ht="15">
      <c r="J23" s="126" t="s">
        <v>127</v>
      </c>
      <c r="K23" s="115">
        <f>K22</f>
        <v>45869</v>
      </c>
      <c r="L23" s="116">
        <v>0.5</v>
      </c>
      <c r="M23" s="115">
        <f t="shared" ref="M23:M27" si="7">K23+90</f>
        <v>45959</v>
      </c>
      <c r="N23" s="116">
        <v>0.52083333333333304</v>
      </c>
    </row>
    <row r="24" spans="10:14" ht="15">
      <c r="J24" s="126" t="s">
        <v>128</v>
      </c>
      <c r="K24" s="115">
        <f t="shared" ref="K24:K27" si="8">K23</f>
        <v>45869</v>
      </c>
      <c r="L24" s="116">
        <v>0.5</v>
      </c>
      <c r="M24" s="115">
        <f t="shared" si="7"/>
        <v>45959</v>
      </c>
      <c r="N24" s="116">
        <v>0.52083333333333304</v>
      </c>
    </row>
    <row r="25" spans="10:14" ht="15">
      <c r="J25" s="126" t="s">
        <v>129</v>
      </c>
      <c r="K25" s="115">
        <f t="shared" si="8"/>
        <v>45869</v>
      </c>
      <c r="L25" s="116">
        <v>0.5</v>
      </c>
      <c r="M25" s="115">
        <f t="shared" si="7"/>
        <v>45959</v>
      </c>
      <c r="N25" s="116">
        <v>0.52083333333333304</v>
      </c>
    </row>
    <row r="26" spans="10:14" ht="15">
      <c r="J26" s="126" t="s">
        <v>130</v>
      </c>
      <c r="K26" s="115">
        <f t="shared" si="8"/>
        <v>45869</v>
      </c>
      <c r="L26" s="116">
        <v>0.5</v>
      </c>
      <c r="M26" s="115">
        <f t="shared" si="7"/>
        <v>45959</v>
      </c>
      <c r="N26" s="116">
        <v>0.52083333333333304</v>
      </c>
    </row>
    <row r="27" spans="10:14" ht="15">
      <c r="J27" s="126" t="s">
        <v>131</v>
      </c>
      <c r="K27" s="115">
        <f t="shared" si="8"/>
        <v>45869</v>
      </c>
      <c r="L27" s="116">
        <v>0.5</v>
      </c>
      <c r="M27" s="115">
        <f t="shared" si="7"/>
        <v>45959</v>
      </c>
      <c r="N27" s="116">
        <v>0.52083333333333304</v>
      </c>
    </row>
    <row r="28" spans="10:14" ht="15"/>
  </sheetData>
  <mergeCells count="7">
    <mergeCell ref="J2:N2"/>
    <mergeCell ref="B12:E12"/>
    <mergeCell ref="C3:E3"/>
    <mergeCell ref="F3:H3"/>
    <mergeCell ref="B3:B4"/>
    <mergeCell ref="B10:E10"/>
    <mergeCell ref="B11:E11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7C69EC-9EB2-4C77-9A32-A76CD3F5C6BE}">
  <dimension ref="A2:AY98"/>
  <sheetViews>
    <sheetView topLeftCell="I69" zoomScale="76" zoomScaleNormal="70" workbookViewId="0">
      <selection activeCell="J65" sqref="J65"/>
    </sheetView>
  </sheetViews>
  <sheetFormatPr defaultColWidth="10.85546875" defaultRowHeight="15" customHeight="1"/>
  <cols>
    <col min="1" max="3" width="10.85546875" style="1"/>
    <col min="4" max="4" width="8.140625" style="1" customWidth="1"/>
    <col min="5" max="5" width="9" style="1" customWidth="1"/>
    <col min="6" max="6" width="14.85546875" style="1" customWidth="1"/>
    <col min="7" max="7" width="8.28515625" style="1" customWidth="1"/>
    <col min="8" max="8" width="4.5703125" style="1" customWidth="1"/>
    <col min="9" max="9" width="10.140625" style="1" customWidth="1"/>
    <col min="10" max="10" width="12.85546875" style="1" customWidth="1"/>
    <col min="11" max="16" width="10.85546875" style="1"/>
    <col min="17" max="17" width="8.28515625" style="1" customWidth="1"/>
    <col min="18" max="18" width="9.28515625" style="1" customWidth="1"/>
    <col min="19" max="19" width="12.42578125" style="1" customWidth="1"/>
    <col min="20" max="20" width="8.7109375" style="1" customWidth="1"/>
    <col min="21" max="21" width="5.85546875" style="1" customWidth="1"/>
    <col min="22" max="29" width="10.85546875" style="1"/>
    <col min="30" max="31" width="9.140625" style="1" customWidth="1"/>
    <col min="32" max="32" width="12.5703125" style="1" customWidth="1"/>
    <col min="33" max="33" width="8.7109375" style="1" customWidth="1"/>
    <col min="34" max="34" width="6.28515625" style="1" customWidth="1"/>
    <col min="35" max="45" width="10.85546875" style="1"/>
    <col min="46" max="46" width="9.42578125" style="1" customWidth="1"/>
    <col min="47" max="47" width="9.7109375" style="1" customWidth="1"/>
    <col min="48" max="48" width="12.28515625" style="1" customWidth="1"/>
    <col min="49" max="49" width="8.85546875" style="1" customWidth="1"/>
    <col min="50" max="50" width="7" style="1" customWidth="1"/>
    <col min="51" max="16384" width="10.85546875" style="1"/>
  </cols>
  <sheetData>
    <row r="2" spans="4:51" ht="14.1"/>
    <row r="3" spans="4:51" ht="14.1">
      <c r="D3" s="129" t="s">
        <v>135</v>
      </c>
      <c r="E3" s="130"/>
      <c r="F3" s="130"/>
      <c r="G3" s="130"/>
      <c r="H3" s="130"/>
      <c r="I3" s="130"/>
      <c r="Q3" s="129" t="s">
        <v>135</v>
      </c>
      <c r="R3" s="130"/>
      <c r="S3" s="130"/>
      <c r="T3" s="130"/>
      <c r="U3" s="130"/>
      <c r="V3" s="130"/>
      <c r="AD3" s="129" t="s">
        <v>135</v>
      </c>
      <c r="AE3" s="130"/>
      <c r="AF3" s="130"/>
      <c r="AG3" s="130"/>
      <c r="AH3" s="130"/>
      <c r="AI3" s="130"/>
      <c r="AT3" s="129" t="s">
        <v>135</v>
      </c>
      <c r="AU3" s="130"/>
      <c r="AV3" s="130"/>
      <c r="AW3" s="130"/>
      <c r="AX3" s="130"/>
      <c r="AY3" s="130"/>
    </row>
    <row r="4" spans="4:51"/>
    <row r="5" spans="4:51" ht="15" customHeight="1">
      <c r="D5" s="131" t="s">
        <v>136</v>
      </c>
      <c r="E5" s="131"/>
      <c r="F5" s="131"/>
      <c r="G5" s="131"/>
      <c r="H5" s="131"/>
      <c r="I5" s="131"/>
      <c r="Q5" s="131" t="s">
        <v>137</v>
      </c>
      <c r="R5" s="131"/>
      <c r="S5" s="131"/>
      <c r="T5" s="131"/>
      <c r="U5" s="131"/>
      <c r="V5" s="131"/>
      <c r="AD5" s="131" t="s">
        <v>138</v>
      </c>
      <c r="AE5" s="131"/>
      <c r="AF5" s="131"/>
      <c r="AG5" s="131"/>
      <c r="AH5" s="131"/>
      <c r="AI5" s="131"/>
      <c r="AT5" s="131" t="s">
        <v>139</v>
      </c>
      <c r="AU5" s="131"/>
      <c r="AV5" s="131"/>
      <c r="AW5" s="131"/>
      <c r="AX5" s="131"/>
      <c r="AY5" s="131"/>
    </row>
    <row r="6" spans="4:51" ht="45.75">
      <c r="D6" s="127" t="s">
        <v>78</v>
      </c>
      <c r="E6" s="128" t="s">
        <v>140</v>
      </c>
      <c r="F6" s="128" t="s">
        <v>141</v>
      </c>
      <c r="G6" s="128" t="s">
        <v>142</v>
      </c>
      <c r="H6" s="52" t="s">
        <v>143</v>
      </c>
      <c r="I6" s="128" t="s">
        <v>144</v>
      </c>
      <c r="J6" s="120"/>
      <c r="Q6" s="127" t="s">
        <v>78</v>
      </c>
      <c r="R6" s="128" t="s">
        <v>140</v>
      </c>
      <c r="S6" s="128" t="s">
        <v>141</v>
      </c>
      <c r="T6" s="128" t="s">
        <v>142</v>
      </c>
      <c r="U6" s="52" t="s">
        <v>143</v>
      </c>
      <c r="V6" s="128" t="s">
        <v>144</v>
      </c>
      <c r="AD6" s="127" t="s">
        <v>78</v>
      </c>
      <c r="AE6" s="128" t="s">
        <v>140</v>
      </c>
      <c r="AF6" s="128" t="s">
        <v>141</v>
      </c>
      <c r="AG6" s="128" t="s">
        <v>142</v>
      </c>
      <c r="AH6" s="52" t="s">
        <v>143</v>
      </c>
      <c r="AI6" s="128" t="s">
        <v>144</v>
      </c>
      <c r="AT6" s="127" t="s">
        <v>78</v>
      </c>
      <c r="AU6" s="128" t="s">
        <v>140</v>
      </c>
      <c r="AV6" s="128" t="s">
        <v>141</v>
      </c>
      <c r="AW6" s="128" t="s">
        <v>142</v>
      </c>
      <c r="AX6" s="52" t="s">
        <v>143</v>
      </c>
      <c r="AY6" s="128" t="s">
        <v>144</v>
      </c>
    </row>
    <row r="7" spans="4:51">
      <c r="D7" s="53" t="s">
        <v>108</v>
      </c>
      <c r="E7" s="53">
        <v>49.03</v>
      </c>
      <c r="F7" s="50">
        <f>(PI()*(E7^2))/4</f>
        <v>1888.050767776009</v>
      </c>
      <c r="G7" s="53">
        <v>120.92</v>
      </c>
      <c r="H7" s="50">
        <f>(($F$21)/G7)*100</f>
        <v>5.0281177638107843</v>
      </c>
      <c r="I7" s="50">
        <f t="shared" ref="I7:I12" si="0">F7/(1-(H7/100))</f>
        <v>1988.010265059866</v>
      </c>
      <c r="Q7" s="53" t="s">
        <v>114</v>
      </c>
      <c r="R7" s="53">
        <v>47.41</v>
      </c>
      <c r="S7" s="50">
        <f>(PI()*(R7^2))/4</f>
        <v>1765.345813593568</v>
      </c>
      <c r="T7" s="53">
        <v>119.26</v>
      </c>
      <c r="U7" s="50">
        <f>(($S$21)/T7)*100</f>
        <v>2.6580580244843199</v>
      </c>
      <c r="V7" s="50">
        <f>S7/(1-(U7/100))</f>
        <v>1813.5510528828402</v>
      </c>
      <c r="AD7" s="53" t="s">
        <v>120</v>
      </c>
      <c r="AE7" s="53">
        <v>47.59</v>
      </c>
      <c r="AF7" s="50">
        <f>(PI()*(AE7^2))/4</f>
        <v>1778.7761221876644</v>
      </c>
      <c r="AG7" s="53">
        <v>121.62</v>
      </c>
      <c r="AH7" s="50">
        <f>(($AF$21)/AG7)*100</f>
        <v>2.8778161486597598</v>
      </c>
      <c r="AI7" s="50">
        <f>AF7/(1-(AH7/100))</f>
        <v>1831.4828308539093</v>
      </c>
      <c r="AT7" s="53" t="s">
        <v>126</v>
      </c>
      <c r="AU7" s="53">
        <v>48.24</v>
      </c>
      <c r="AV7" s="50">
        <f>(PI()*(AU7^2))/4</f>
        <v>1827.6981810866098</v>
      </c>
      <c r="AW7" s="53">
        <v>125.65</v>
      </c>
      <c r="AX7" s="50">
        <f>((AV21)/AW7)*100</f>
        <v>9.415041782729805</v>
      </c>
      <c r="AY7" s="50">
        <f>AV7/(1-(AX7/100))</f>
        <v>2017.6618911749474</v>
      </c>
    </row>
    <row r="8" spans="4:51">
      <c r="D8" s="53" t="s">
        <v>109</v>
      </c>
      <c r="E8" s="53">
        <v>47.91</v>
      </c>
      <c r="F8" s="50">
        <f t="shared" ref="F8:F12" si="1">(PI()*(E8^2))/4</f>
        <v>1802.7778900610901</v>
      </c>
      <c r="G8" s="53">
        <v>123.71</v>
      </c>
      <c r="H8" s="50">
        <f>(($F$27)/G8)*100</f>
        <v>4.0174601891520494</v>
      </c>
      <c r="I8" s="50">
        <f t="shared" si="0"/>
        <v>1878.2352432159125</v>
      </c>
      <c r="Q8" s="53" t="s">
        <v>115</v>
      </c>
      <c r="R8" s="53">
        <v>48.36</v>
      </c>
      <c r="S8" s="50">
        <f t="shared" ref="S8:S12" si="2">(PI()*(R8^2))/4</f>
        <v>1836.8025165967131</v>
      </c>
      <c r="T8" s="53">
        <v>111.21</v>
      </c>
      <c r="U8" s="50">
        <f>(($S$27)/T8)*100</f>
        <v>3.6687348260048562</v>
      </c>
      <c r="V8" s="50">
        <f t="shared" ref="V8:V12" si="3">S8/(1-(U8/100))</f>
        <v>1906.7563508888311</v>
      </c>
      <c r="AD8" s="53" t="s">
        <v>121</v>
      </c>
      <c r="AE8" s="53">
        <v>48.57</v>
      </c>
      <c r="AF8" s="50">
        <f t="shared" ref="AF8:AF12" si="4">(PI()*(AE8^2))/4</f>
        <v>1852.7895318321168</v>
      </c>
      <c r="AG8" s="53">
        <v>123.5</v>
      </c>
      <c r="AH8" s="50">
        <f>(($AF$27)/AG8)*100</f>
        <v>4.3805668016194339</v>
      </c>
      <c r="AI8" s="50">
        <f>AF8/(1-(AH8/100))</f>
        <v>1937.6704816772499</v>
      </c>
      <c r="AT8" s="53" t="s">
        <v>127</v>
      </c>
      <c r="AU8" s="53">
        <v>48.31</v>
      </c>
      <c r="AV8" s="50">
        <f t="shared" ref="AV8:AV12" si="5">(PI()*(AU8^2))/4</f>
        <v>1833.0062945739317</v>
      </c>
      <c r="AW8" s="53">
        <v>121.72</v>
      </c>
      <c r="AX8" s="50">
        <f>((AV27)/AW8)*100</f>
        <v>4.3953335524153792</v>
      </c>
      <c r="AY8" s="50">
        <f t="shared" ref="AY8:AY12" si="6">AV8/(1-(AX8/100))</f>
        <v>1917.2770144843084</v>
      </c>
    </row>
    <row r="9" spans="4:51">
      <c r="D9" s="53" t="s">
        <v>110</v>
      </c>
      <c r="E9" s="53">
        <v>47.98</v>
      </c>
      <c r="F9" s="50">
        <f t="shared" si="1"/>
        <v>1808.049718153263</v>
      </c>
      <c r="G9" s="53">
        <v>122.05</v>
      </c>
      <c r="H9" s="50">
        <f>(($F$33)/G9)*100</f>
        <v>3.4903727980335928</v>
      </c>
      <c r="I9" s="50">
        <f t="shared" si="0"/>
        <v>1873.4397495594342</v>
      </c>
      <c r="Q9" s="53" t="s">
        <v>116</v>
      </c>
      <c r="R9" s="53">
        <v>48</v>
      </c>
      <c r="S9" s="50">
        <f t="shared" si="2"/>
        <v>1809.5573684677208</v>
      </c>
      <c r="T9" s="53">
        <v>122.16</v>
      </c>
      <c r="U9" s="50">
        <f>(($S$33)/T9)*100</f>
        <v>2.9796987557301899</v>
      </c>
      <c r="V9" s="50">
        <f t="shared" si="3"/>
        <v>1865.1327044550858</v>
      </c>
      <c r="AD9" s="53" t="s">
        <v>122</v>
      </c>
      <c r="AE9" s="53">
        <v>47.95</v>
      </c>
      <c r="AF9" s="50">
        <f t="shared" si="4"/>
        <v>1805.7894207788217</v>
      </c>
      <c r="AG9" s="53">
        <v>122.66</v>
      </c>
      <c r="AH9" s="50">
        <f>(($AF$33)/AG9)*100</f>
        <v>4.9241806619924997</v>
      </c>
      <c r="AI9" s="50">
        <f t="shared" ref="AI9:AI12" si="7">AF9/(1-(AH9/100))</f>
        <v>1899.3151290750322</v>
      </c>
      <c r="AT9" s="53" t="s">
        <v>128</v>
      </c>
      <c r="AU9" s="53">
        <v>48.62</v>
      </c>
      <c r="AV9" s="50">
        <f t="shared" si="5"/>
        <v>1856.6061742071468</v>
      </c>
      <c r="AW9" s="53">
        <v>122.73</v>
      </c>
      <c r="AX9" s="50">
        <f>((AV33)/AW9)*100</f>
        <v>3.5606616149270756</v>
      </c>
      <c r="AY9" s="50">
        <f t="shared" si="6"/>
        <v>1925.1544082497728</v>
      </c>
    </row>
    <row r="10" spans="4:51">
      <c r="D10" s="53" t="s">
        <v>111</v>
      </c>
      <c r="E10" s="53">
        <v>48.38</v>
      </c>
      <c r="F10" s="50">
        <f t="shared" si="1"/>
        <v>1838.3221049632546</v>
      </c>
      <c r="G10" s="53">
        <v>120.49</v>
      </c>
      <c r="H10" s="50">
        <f>(($F$39)/G10)*100</f>
        <v>8.8389077931778584</v>
      </c>
      <c r="I10" s="50">
        <f t="shared" si="0"/>
        <v>2016.5643702387342</v>
      </c>
      <c r="Q10" s="53" t="s">
        <v>117</v>
      </c>
      <c r="R10" s="53">
        <v>48.25</v>
      </c>
      <c r="S10" s="50">
        <f t="shared" si="2"/>
        <v>1828.456011774472</v>
      </c>
      <c r="T10" s="53">
        <v>123.41</v>
      </c>
      <c r="U10" s="50">
        <f>(($S$39)/T10)*100</f>
        <v>3.5572481970666883</v>
      </c>
      <c r="V10" s="50">
        <f t="shared" si="3"/>
        <v>1895.8978021600369</v>
      </c>
      <c r="AD10" s="53" t="s">
        <v>123</v>
      </c>
      <c r="AE10" s="53">
        <v>47.86</v>
      </c>
      <c r="AF10" s="50">
        <f t="shared" si="4"/>
        <v>1799.0170109556618</v>
      </c>
      <c r="AG10" s="53">
        <v>120.9</v>
      </c>
      <c r="AH10" s="50">
        <f>(($AF$39)/AG10)*100</f>
        <v>7.0306038047973534</v>
      </c>
      <c r="AI10" s="50">
        <f t="shared" si="7"/>
        <v>1935.0636710368285</v>
      </c>
      <c r="AT10" s="53" t="s">
        <v>129</v>
      </c>
      <c r="AU10" s="53">
        <v>48.52</v>
      </c>
      <c r="AV10" s="50">
        <f t="shared" si="5"/>
        <v>1848.9768164479044</v>
      </c>
      <c r="AW10" s="53">
        <v>121.28</v>
      </c>
      <c r="AX10" s="50">
        <f>((AV39)/AW10)*100</f>
        <v>6.8519129287598943</v>
      </c>
      <c r="AY10" s="50">
        <f t="shared" si="6"/>
        <v>1984.9863530034686</v>
      </c>
    </row>
    <row r="11" spans="4:51">
      <c r="D11" s="53" t="s">
        <v>112</v>
      </c>
      <c r="E11" s="53">
        <v>48.75</v>
      </c>
      <c r="F11" s="50">
        <f t="shared" si="1"/>
        <v>1866.5478226992482</v>
      </c>
      <c r="G11" s="53">
        <v>124.29</v>
      </c>
      <c r="H11" s="50">
        <f>(($F$45)/G11)*100</f>
        <v>5.5676241049159216</v>
      </c>
      <c r="I11" s="50">
        <f t="shared" si="0"/>
        <v>1976.5973322253519</v>
      </c>
      <c r="Q11" s="53" t="s">
        <v>118</v>
      </c>
      <c r="R11" s="53">
        <v>48.03</v>
      </c>
      <c r="S11" s="50">
        <f t="shared" si="2"/>
        <v>1811.8200220366525</v>
      </c>
      <c r="T11" s="53">
        <v>120.06</v>
      </c>
      <c r="U11" s="50">
        <f>(($S$45)/T11)*100</f>
        <v>5.3140096618357484</v>
      </c>
      <c r="V11" s="50">
        <f t="shared" si="3"/>
        <v>1913.5037987836076</v>
      </c>
      <c r="AD11" s="53" t="s">
        <v>124</v>
      </c>
      <c r="AE11" s="53">
        <v>47.56</v>
      </c>
      <c r="AF11" s="50">
        <f t="shared" si="4"/>
        <v>1776.5342031302466</v>
      </c>
      <c r="AG11" s="53">
        <v>121.65</v>
      </c>
      <c r="AH11" s="50">
        <f>(($AF$45)/AG11)*100</f>
        <v>4.9404027949034113</v>
      </c>
      <c r="AI11" s="50">
        <f t="shared" si="7"/>
        <v>1868.8635922759815</v>
      </c>
      <c r="AT11" s="53" t="s">
        <v>130</v>
      </c>
      <c r="AU11" s="53">
        <v>48.11</v>
      </c>
      <c r="AV11" s="50">
        <f t="shared" si="5"/>
        <v>1817.860676390975</v>
      </c>
      <c r="AW11" s="53">
        <v>123.8</v>
      </c>
      <c r="AX11" s="50">
        <f>((AV45)/AW11)*100</f>
        <v>3.3198707592891763</v>
      </c>
      <c r="AY11" s="50">
        <f t="shared" si="6"/>
        <v>1880.2836639418724</v>
      </c>
    </row>
    <row r="12" spans="4:51">
      <c r="D12" s="124" t="s">
        <v>113</v>
      </c>
      <c r="E12" s="124">
        <v>48.19</v>
      </c>
      <c r="F12" s="51">
        <f t="shared" si="1"/>
        <v>1823.9113838417886</v>
      </c>
      <c r="G12" s="124">
        <v>121.9</v>
      </c>
      <c r="H12" s="51">
        <f>(($F$51)/G12)*100</f>
        <v>5.3732567678424932</v>
      </c>
      <c r="I12" s="51">
        <f t="shared" si="0"/>
        <v>1927.4798239299005</v>
      </c>
      <c r="Q12" s="124" t="s">
        <v>119</v>
      </c>
      <c r="R12" s="124">
        <v>48.24</v>
      </c>
      <c r="S12" s="51">
        <f t="shared" si="2"/>
        <v>1827.6981810866098</v>
      </c>
      <c r="T12" s="124">
        <v>120.35</v>
      </c>
      <c r="U12" s="51">
        <f>(($S$51)/T12)*100</f>
        <v>5.1350228500207731</v>
      </c>
      <c r="V12" s="51">
        <f t="shared" si="3"/>
        <v>1926.6311298394805</v>
      </c>
      <c r="AD12" s="124" t="s">
        <v>125</v>
      </c>
      <c r="AE12" s="124">
        <v>48.52</v>
      </c>
      <c r="AF12" s="51">
        <f t="shared" si="4"/>
        <v>1848.9768164479044</v>
      </c>
      <c r="AG12" s="124">
        <v>127.16</v>
      </c>
      <c r="AH12" s="51">
        <f>(($AF$51)/AG12)*100</f>
        <v>3.8298206983328096</v>
      </c>
      <c r="AI12" s="51">
        <f t="shared" si="7"/>
        <v>1922.609305581123</v>
      </c>
      <c r="AT12" s="124" t="s">
        <v>131</v>
      </c>
      <c r="AU12" s="124">
        <v>48.29</v>
      </c>
      <c r="AV12" s="51">
        <f t="shared" si="5"/>
        <v>1831.4889053222473</v>
      </c>
      <c r="AW12" s="124">
        <v>123.94</v>
      </c>
      <c r="AX12" s="51">
        <f>((AV51)/AW12)*100</f>
        <v>8.2217201871873478</v>
      </c>
      <c r="AY12" s="51">
        <f t="shared" si="6"/>
        <v>1995.5581092363896</v>
      </c>
    </row>
    <row r="13" spans="4:51"/>
    <row r="14" spans="4:51" ht="15" customHeight="1">
      <c r="D14" s="134" t="s">
        <v>145</v>
      </c>
      <c r="E14" s="134"/>
      <c r="F14" s="134"/>
      <c r="G14" s="134"/>
      <c r="Q14" s="134" t="s">
        <v>146</v>
      </c>
      <c r="R14" s="134"/>
      <c r="S14" s="134"/>
      <c r="T14" s="134"/>
      <c r="AD14" s="134" t="s">
        <v>147</v>
      </c>
      <c r="AE14" s="134"/>
      <c r="AF14" s="134"/>
      <c r="AG14" s="134"/>
      <c r="AT14" s="134" t="s">
        <v>148</v>
      </c>
      <c r="AU14" s="134"/>
      <c r="AV14" s="134"/>
      <c r="AW14" s="134"/>
    </row>
    <row r="15" spans="4:51" ht="33" customHeight="1">
      <c r="D15" s="119" t="s">
        <v>78</v>
      </c>
      <c r="E15" s="122" t="s">
        <v>149</v>
      </c>
      <c r="F15" s="122" t="s">
        <v>150</v>
      </c>
      <c r="G15" s="122" t="s">
        <v>151</v>
      </c>
      <c r="Q15" s="128" t="s">
        <v>78</v>
      </c>
      <c r="R15" s="128" t="s">
        <v>149</v>
      </c>
      <c r="S15" s="128" t="s">
        <v>150</v>
      </c>
      <c r="T15" s="81" t="s">
        <v>151</v>
      </c>
      <c r="AD15" s="128" t="s">
        <v>78</v>
      </c>
      <c r="AE15" s="128" t="s">
        <v>149</v>
      </c>
      <c r="AF15" s="128" t="s">
        <v>150</v>
      </c>
      <c r="AG15" s="81" t="s">
        <v>151</v>
      </c>
      <c r="AT15" s="128" t="s">
        <v>78</v>
      </c>
      <c r="AU15" s="128" t="s">
        <v>149</v>
      </c>
      <c r="AV15" s="128" t="s">
        <v>150</v>
      </c>
      <c r="AW15" s="81" t="s">
        <v>151</v>
      </c>
    </row>
    <row r="16" spans="4:51" ht="14.45" customHeight="1">
      <c r="D16" s="131" t="s">
        <v>108</v>
      </c>
      <c r="E16" s="119">
        <v>0.14899999999999999</v>
      </c>
      <c r="F16" s="119">
        <v>1.1200000000000001</v>
      </c>
      <c r="G16" s="80">
        <f>(E16*1000)/$I$7</f>
        <v>7.4949311187542125E-2</v>
      </c>
      <c r="Q16" s="132" t="str">
        <f>Q7</f>
        <v>M30AL</v>
      </c>
      <c r="R16" s="53">
        <v>0.26</v>
      </c>
      <c r="S16" s="53">
        <v>0.5</v>
      </c>
      <c r="T16" s="78">
        <f>(R16*1000)/$V$7</f>
        <v>0.14336513967263353</v>
      </c>
      <c r="AD16" s="132" t="str">
        <f>AD7</f>
        <v>M60AL</v>
      </c>
      <c r="AE16" s="53">
        <v>0.94799999999999995</v>
      </c>
      <c r="AF16" s="53">
        <v>0.24</v>
      </c>
      <c r="AG16" s="78">
        <f>(AE16*1000)/$AI$7</f>
        <v>0.51761336990421314</v>
      </c>
      <c r="AT16" s="132" t="str">
        <f>AT7</f>
        <v>M90AL</v>
      </c>
      <c r="AU16" s="53">
        <v>0.80200000000000005</v>
      </c>
      <c r="AV16" s="53">
        <v>0.56000000000000005</v>
      </c>
      <c r="AW16" s="78">
        <f>(AU16*1000)/$AY$7</f>
        <v>0.39748978929912304</v>
      </c>
    </row>
    <row r="17" spans="4:49">
      <c r="D17" s="132"/>
      <c r="E17" s="53">
        <v>0.502</v>
      </c>
      <c r="F17" s="53">
        <v>2.0299999999999998</v>
      </c>
      <c r="G17" s="78">
        <f t="shared" ref="G17:G21" si="8">(E17*1000)/$I$7</f>
        <v>0.25251378668554458</v>
      </c>
      <c r="Q17" s="132"/>
      <c r="R17" s="53">
        <v>0.497</v>
      </c>
      <c r="S17" s="53">
        <v>1.03</v>
      </c>
      <c r="T17" s="78">
        <f t="shared" ref="T17:T19" si="9">(R17*1000)/$V$7</f>
        <v>0.27404797852807256</v>
      </c>
      <c r="AD17" s="132"/>
      <c r="AE17" s="53">
        <v>1.105</v>
      </c>
      <c r="AF17" s="53">
        <v>0.88</v>
      </c>
      <c r="AG17" s="78">
        <f t="shared" ref="AG17:AG21" si="10">(AE17*1000)/$AI$7</f>
        <v>0.60333625922379275</v>
      </c>
      <c r="AT17" s="132"/>
      <c r="AU17" s="53">
        <v>1.038</v>
      </c>
      <c r="AV17" s="53">
        <v>3.39</v>
      </c>
      <c r="AW17" s="78">
        <f t="shared" ref="AW17:AW21" si="11">(AU17*1000)/$AY$7</f>
        <v>0.51445685946694475</v>
      </c>
    </row>
    <row r="18" spans="4:49">
      <c r="D18" s="132"/>
      <c r="E18" s="53">
        <v>0.79</v>
      </c>
      <c r="F18" s="53">
        <v>2.89</v>
      </c>
      <c r="G18" s="78">
        <f t="shared" si="8"/>
        <v>0.39738225394737098</v>
      </c>
      <c r="Q18" s="132"/>
      <c r="R18" s="53">
        <v>0.72399999999999998</v>
      </c>
      <c r="S18" s="53">
        <v>1.61</v>
      </c>
      <c r="T18" s="78">
        <f t="shared" si="9"/>
        <v>0.39921677354994878</v>
      </c>
      <c r="AD18" s="132"/>
      <c r="AE18" s="53">
        <v>1.276</v>
      </c>
      <c r="AF18" s="53">
        <v>1.8</v>
      </c>
      <c r="AG18" s="78">
        <f t="shared" si="10"/>
        <v>0.69670322784575522</v>
      </c>
      <c r="AT18" s="132"/>
      <c r="AU18" s="53">
        <v>1.1970000000000001</v>
      </c>
      <c r="AV18" s="53">
        <v>4.96</v>
      </c>
      <c r="AW18" s="78">
        <f t="shared" si="11"/>
        <v>0.59326094487662129</v>
      </c>
    </row>
    <row r="19" spans="4:49">
      <c r="D19" s="132"/>
      <c r="E19" s="53">
        <v>1.018</v>
      </c>
      <c r="F19" s="53">
        <v>3.86</v>
      </c>
      <c r="G19" s="78">
        <f t="shared" si="8"/>
        <v>0.51206979052965018</v>
      </c>
      <c r="Q19" s="132"/>
      <c r="R19" s="53">
        <v>0.94099999999999995</v>
      </c>
      <c r="S19" s="53">
        <v>2.29</v>
      </c>
      <c r="T19" s="78">
        <f t="shared" si="9"/>
        <v>0.51887152473826215</v>
      </c>
      <c r="AD19" s="132"/>
      <c r="AE19" s="53">
        <v>1.3720000000000001</v>
      </c>
      <c r="AF19" s="53">
        <v>2.54</v>
      </c>
      <c r="AG19" s="78">
        <f t="shared" si="10"/>
        <v>0.74911977163352372</v>
      </c>
      <c r="AT19" s="132"/>
      <c r="AU19" s="53">
        <v>1.4770000000000001</v>
      </c>
      <c r="AV19" s="53">
        <v>7.38</v>
      </c>
      <c r="AW19" s="78">
        <f t="shared" si="11"/>
        <v>0.73203543490624035</v>
      </c>
    </row>
    <row r="20" spans="4:49">
      <c r="D20" s="132"/>
      <c r="E20" s="53">
        <v>1.161</v>
      </c>
      <c r="F20" s="53">
        <v>4.8</v>
      </c>
      <c r="G20" s="78">
        <f t="shared" si="8"/>
        <v>0.58400100864923765</v>
      </c>
      <c r="Q20" s="132"/>
      <c r="R20" s="53">
        <v>1.032</v>
      </c>
      <c r="S20" s="53">
        <v>2.87</v>
      </c>
      <c r="T20" s="78">
        <f>(R20*1000)/$V$7</f>
        <v>0.56904932362368388</v>
      </c>
      <c r="AD20" s="132"/>
      <c r="AE20" s="53">
        <v>1.419</v>
      </c>
      <c r="AF20" s="53">
        <v>3.04</v>
      </c>
      <c r="AG20" s="78">
        <f t="shared" si="10"/>
        <v>0.77478203786295197</v>
      </c>
      <c r="AT20" s="132"/>
      <c r="AU20" s="53">
        <v>1.6439999999999999</v>
      </c>
      <c r="AV20" s="53">
        <v>9.7200000000000006</v>
      </c>
      <c r="AW20" s="78">
        <f t="shared" si="11"/>
        <v>0.81480450574533458</v>
      </c>
    </row>
    <row r="21" spans="4:49">
      <c r="D21" s="132"/>
      <c r="E21" s="53">
        <v>1.294</v>
      </c>
      <c r="F21" s="53">
        <v>6.08</v>
      </c>
      <c r="G21" s="78">
        <f t="shared" si="8"/>
        <v>0.65090207165556713</v>
      </c>
      <c r="Q21" s="133"/>
      <c r="R21" s="124">
        <v>1.0569999999999999</v>
      </c>
      <c r="S21" s="124">
        <v>3.17</v>
      </c>
      <c r="T21" s="79">
        <f>(R21*1000)/$V$7</f>
        <v>0.58283443320759099</v>
      </c>
      <c r="AD21" s="132"/>
      <c r="AE21" s="53">
        <v>1.431</v>
      </c>
      <c r="AF21" s="53">
        <v>3.5</v>
      </c>
      <c r="AG21" s="78">
        <f t="shared" si="10"/>
        <v>0.78133410583642304</v>
      </c>
      <c r="AT21" s="132"/>
      <c r="AU21" s="53">
        <v>1.857</v>
      </c>
      <c r="AV21" s="53">
        <v>11.83</v>
      </c>
      <c r="AW21" s="78">
        <f t="shared" si="11"/>
        <v>0.92037224280358043</v>
      </c>
    </row>
    <row r="22" spans="4:49">
      <c r="D22" s="131" t="s">
        <v>109</v>
      </c>
      <c r="E22" s="119">
        <v>0.182</v>
      </c>
      <c r="F22" s="119">
        <v>0.89</v>
      </c>
      <c r="G22" s="80">
        <f>(E22*1000)/$I$8</f>
        <v>9.6899470211398955E-2</v>
      </c>
      <c r="Q22" s="132" t="str">
        <f>Q8</f>
        <v>M30BL</v>
      </c>
      <c r="R22" s="53">
        <v>0.32700000000000001</v>
      </c>
      <c r="S22" s="53">
        <v>0.74</v>
      </c>
      <c r="T22" s="78">
        <f>(R22*1000)/$V$8</f>
        <v>0.17149542984218699</v>
      </c>
      <c r="AD22" s="131" t="str">
        <f>AD8</f>
        <v>M60BL</v>
      </c>
      <c r="AE22" s="119">
        <v>0.64800000000000002</v>
      </c>
      <c r="AF22" s="119">
        <v>0.25</v>
      </c>
      <c r="AG22" s="80">
        <f>(AE22*1000)/$AI$8</f>
        <v>0.33442218691337572</v>
      </c>
      <c r="AT22" s="131" t="str">
        <f>AT8</f>
        <v>M90BL</v>
      </c>
      <c r="AU22" s="119">
        <v>1.0029999999999999</v>
      </c>
      <c r="AV22" s="119">
        <v>0.75</v>
      </c>
      <c r="AW22" s="80">
        <f>(AU22*1000)/$AY$8</f>
        <v>0.52313775861428014</v>
      </c>
    </row>
    <row r="23" spans="4:49">
      <c r="D23" s="132"/>
      <c r="E23" s="53">
        <v>0.51200000000000001</v>
      </c>
      <c r="F23" s="53">
        <v>2.21</v>
      </c>
      <c r="G23" s="78">
        <f t="shared" ref="G23:G27" si="12">(E23*1000)/$I$8</f>
        <v>0.27259631180349597</v>
      </c>
      <c r="Q23" s="132"/>
      <c r="R23" s="53">
        <v>0.51800000000000002</v>
      </c>
      <c r="S23" s="53">
        <v>1.24</v>
      </c>
      <c r="T23" s="78">
        <f t="shared" ref="T23:T27" si="13">(R23*1000)/$V$8</f>
        <v>0.27166554329740933</v>
      </c>
      <c r="AD23" s="132"/>
      <c r="AE23" s="53">
        <v>1.129</v>
      </c>
      <c r="AF23" s="53">
        <v>2.08</v>
      </c>
      <c r="AG23" s="78">
        <f t="shared" ref="AG23:AG27" si="14">(AE23*1000)/$AI$8</f>
        <v>0.58265840898950794</v>
      </c>
      <c r="AT23" s="132"/>
      <c r="AU23" s="53">
        <v>1.145</v>
      </c>
      <c r="AV23" s="53">
        <v>1.58</v>
      </c>
      <c r="AW23" s="78">
        <f t="shared" ref="AW23:AW27" si="15">(AU23*1000)/$AY$8</f>
        <v>0.59720113022268284</v>
      </c>
    </row>
    <row r="24" spans="4:49">
      <c r="D24" s="132"/>
      <c r="E24" s="53">
        <v>0.80800000000000005</v>
      </c>
      <c r="F24" s="53">
        <v>3.54</v>
      </c>
      <c r="G24" s="78">
        <f t="shared" si="12"/>
        <v>0.43019105456489209</v>
      </c>
      <c r="Q24" s="132"/>
      <c r="R24" s="53">
        <v>0.76600000000000001</v>
      </c>
      <c r="S24" s="53">
        <v>1.79</v>
      </c>
      <c r="T24" s="78">
        <f t="shared" si="13"/>
        <v>0.40172935553246247</v>
      </c>
      <c r="AD24" s="132"/>
      <c r="AE24" s="53">
        <v>1.234</v>
      </c>
      <c r="AF24" s="53">
        <v>2.6</v>
      </c>
      <c r="AG24" s="78">
        <f t="shared" si="14"/>
        <v>0.63684718927639761</v>
      </c>
      <c r="AT24" s="132"/>
      <c r="AU24" s="53">
        <v>1.409</v>
      </c>
      <c r="AV24" s="53">
        <v>3.2</v>
      </c>
      <c r="AW24" s="78">
        <f t="shared" si="15"/>
        <v>0.73489641264957217</v>
      </c>
    </row>
    <row r="25" spans="4:49">
      <c r="D25" s="132"/>
      <c r="E25" s="53">
        <v>0.84799999999999998</v>
      </c>
      <c r="F25" s="53">
        <v>3.74</v>
      </c>
      <c r="G25" s="78">
        <f t="shared" si="12"/>
        <v>0.45148764142454023</v>
      </c>
      <c r="Q25" s="132"/>
      <c r="R25" s="53">
        <v>1.0620000000000001</v>
      </c>
      <c r="S25" s="53">
        <v>3.16</v>
      </c>
      <c r="T25" s="78">
        <f t="shared" si="13"/>
        <v>0.55696680884526784</v>
      </c>
      <c r="AD25" s="132"/>
      <c r="AE25" s="53">
        <v>1.3480000000000001</v>
      </c>
      <c r="AF25" s="53">
        <v>3.41</v>
      </c>
      <c r="AG25" s="78">
        <f t="shared" si="14"/>
        <v>0.69568072215930621</v>
      </c>
      <c r="AT25" s="132"/>
      <c r="AU25" s="53">
        <v>1.506</v>
      </c>
      <c r="AV25" s="53">
        <v>3.84</v>
      </c>
      <c r="AW25" s="78">
        <f t="shared" si="15"/>
        <v>0.78548899748066403</v>
      </c>
    </row>
    <row r="26" spans="4:49">
      <c r="D26" s="132"/>
      <c r="E26" s="53">
        <v>0.98799999999999999</v>
      </c>
      <c r="F26" s="53">
        <v>4.76</v>
      </c>
      <c r="G26" s="78">
        <f t="shared" si="12"/>
        <v>0.52602569543330868</v>
      </c>
      <c r="Q26" s="132"/>
      <c r="R26" s="53">
        <v>1.1879999999999999</v>
      </c>
      <c r="S26" s="53">
        <v>3.53</v>
      </c>
      <c r="T26" s="78">
        <f t="shared" si="13"/>
        <v>0.62304761667436737</v>
      </c>
      <c r="AD26" s="132"/>
      <c r="AE26" s="53">
        <v>1.4410000000000001</v>
      </c>
      <c r="AF26" s="53">
        <v>4.33</v>
      </c>
      <c r="AG26" s="78">
        <f t="shared" si="14"/>
        <v>0.74367649898483701</v>
      </c>
      <c r="AT26" s="132"/>
      <c r="AU26" s="53">
        <v>1.607</v>
      </c>
      <c r="AV26" s="53">
        <v>4.97</v>
      </c>
      <c r="AW26" s="78">
        <f t="shared" si="15"/>
        <v>0.83816787446973906</v>
      </c>
    </row>
    <row r="27" spans="4:49">
      <c r="D27" s="133"/>
      <c r="E27" s="124">
        <v>0.998</v>
      </c>
      <c r="F27" s="124">
        <v>4.97</v>
      </c>
      <c r="G27" s="79">
        <f t="shared" si="12"/>
        <v>0.53134984214822067</v>
      </c>
      <c r="Q27" s="132"/>
      <c r="R27" s="53">
        <v>1.2110000000000001</v>
      </c>
      <c r="S27" s="53">
        <v>4.08</v>
      </c>
      <c r="T27" s="78">
        <f t="shared" si="13"/>
        <v>0.63510998635745697</v>
      </c>
      <c r="AD27" s="133"/>
      <c r="AE27" s="124">
        <v>1.4930000000000001</v>
      </c>
      <c r="AF27" s="124">
        <v>5.41</v>
      </c>
      <c r="AG27" s="79">
        <f t="shared" si="14"/>
        <v>0.77051284731739189</v>
      </c>
      <c r="AT27" s="133"/>
      <c r="AU27" s="124">
        <v>1.623</v>
      </c>
      <c r="AV27" s="124">
        <v>5.35</v>
      </c>
      <c r="AW27" s="79">
        <f t="shared" si="15"/>
        <v>0.84651304310167175</v>
      </c>
    </row>
    <row r="28" spans="4:49">
      <c r="D28" s="132" t="s">
        <v>110</v>
      </c>
      <c r="E28" s="53">
        <v>0.52300000000000002</v>
      </c>
      <c r="F28" s="53">
        <v>0.67</v>
      </c>
      <c r="G28" s="78">
        <f>(E28*1000)/$I$9</f>
        <v>0.2791656364305235</v>
      </c>
      <c r="Q28" s="131" t="str">
        <f>Q9</f>
        <v>M30CL</v>
      </c>
      <c r="R28" s="119">
        <v>0.77200000000000002</v>
      </c>
      <c r="S28" s="119">
        <v>0.63</v>
      </c>
      <c r="T28" s="80">
        <f>(R28*1000)/$V$9</f>
        <v>0.41391156680486513</v>
      </c>
      <c r="AD28" s="132" t="s">
        <v>122</v>
      </c>
      <c r="AE28" s="53">
        <v>0.437</v>
      </c>
      <c r="AF28" s="53">
        <v>0.97</v>
      </c>
      <c r="AG28" s="78">
        <f>(AE28*1000)/$AI$9</f>
        <v>0.23008293532249138</v>
      </c>
      <c r="AT28" s="132" t="str">
        <f>AT9</f>
        <v>M90CL</v>
      </c>
      <c r="AU28" s="53">
        <v>1.18</v>
      </c>
      <c r="AV28" s="53">
        <v>0.88</v>
      </c>
      <c r="AW28" s="78">
        <f>(AU28*1000)/$AY$9</f>
        <v>0.61293784796866269</v>
      </c>
    </row>
    <row r="29" spans="4:49">
      <c r="D29" s="132"/>
      <c r="E29" s="53">
        <v>0.72699999999999998</v>
      </c>
      <c r="F29" s="53">
        <v>1.27</v>
      </c>
      <c r="G29" s="78">
        <f t="shared" ref="G29:G33" si="16">(E29*1000)/$I$9</f>
        <v>0.38805624796365312</v>
      </c>
      <c r="Q29" s="132"/>
      <c r="R29" s="53">
        <v>0.92100000000000004</v>
      </c>
      <c r="S29" s="53">
        <v>1.1399999999999999</v>
      </c>
      <c r="T29" s="78">
        <f t="shared" ref="T29:T33" si="17">(R29*1000)/$V$9</f>
        <v>0.49379864381772121</v>
      </c>
      <c r="AD29" s="132"/>
      <c r="AE29" s="53">
        <v>0.79800000000000004</v>
      </c>
      <c r="AF29" s="53">
        <v>2.4700000000000002</v>
      </c>
      <c r="AG29" s="78">
        <f t="shared" ref="AG29:AG33" si="18">(AE29*1000)/$AI$9</f>
        <v>0.4201514471106364</v>
      </c>
      <c r="AT29" s="132"/>
      <c r="AU29" s="53">
        <v>1.3080000000000001</v>
      </c>
      <c r="AV29" s="53">
        <v>1.66</v>
      </c>
      <c r="AW29" s="78">
        <f t="shared" ref="AW29:AW33" si="19">(AU29*1000)/$AY$9</f>
        <v>0.6794260213076363</v>
      </c>
    </row>
    <row r="30" spans="4:49">
      <c r="D30" s="132"/>
      <c r="E30" s="53">
        <v>0.94399999999999995</v>
      </c>
      <c r="F30" s="53">
        <v>2.04</v>
      </c>
      <c r="G30" s="78">
        <f t="shared" si="16"/>
        <v>0.50388596709448219</v>
      </c>
      <c r="Q30" s="132"/>
      <c r="R30" s="53">
        <v>1.0469999999999999</v>
      </c>
      <c r="S30" s="53">
        <v>1.63</v>
      </c>
      <c r="T30" s="78">
        <f t="shared" si="17"/>
        <v>0.56135415860711635</v>
      </c>
      <c r="AD30" s="132"/>
      <c r="AE30" s="53">
        <v>1.0580000000000001</v>
      </c>
      <c r="AF30" s="53">
        <v>3.58</v>
      </c>
      <c r="AG30" s="78">
        <f t="shared" si="18"/>
        <v>0.55704289604392654</v>
      </c>
      <c r="AT30" s="132"/>
      <c r="AU30" s="53">
        <v>1.4750000000000001</v>
      </c>
      <c r="AV30" s="53">
        <v>2.84</v>
      </c>
      <c r="AW30" s="78">
        <f t="shared" si="19"/>
        <v>0.7661723099608283</v>
      </c>
    </row>
    <row r="31" spans="4:49">
      <c r="D31" s="132"/>
      <c r="E31" s="53">
        <v>1.137</v>
      </c>
      <c r="F31" s="53">
        <v>3.05</v>
      </c>
      <c r="G31" s="78">
        <f t="shared" si="16"/>
        <v>0.60690502604494301</v>
      </c>
      <c r="Q31" s="132"/>
      <c r="R31" s="53">
        <v>1.2350000000000001</v>
      </c>
      <c r="S31" s="53">
        <v>2.54</v>
      </c>
      <c r="T31" s="78">
        <f t="shared" si="17"/>
        <v>0.66215127591192802</v>
      </c>
      <c r="AD31" s="132"/>
      <c r="AE31" s="53">
        <v>1.171</v>
      </c>
      <c r="AF31" s="53">
        <v>4.13</v>
      </c>
      <c r="AG31" s="78">
        <f t="shared" si="18"/>
        <v>0.61653802577262562</v>
      </c>
      <c r="AT31" s="132"/>
      <c r="AU31" s="53">
        <v>1.5880000000000001</v>
      </c>
      <c r="AV31" s="53">
        <v>3.81</v>
      </c>
      <c r="AW31" s="78">
        <f t="shared" si="19"/>
        <v>0.82486890048664097</v>
      </c>
    </row>
    <row r="32" spans="4:49">
      <c r="D32" s="132"/>
      <c r="E32" s="53">
        <v>1.2090000000000001</v>
      </c>
      <c r="F32" s="53">
        <v>3.9</v>
      </c>
      <c r="G32" s="78">
        <f t="shared" si="16"/>
        <v>0.64533700658604765</v>
      </c>
      <c r="Q32" s="132"/>
      <c r="R32" s="53">
        <v>1.3640000000000001</v>
      </c>
      <c r="S32" s="53">
        <v>3.37</v>
      </c>
      <c r="T32" s="78">
        <f t="shared" si="17"/>
        <v>0.73131525533916586</v>
      </c>
      <c r="AD32" s="132"/>
      <c r="AE32" s="53">
        <v>1.268</v>
      </c>
      <c r="AF32" s="53">
        <v>4.66</v>
      </c>
      <c r="AG32" s="78">
        <f t="shared" si="18"/>
        <v>0.66760906633619921</v>
      </c>
      <c r="AT32" s="132"/>
      <c r="AU32" s="53">
        <v>1.607</v>
      </c>
      <c r="AV32" s="53">
        <v>4.5199999999999996</v>
      </c>
      <c r="AW32" s="78">
        <f t="shared" si="19"/>
        <v>0.83473823871664488</v>
      </c>
    </row>
    <row r="33" spans="4:49">
      <c r="D33" s="132"/>
      <c r="E33" s="53">
        <v>1.2310000000000001</v>
      </c>
      <c r="F33" s="53">
        <v>4.26</v>
      </c>
      <c r="G33" s="78">
        <f t="shared" si="16"/>
        <v>0.65708011175138514</v>
      </c>
      <c r="Q33" s="133"/>
      <c r="R33" s="124">
        <v>1.381</v>
      </c>
      <c r="S33" s="124">
        <v>3.64</v>
      </c>
      <c r="T33" s="79">
        <f t="shared" si="17"/>
        <v>0.74042988828694134</v>
      </c>
      <c r="AD33" s="132"/>
      <c r="AE33" s="53">
        <v>1.3620000000000001</v>
      </c>
      <c r="AF33" s="53">
        <v>6.04</v>
      </c>
      <c r="AG33" s="78">
        <f t="shared" si="18"/>
        <v>0.71710059018131178</v>
      </c>
      <c r="AT33" s="132"/>
      <c r="AU33" s="53">
        <v>1.613</v>
      </c>
      <c r="AV33" s="53">
        <v>4.37</v>
      </c>
      <c r="AW33" s="78">
        <f t="shared" si="19"/>
        <v>0.83785487184190921</v>
      </c>
    </row>
    <row r="34" spans="4:49">
      <c r="D34" s="131" t="s">
        <v>111</v>
      </c>
      <c r="E34" s="119">
        <v>0.27600000000000002</v>
      </c>
      <c r="F34" s="119">
        <v>1.25</v>
      </c>
      <c r="G34" s="80">
        <f>(E34*1000)/$I$10</f>
        <v>0.1368664467513751</v>
      </c>
      <c r="Q34" s="132" t="str">
        <f>Q10</f>
        <v>M30AR</v>
      </c>
      <c r="R34" s="53">
        <v>0.58299999999999996</v>
      </c>
      <c r="S34" s="53">
        <v>0.79200000000000004</v>
      </c>
      <c r="T34" s="78">
        <f>(R34*1000)/$V$10</f>
        <v>0.30750602660954385</v>
      </c>
      <c r="AD34" s="131" t="s">
        <v>123</v>
      </c>
      <c r="AE34" s="119">
        <v>0.53100000000000003</v>
      </c>
      <c r="AF34" s="119">
        <v>0.84</v>
      </c>
      <c r="AG34" s="80">
        <f>(AE34*1000)/$AI$10</f>
        <v>0.27440957522368464</v>
      </c>
      <c r="AT34" s="131" t="str">
        <f>AT10</f>
        <v>M90AR</v>
      </c>
      <c r="AU34" s="119">
        <v>1.022</v>
      </c>
      <c r="AV34" s="119">
        <v>0.48</v>
      </c>
      <c r="AW34" s="80">
        <f>(AU34*1000)/$AY$10</f>
        <v>0.51486500068558105</v>
      </c>
    </row>
    <row r="35" spans="4:49">
      <c r="D35" s="132"/>
      <c r="E35" s="53">
        <v>0.63500000000000001</v>
      </c>
      <c r="F35" s="53">
        <v>2.4900000000000002</v>
      </c>
      <c r="G35" s="78">
        <f t="shared" ref="G35:G39" si="20">(E35*1000)/$I$10</f>
        <v>0.31489200611276519</v>
      </c>
      <c r="Q35" s="132"/>
      <c r="R35" s="53">
        <v>0.93700000000000006</v>
      </c>
      <c r="S35" s="53">
        <v>2.58</v>
      </c>
      <c r="T35" s="78">
        <f t="shared" ref="T35:T39" si="21">(R35*1000)/$V$10</f>
        <v>0.49422495185787751</v>
      </c>
      <c r="AD35" s="132"/>
      <c r="AE35" s="53">
        <v>0.82699999999999996</v>
      </c>
      <c r="AF35" s="53">
        <v>1.97</v>
      </c>
      <c r="AG35" s="78">
        <f t="shared" ref="AG35:AG39" si="22">(AE35*1000)/$AI$10</f>
        <v>0.42737611809790438</v>
      </c>
      <c r="AT35" s="132"/>
      <c r="AU35" s="53">
        <v>1.206</v>
      </c>
      <c r="AV35" s="53">
        <v>2.0699999999999998</v>
      </c>
      <c r="AW35" s="78">
        <f t="shared" ref="AW35:AW39" si="23">(AU35*1000)/$AY$10</f>
        <v>0.60756085208102817</v>
      </c>
    </row>
    <row r="36" spans="4:49">
      <c r="D36" s="132"/>
      <c r="E36" s="53">
        <v>1.0609999999999999</v>
      </c>
      <c r="F36" s="53">
        <v>4.6100000000000003</v>
      </c>
      <c r="G36" s="78">
        <f t="shared" si="20"/>
        <v>0.52614239131597462</v>
      </c>
      <c r="Q36" s="132"/>
      <c r="R36" s="53">
        <v>1.07</v>
      </c>
      <c r="S36" s="53">
        <v>3.5179999999999998</v>
      </c>
      <c r="T36" s="78">
        <f t="shared" si="21"/>
        <v>0.5643764124737769</v>
      </c>
      <c r="AD36" s="132"/>
      <c r="AE36" s="53">
        <v>0.94899999999999995</v>
      </c>
      <c r="AF36" s="53">
        <v>2.98</v>
      </c>
      <c r="AG36" s="78">
        <f t="shared" si="22"/>
        <v>0.49042313914741387</v>
      </c>
      <c r="AT36" s="132"/>
      <c r="AU36" s="53">
        <v>1.59</v>
      </c>
      <c r="AV36" s="53">
        <v>5.09</v>
      </c>
      <c r="AW36" s="78">
        <f t="shared" si="23"/>
        <v>0.80101306368891778</v>
      </c>
    </row>
    <row r="37" spans="4:49">
      <c r="D37" s="132"/>
      <c r="E37" s="53">
        <v>1.2330000000000001</v>
      </c>
      <c r="F37" s="53">
        <v>5.88</v>
      </c>
      <c r="G37" s="78">
        <f t="shared" si="20"/>
        <v>0.6114359740740779</v>
      </c>
      <c r="Q37" s="132"/>
      <c r="R37" s="53">
        <v>1.135</v>
      </c>
      <c r="S37" s="53">
        <v>4.08</v>
      </c>
      <c r="T37" s="78">
        <f t="shared" si="21"/>
        <v>0.59866096089508103</v>
      </c>
      <c r="AD37" s="132"/>
      <c r="AE37" s="53">
        <v>1.3740000000000001</v>
      </c>
      <c r="AF37" s="53">
        <v>5.24</v>
      </c>
      <c r="AG37" s="78">
        <f t="shared" si="22"/>
        <v>0.71005415509857395</v>
      </c>
      <c r="AT37" s="132"/>
      <c r="AU37" s="53">
        <v>1.7230000000000001</v>
      </c>
      <c r="AV37" s="53">
        <v>6.34</v>
      </c>
      <c r="AW37" s="78">
        <f t="shared" si="23"/>
        <v>0.86801604323019199</v>
      </c>
    </row>
    <row r="38" spans="4:49">
      <c r="D38" s="132"/>
      <c r="E38" s="53">
        <v>1.5580000000000001</v>
      </c>
      <c r="F38" s="53">
        <v>8.4600000000000009</v>
      </c>
      <c r="G38" s="78">
        <f t="shared" si="20"/>
        <v>0.77260117405305229</v>
      </c>
      <c r="Q38" s="132"/>
      <c r="R38" s="53">
        <v>1.1439999999999999</v>
      </c>
      <c r="S38" s="53">
        <v>4.1900000000000004</v>
      </c>
      <c r="T38" s="78">
        <f t="shared" si="21"/>
        <v>0.60340805221495397</v>
      </c>
      <c r="AD38" s="132"/>
      <c r="AE38" s="53">
        <v>1.4259999999999999</v>
      </c>
      <c r="AF38" s="53">
        <v>6.11</v>
      </c>
      <c r="AG38" s="78">
        <f t="shared" si="22"/>
        <v>0.73692665587377471</v>
      </c>
      <c r="AT38" s="132"/>
      <c r="AU38" s="53">
        <v>1.7969999999999999</v>
      </c>
      <c r="AV38" s="53">
        <v>7.5</v>
      </c>
      <c r="AW38" s="78">
        <f t="shared" si="23"/>
        <v>0.90529589650879572</v>
      </c>
    </row>
    <row r="39" spans="4:49">
      <c r="D39" s="133"/>
      <c r="E39" s="124">
        <v>1.6559999999999999</v>
      </c>
      <c r="F39" s="124">
        <v>10.65</v>
      </c>
      <c r="G39" s="79">
        <f t="shared" si="20"/>
        <v>0.82119868050825062</v>
      </c>
      <c r="Q39" s="132"/>
      <c r="R39" s="53">
        <v>1.1519999999999999</v>
      </c>
      <c r="S39" s="53">
        <v>4.3899999999999997</v>
      </c>
      <c r="T39" s="78">
        <f t="shared" si="21"/>
        <v>0.60762768894372987</v>
      </c>
      <c r="AD39" s="133"/>
      <c r="AE39" s="124">
        <v>1.6719999999999999</v>
      </c>
      <c r="AF39" s="124">
        <v>8.5</v>
      </c>
      <c r="AG39" s="79">
        <f t="shared" si="22"/>
        <v>0.86405425569491667</v>
      </c>
      <c r="AT39" s="133"/>
      <c r="AU39" s="124">
        <v>1.802</v>
      </c>
      <c r="AV39" s="124">
        <v>8.31</v>
      </c>
      <c r="AW39" s="79">
        <f t="shared" si="23"/>
        <v>0.90781480551410676</v>
      </c>
    </row>
    <row r="40" spans="4:49">
      <c r="D40" s="132" t="s">
        <v>112</v>
      </c>
      <c r="E40" s="53">
        <v>0.13300000000000001</v>
      </c>
      <c r="F40" s="53">
        <v>0.68</v>
      </c>
      <c r="G40" s="78">
        <f>(E40*1000)/$I$11</f>
        <v>6.7287351769448139E-2</v>
      </c>
      <c r="Q40" s="131" t="str">
        <f>Q11</f>
        <v>M30BR</v>
      </c>
      <c r="R40" s="119">
        <v>0.29899999999999999</v>
      </c>
      <c r="S40" s="119">
        <v>0.54</v>
      </c>
      <c r="T40" s="80">
        <f>(R40*1000)/$V$11</f>
        <v>0.15625785545347276</v>
      </c>
      <c r="AD40" s="132" t="s">
        <v>124</v>
      </c>
      <c r="AE40" s="53">
        <v>0.46700000000000003</v>
      </c>
      <c r="AF40" s="53">
        <v>0.74</v>
      </c>
      <c r="AG40" s="78">
        <f>(AE40*1000)/$AI$11</f>
        <v>0.24988447628286639</v>
      </c>
      <c r="AT40" s="132" t="str">
        <f>AT11</f>
        <v>M90BR</v>
      </c>
      <c r="AU40" s="53">
        <v>1.208</v>
      </c>
      <c r="AV40" s="53">
        <v>0.91</v>
      </c>
      <c r="AW40" s="78">
        <f>(AU40*1000)/$AY$11</f>
        <v>0.64245625442892984</v>
      </c>
    </row>
    <row r="41" spans="4:49">
      <c r="D41" s="132"/>
      <c r="E41" s="53">
        <v>0.42299999999999999</v>
      </c>
      <c r="F41" s="53">
        <v>1.65</v>
      </c>
      <c r="G41" s="78">
        <f t="shared" ref="G41:G45" si="24">(E41*1000)/$I$11</f>
        <v>0.21400413382313205</v>
      </c>
      <c r="Q41" s="132"/>
      <c r="R41" s="53">
        <v>0.67100000000000004</v>
      </c>
      <c r="S41" s="53">
        <v>1.34</v>
      </c>
      <c r="T41" s="78">
        <f t="shared" ref="T41:T45" si="25">(R41*1000)/$V$11</f>
        <v>0.35066562210461616</v>
      </c>
      <c r="AD41" s="132"/>
      <c r="AE41" s="53">
        <v>0.84299999999999997</v>
      </c>
      <c r="AF41" s="53">
        <v>1.75</v>
      </c>
      <c r="AG41" s="78">
        <f t="shared" ref="AG41:AG44" si="26">(AE41*1000)/$AI$11</f>
        <v>0.45107626018513142</v>
      </c>
      <c r="AT41" s="132"/>
      <c r="AU41" s="53">
        <v>1.4530000000000001</v>
      </c>
      <c r="AV41" s="53">
        <v>2.0499999999999998</v>
      </c>
      <c r="AW41" s="78">
        <f t="shared" ref="AW41:AW45" si="27">(AU41*1000)/$AY$11</f>
        <v>0.77275574311691642</v>
      </c>
    </row>
    <row r="42" spans="4:49">
      <c r="D42" s="132"/>
      <c r="E42" s="53">
        <v>1.0349999999999999</v>
      </c>
      <c r="F42" s="53">
        <v>3.47</v>
      </c>
      <c r="G42" s="78">
        <f t="shared" si="24"/>
        <v>0.5236271359502167</v>
      </c>
      <c r="Q42" s="132"/>
      <c r="R42" s="53">
        <v>1.2170000000000001</v>
      </c>
      <c r="S42" s="53">
        <v>3.18</v>
      </c>
      <c r="T42" s="78">
        <f t="shared" si="25"/>
        <v>0.63600605380226205</v>
      </c>
      <c r="AD42" s="132"/>
      <c r="AE42" s="53">
        <v>1.0109999999999999</v>
      </c>
      <c r="AF42" s="53">
        <v>2.4900000000000002</v>
      </c>
      <c r="AG42" s="78">
        <f t="shared" si="26"/>
        <v>0.54097046150316463</v>
      </c>
      <c r="AT42" s="132"/>
      <c r="AU42" s="53">
        <v>1.526</v>
      </c>
      <c r="AV42" s="53">
        <v>2.77</v>
      </c>
      <c r="AW42" s="78">
        <f t="shared" si="27"/>
        <v>0.81157967239945938</v>
      </c>
    </row>
    <row r="43" spans="4:49">
      <c r="D43" s="132"/>
      <c r="E43" s="53">
        <v>1.218</v>
      </c>
      <c r="F43" s="53">
        <v>4.24</v>
      </c>
      <c r="G43" s="78">
        <f t="shared" si="24"/>
        <v>0.61621048462547245</v>
      </c>
      <c r="Q43" s="132"/>
      <c r="R43" s="53">
        <v>1.405</v>
      </c>
      <c r="S43" s="53">
        <v>4.34</v>
      </c>
      <c r="T43" s="78">
        <f t="shared" si="25"/>
        <v>0.73425514017434523</v>
      </c>
      <c r="AD43" s="132"/>
      <c r="AE43" s="53">
        <v>1.2210000000000001</v>
      </c>
      <c r="AF43" s="53">
        <v>3.02</v>
      </c>
      <c r="AG43" s="78">
        <f t="shared" si="26"/>
        <v>0.65333821315070639</v>
      </c>
      <c r="AT43" s="132"/>
      <c r="AU43" s="53">
        <v>1.5580000000000001</v>
      </c>
      <c r="AV43" s="53">
        <v>3.46</v>
      </c>
      <c r="AW43" s="78">
        <f t="shared" si="27"/>
        <v>0.82859838112605355</v>
      </c>
    </row>
    <row r="44" spans="4:49">
      <c r="D44" s="132"/>
      <c r="E44" s="53">
        <v>1.4590000000000001</v>
      </c>
      <c r="F44" s="53">
        <v>5.67</v>
      </c>
      <c r="G44" s="78">
        <f t="shared" si="24"/>
        <v>0.73813718971146491</v>
      </c>
      <c r="Q44" s="132"/>
      <c r="R44" s="53">
        <v>1.5109999999999999</v>
      </c>
      <c r="S44" s="53">
        <v>5.29</v>
      </c>
      <c r="T44" s="78">
        <f t="shared" si="25"/>
        <v>0.78965090163945606</v>
      </c>
      <c r="AD44" s="132"/>
      <c r="AE44" s="53">
        <v>1.478</v>
      </c>
      <c r="AF44" s="53">
        <v>5.32</v>
      </c>
      <c r="AG44" s="78">
        <f t="shared" si="26"/>
        <v>0.79085493778603111</v>
      </c>
      <c r="AT44" s="132"/>
      <c r="AU44" s="53">
        <v>1.579</v>
      </c>
      <c r="AV44" s="53">
        <v>3.63</v>
      </c>
      <c r="AW44" s="78">
        <f t="shared" si="27"/>
        <v>0.83976690872788096</v>
      </c>
    </row>
    <row r="45" spans="4:49">
      <c r="D45" s="132"/>
      <c r="E45" s="53">
        <v>1.482</v>
      </c>
      <c r="F45" s="53">
        <v>6.92</v>
      </c>
      <c r="G45" s="78">
        <f t="shared" si="24"/>
        <v>0.74977334828813635</v>
      </c>
      <c r="Q45" s="133"/>
      <c r="R45" s="124">
        <v>1.5640000000000001</v>
      </c>
      <c r="S45" s="124">
        <v>6.38</v>
      </c>
      <c r="T45" s="79">
        <f t="shared" si="25"/>
        <v>0.81734878237201136</v>
      </c>
      <c r="AD45" s="132"/>
      <c r="AE45" s="53">
        <v>1.544</v>
      </c>
      <c r="AF45" s="53">
        <v>6.01</v>
      </c>
      <c r="AG45" s="78">
        <f>(AE45*1000)/$AI$11</f>
        <v>0.82617051687525844</v>
      </c>
      <c r="AT45" s="132"/>
      <c r="AU45" s="53">
        <v>1.5960000000000001</v>
      </c>
      <c r="AV45" s="53">
        <v>4.1100000000000003</v>
      </c>
      <c r="AW45" s="78">
        <f t="shared" si="27"/>
        <v>0.8488080977388841</v>
      </c>
    </row>
    <row r="46" spans="4:49">
      <c r="D46" s="131" t="s">
        <v>113</v>
      </c>
      <c r="E46" s="119">
        <v>0.22900000000000001</v>
      </c>
      <c r="F46" s="119">
        <v>0.93</v>
      </c>
      <c r="G46" s="80">
        <f>(E46*1000)/$I$12</f>
        <v>0.1188079881080656</v>
      </c>
      <c r="Q46" s="132" t="str">
        <f>Q12</f>
        <v>M30CR</v>
      </c>
      <c r="R46" s="53">
        <v>0.88100000000000001</v>
      </c>
      <c r="S46" s="53">
        <v>0.71</v>
      </c>
      <c r="T46" s="78">
        <f>(R46*1000)/$V$12</f>
        <v>0.45727487029310149</v>
      </c>
      <c r="AD46" s="131" t="s">
        <v>125</v>
      </c>
      <c r="AE46" s="119">
        <v>0.50600000000000001</v>
      </c>
      <c r="AF46" s="119">
        <v>0.92</v>
      </c>
      <c r="AG46" s="80">
        <f>(AE46*1000)/$AI$12</f>
        <v>0.26318399610942156</v>
      </c>
      <c r="AT46" s="131" t="str">
        <f>AT12</f>
        <v>M90CR</v>
      </c>
      <c r="AU46" s="119">
        <v>0.92800000000000005</v>
      </c>
      <c r="AV46" s="119">
        <v>0.87</v>
      </c>
      <c r="AW46" s="80">
        <f>(AU46*1000)/$AY$12</f>
        <v>0.46503281247725925</v>
      </c>
    </row>
    <row r="47" spans="4:49">
      <c r="D47" s="132"/>
      <c r="E47" s="53">
        <v>0.52700000000000002</v>
      </c>
      <c r="F47" s="53">
        <v>2.42</v>
      </c>
      <c r="G47" s="78">
        <f t="shared" ref="G47:G51" si="28">(E47*1000)/$I$12</f>
        <v>0.27341401630109419</v>
      </c>
      <c r="Q47" s="132"/>
      <c r="R47" s="53">
        <v>1.1379999999999999</v>
      </c>
      <c r="S47" s="53">
        <v>1.97</v>
      </c>
      <c r="T47" s="78">
        <f t="shared" ref="T47:T51" si="29">(R47*1000)/$V$12</f>
        <v>0.59066833415839892</v>
      </c>
      <c r="AD47" s="132"/>
      <c r="AE47" s="53">
        <v>0.77300000000000002</v>
      </c>
      <c r="AF47" s="53">
        <v>1.6</v>
      </c>
      <c r="AG47" s="78">
        <f t="shared" ref="AG47:AG51" si="30">(AE47*1000)/$AI$12</f>
        <v>0.40205776480747607</v>
      </c>
      <c r="AT47" s="132"/>
      <c r="AU47" s="53">
        <v>1.1120000000000001</v>
      </c>
      <c r="AV47" s="53">
        <v>2.39</v>
      </c>
      <c r="AW47" s="78">
        <f t="shared" ref="AW47:AW51" si="31">(AU47*1000)/$AY$12</f>
        <v>0.5572375942615434</v>
      </c>
    </row>
    <row r="48" spans="4:49">
      <c r="D48" s="132"/>
      <c r="E48" s="53">
        <v>0.96499999999999997</v>
      </c>
      <c r="F48" s="53">
        <v>4.72</v>
      </c>
      <c r="G48" s="78">
        <f t="shared" si="28"/>
        <v>0.50065374901433757</v>
      </c>
      <c r="Q48" s="132"/>
      <c r="R48" s="53">
        <v>1.3959999999999999</v>
      </c>
      <c r="S48" s="53">
        <v>3.62</v>
      </c>
      <c r="T48" s="78">
        <f t="shared" si="29"/>
        <v>0.7245808387391256</v>
      </c>
      <c r="AD48" s="132"/>
      <c r="AE48" s="53">
        <v>1.127</v>
      </c>
      <c r="AF48" s="53">
        <v>2.99</v>
      </c>
      <c r="AG48" s="78">
        <f t="shared" si="30"/>
        <v>0.58618253678916621</v>
      </c>
      <c r="AT48" s="132"/>
      <c r="AU48" s="53">
        <v>1.4590000000000001</v>
      </c>
      <c r="AV48" s="53">
        <v>5.19</v>
      </c>
      <c r="AW48" s="78">
        <f t="shared" si="31"/>
        <v>0.73112378599603589</v>
      </c>
    </row>
    <row r="49" spans="1:49">
      <c r="D49" s="132"/>
      <c r="E49" s="53">
        <v>1.0649999999999999</v>
      </c>
      <c r="F49" s="53">
        <v>5.35</v>
      </c>
      <c r="G49" s="78">
        <f t="shared" si="28"/>
        <v>0.55253496652877676</v>
      </c>
      <c r="Q49" s="132"/>
      <c r="R49" s="53">
        <v>1.488</v>
      </c>
      <c r="S49" s="53">
        <v>4.37</v>
      </c>
      <c r="T49" s="78">
        <f t="shared" si="29"/>
        <v>0.77233258455860954</v>
      </c>
      <c r="AD49" s="132"/>
      <c r="AE49" s="53">
        <v>1.256</v>
      </c>
      <c r="AF49" s="53">
        <v>3.63</v>
      </c>
      <c r="AG49" s="78">
        <f t="shared" si="30"/>
        <v>0.65327885200283298</v>
      </c>
      <c r="AT49" s="132"/>
      <c r="AU49" s="53">
        <v>1.7310000000000001</v>
      </c>
      <c r="AV49" s="53">
        <v>7.35</v>
      </c>
      <c r="AW49" s="78">
        <f t="shared" si="31"/>
        <v>0.86742650689454293</v>
      </c>
    </row>
    <row r="50" spans="1:49">
      <c r="D50" s="132"/>
      <c r="E50" s="53">
        <v>1.127</v>
      </c>
      <c r="F50" s="53">
        <v>5.89</v>
      </c>
      <c r="G50" s="78">
        <f t="shared" si="28"/>
        <v>0.58470132138772901</v>
      </c>
      <c r="Q50" s="132"/>
      <c r="R50" s="53">
        <v>1.587</v>
      </c>
      <c r="S50" s="53">
        <v>5.35</v>
      </c>
      <c r="T50" s="78">
        <f t="shared" si="29"/>
        <v>0.82371761538609767</v>
      </c>
      <c r="AD50" s="132"/>
      <c r="AE50" s="53">
        <v>1.4490000000000001</v>
      </c>
      <c r="AF50" s="53">
        <v>4.2699999999999996</v>
      </c>
      <c r="AG50" s="78">
        <f t="shared" si="30"/>
        <v>0.75366326158607089</v>
      </c>
      <c r="AT50" s="132"/>
      <c r="AU50" s="53">
        <v>1.8720000000000001</v>
      </c>
      <c r="AV50" s="53">
        <v>8.83</v>
      </c>
      <c r="AW50" s="78">
        <f t="shared" si="31"/>
        <v>0.93808343206619538</v>
      </c>
    </row>
    <row r="51" spans="1:49">
      <c r="D51" s="133"/>
      <c r="E51" s="124">
        <v>1.1339999999999999</v>
      </c>
      <c r="F51" s="124">
        <v>6.55</v>
      </c>
      <c r="G51" s="79">
        <f t="shared" si="28"/>
        <v>0.58833300661373966</v>
      </c>
      <c r="Q51" s="133"/>
      <c r="R51" s="124">
        <v>1.6339999999999999</v>
      </c>
      <c r="S51" s="124">
        <v>6.18</v>
      </c>
      <c r="T51" s="79">
        <f t="shared" si="29"/>
        <v>0.84811252901126877</v>
      </c>
      <c r="AD51" s="133"/>
      <c r="AE51" s="124">
        <v>1.5920000000000001</v>
      </c>
      <c r="AF51" s="124">
        <v>4.87</v>
      </c>
      <c r="AG51" s="79">
        <f t="shared" si="30"/>
        <v>0.82804134744308133</v>
      </c>
      <c r="AT51" s="133"/>
      <c r="AU51" s="124">
        <v>1.931</v>
      </c>
      <c r="AV51" s="124">
        <v>10.19</v>
      </c>
      <c r="AW51" s="79">
        <f t="shared" si="31"/>
        <v>0.96764909579050395</v>
      </c>
    </row>
    <row r="54" spans="1:49"/>
    <row r="55" spans="1:49">
      <c r="D55" s="135" t="s">
        <v>152</v>
      </c>
      <c r="E55" s="135"/>
      <c r="F55" s="135"/>
      <c r="G55" s="136"/>
      <c r="H55" s="130"/>
      <c r="I55" s="130"/>
      <c r="J55" s="130"/>
    </row>
    <row r="56" spans="1:49" ht="30">
      <c r="C56" s="16" t="s">
        <v>153</v>
      </c>
      <c r="D56" s="118" t="s">
        <v>78</v>
      </c>
      <c r="E56" s="118" t="s">
        <v>154</v>
      </c>
      <c r="F56" s="111" t="s">
        <v>155</v>
      </c>
      <c r="G56" s="127" t="s">
        <v>156</v>
      </c>
      <c r="H56" s="17"/>
      <c r="I56" s="17"/>
      <c r="J56" s="16"/>
      <c r="Q56" s="120"/>
      <c r="R56" s="12"/>
      <c r="S56" s="120"/>
      <c r="T56" s="12"/>
      <c r="U56" s="12"/>
      <c r="W56" s="120"/>
      <c r="X56" s="12"/>
      <c r="Y56" s="120"/>
      <c r="Z56" s="12"/>
      <c r="AA56" s="12"/>
      <c r="AC56" s="120"/>
      <c r="AD56" s="12"/>
      <c r="AE56" s="120"/>
      <c r="AF56" s="12"/>
      <c r="AG56" s="12"/>
      <c r="AI56" s="120"/>
      <c r="AJ56" s="12"/>
      <c r="AK56" s="120"/>
      <c r="AL56" s="12"/>
      <c r="AM56" s="12"/>
    </row>
    <row r="57" spans="1:49">
      <c r="A57" s="38">
        <f>AVERAGE(E57:E59)</f>
        <v>0.30655533759252879</v>
      </c>
      <c r="B57" s="38">
        <f>ABS(((A57-A60)/A57)*100)</f>
        <v>41.613374940338069</v>
      </c>
      <c r="D57" s="53" t="s">
        <v>108</v>
      </c>
      <c r="E57" s="78">
        <f>G21*0.5</f>
        <v>0.32545103582778356</v>
      </c>
      <c r="F57" s="53">
        <v>1</v>
      </c>
      <c r="G57" s="38">
        <f>E57*2</f>
        <v>0.65090207165556713</v>
      </c>
      <c r="H57" s="120"/>
      <c r="I57" s="20"/>
      <c r="J57" s="120"/>
      <c r="Q57" s="120"/>
      <c r="R57" s="12"/>
      <c r="S57" s="120"/>
      <c r="T57" s="12"/>
      <c r="U57" s="12"/>
      <c r="W57" s="120"/>
      <c r="X57" s="12"/>
      <c r="Y57" s="120"/>
      <c r="Z57" s="12"/>
      <c r="AA57" s="12"/>
      <c r="AC57" s="120"/>
      <c r="AD57" s="12"/>
      <c r="AE57" s="120"/>
      <c r="AF57" s="12"/>
      <c r="AG57" s="12"/>
      <c r="AI57" s="120"/>
      <c r="AJ57" s="12"/>
      <c r="AK57" s="120"/>
      <c r="AL57" s="12"/>
      <c r="AM57" s="12"/>
    </row>
    <row r="58" spans="1:49">
      <c r="A58" s="38">
        <f>AVERAGE(E60:E62)</f>
        <v>0.32639571797533157</v>
      </c>
      <c r="D58" s="53" t="s">
        <v>109</v>
      </c>
      <c r="E58" s="78">
        <f>G27*0.5</f>
        <v>0.26567492107411034</v>
      </c>
      <c r="F58" s="53">
        <v>1</v>
      </c>
      <c r="G58" s="38">
        <f t="shared" ref="G58:G68" si="32">E58*2</f>
        <v>0.53134984214822067</v>
      </c>
      <c r="H58" s="120"/>
      <c r="I58" s="20"/>
      <c r="J58" s="120"/>
      <c r="Q58" s="120"/>
      <c r="R58" s="12"/>
      <c r="S58" s="120"/>
      <c r="T58" s="12"/>
      <c r="U58" s="12"/>
      <c r="W58" s="120"/>
      <c r="X58" s="12"/>
      <c r="Y58" s="120"/>
      <c r="Z58" s="12"/>
      <c r="AA58" s="12"/>
      <c r="AC58" s="120"/>
      <c r="AD58" s="12"/>
      <c r="AE58" s="120"/>
      <c r="AF58" s="12"/>
      <c r="AG58" s="12"/>
      <c r="AI58" s="120"/>
      <c r="AJ58" s="12"/>
      <c r="AK58" s="120"/>
      <c r="AL58" s="12"/>
      <c r="AM58" s="12"/>
    </row>
    <row r="59" spans="1:49">
      <c r="A59" s="38">
        <f>AVERAGE(E63:E65)</f>
        <v>0.37815792388918773</v>
      </c>
      <c r="D59" s="53" t="s">
        <v>110</v>
      </c>
      <c r="E59" s="78">
        <f>G33*0.5</f>
        <v>0.32854005587569257</v>
      </c>
      <c r="F59" s="53">
        <v>1</v>
      </c>
      <c r="G59" s="38">
        <f t="shared" si="32"/>
        <v>0.65708011175138514</v>
      </c>
      <c r="H59" s="120"/>
      <c r="I59" s="20"/>
      <c r="J59" s="120"/>
      <c r="Q59" s="120"/>
      <c r="R59" s="12"/>
      <c r="S59" s="120"/>
      <c r="T59" s="12"/>
      <c r="U59" s="12"/>
      <c r="W59" s="120"/>
      <c r="X59" s="12"/>
      <c r="Y59" s="120"/>
      <c r="Z59" s="12"/>
      <c r="AA59" s="12"/>
      <c r="AC59" s="120"/>
      <c r="AD59" s="12"/>
      <c r="AE59" s="120"/>
      <c r="AF59" s="12"/>
      <c r="AG59" s="12"/>
      <c r="AI59" s="120"/>
      <c r="AJ59" s="12"/>
      <c r="AK59" s="120"/>
      <c r="AL59" s="12"/>
      <c r="AM59" s="12"/>
    </row>
    <row r="60" spans="1:49">
      <c r="A60" s="38">
        <f>AVERAGE(E66:E68)</f>
        <v>0.43412335962452692</v>
      </c>
      <c r="D60" s="53" t="s">
        <v>114</v>
      </c>
      <c r="E60" s="78">
        <f>T21*0.5</f>
        <v>0.29141721660379549</v>
      </c>
      <c r="F60" s="53">
        <v>30</v>
      </c>
      <c r="G60" s="38">
        <f t="shared" si="32"/>
        <v>0.58283443320759099</v>
      </c>
      <c r="H60" s="120"/>
      <c r="I60" s="120"/>
      <c r="J60" s="120"/>
      <c r="Q60" s="120"/>
      <c r="R60" s="12"/>
      <c r="S60" s="120"/>
      <c r="T60" s="12"/>
      <c r="U60" s="12"/>
      <c r="W60" s="120"/>
      <c r="X60" s="12"/>
      <c r="Y60" s="120"/>
      <c r="Z60" s="12"/>
      <c r="AA60" s="12"/>
      <c r="AC60" s="120"/>
      <c r="AD60" s="12"/>
      <c r="AE60" s="120"/>
      <c r="AF60" s="12"/>
      <c r="AG60" s="12"/>
      <c r="AI60" s="120"/>
      <c r="AJ60" s="12"/>
      <c r="AK60" s="120"/>
      <c r="AL60" s="12"/>
      <c r="AM60" s="12"/>
    </row>
    <row r="61" spans="1:49">
      <c r="D61" s="53" t="s">
        <v>115</v>
      </c>
      <c r="E61" s="78">
        <f>T27*0.5</f>
        <v>0.31755499317872848</v>
      </c>
      <c r="F61" s="53">
        <v>30</v>
      </c>
      <c r="G61" s="38">
        <f t="shared" si="32"/>
        <v>0.63510998635745697</v>
      </c>
      <c r="H61" s="120"/>
      <c r="I61" s="120"/>
      <c r="J61" s="120"/>
      <c r="Q61" s="120"/>
      <c r="R61" s="12"/>
      <c r="S61" s="120"/>
      <c r="T61" s="12"/>
      <c r="U61" s="12"/>
      <c r="W61" s="120"/>
      <c r="X61" s="12"/>
      <c r="Y61" s="120"/>
      <c r="Z61" s="12"/>
      <c r="AA61" s="12"/>
      <c r="AC61" s="120"/>
      <c r="AD61" s="12"/>
      <c r="AE61" s="120"/>
      <c r="AF61" s="12"/>
      <c r="AG61" s="12"/>
      <c r="AI61" s="120"/>
      <c r="AJ61" s="12"/>
      <c r="AK61" s="120"/>
      <c r="AL61" s="12"/>
      <c r="AM61" s="12"/>
    </row>
    <row r="62" spans="1:49">
      <c r="D62" s="53" t="s">
        <v>116</v>
      </c>
      <c r="E62" s="78">
        <f>T33*0.5</f>
        <v>0.37021494414347067</v>
      </c>
      <c r="F62" s="53">
        <v>30</v>
      </c>
      <c r="G62" s="38">
        <f t="shared" si="32"/>
        <v>0.74042988828694134</v>
      </c>
      <c r="H62" s="120"/>
      <c r="I62" s="120"/>
      <c r="J62" s="120"/>
    </row>
    <row r="63" spans="1:49">
      <c r="D63" s="53" t="s">
        <v>120</v>
      </c>
      <c r="E63" s="78">
        <f>AG21*0.5</f>
        <v>0.39066705291821152</v>
      </c>
      <c r="F63" s="53">
        <v>60</v>
      </c>
      <c r="G63" s="38">
        <f t="shared" si="32"/>
        <v>0.78133410583642304</v>
      </c>
      <c r="H63" s="120"/>
      <c r="I63" s="120"/>
      <c r="J63" s="120"/>
    </row>
    <row r="64" spans="1:49">
      <c r="D64" s="53" t="s">
        <v>121</v>
      </c>
      <c r="E64" s="78">
        <f>AG27*0.5</f>
        <v>0.38525642365869595</v>
      </c>
      <c r="F64" s="53">
        <v>60</v>
      </c>
      <c r="G64" s="38">
        <f t="shared" si="32"/>
        <v>0.77051284731739189</v>
      </c>
      <c r="H64" s="120"/>
      <c r="I64" s="120"/>
      <c r="J64" s="120"/>
      <c r="Q64" s="120"/>
      <c r="R64" s="120"/>
      <c r="S64" s="20"/>
    </row>
    <row r="65" spans="1:37">
      <c r="D65" s="53" t="s">
        <v>122</v>
      </c>
      <c r="E65" s="78">
        <f>AG33*0.5</f>
        <v>0.35855029509065589</v>
      </c>
      <c r="F65" s="53">
        <v>60</v>
      </c>
      <c r="G65" s="38">
        <f t="shared" si="32"/>
        <v>0.71710059018131178</v>
      </c>
      <c r="H65" s="120"/>
      <c r="I65" s="120"/>
      <c r="J65" s="120"/>
      <c r="Q65" s="120"/>
      <c r="R65" s="120"/>
      <c r="S65" s="20"/>
      <c r="W65" s="120"/>
      <c r="X65" s="120"/>
      <c r="Y65" s="20"/>
      <c r="AC65" s="120"/>
      <c r="AD65" s="120"/>
      <c r="AE65" s="20"/>
      <c r="AI65" s="120"/>
      <c r="AJ65" s="120"/>
      <c r="AK65" s="20"/>
    </row>
    <row r="66" spans="1:37">
      <c r="D66" s="53" t="s">
        <v>126</v>
      </c>
      <c r="E66" s="78">
        <f>AW21*0.5</f>
        <v>0.46018612140179022</v>
      </c>
      <c r="F66" s="53">
        <v>90</v>
      </c>
      <c r="G66" s="38">
        <f t="shared" si="32"/>
        <v>0.92037224280358043</v>
      </c>
      <c r="H66" s="120"/>
      <c r="I66" s="120"/>
      <c r="J66" s="120"/>
      <c r="Q66" s="120"/>
      <c r="R66" s="120"/>
      <c r="S66" s="20"/>
      <c r="W66" s="120"/>
      <c r="X66" s="120"/>
      <c r="Y66" s="20"/>
      <c r="AC66" s="120"/>
      <c r="AD66" s="120"/>
      <c r="AE66" s="20"/>
      <c r="AI66" s="120"/>
      <c r="AJ66" s="120"/>
      <c r="AK66" s="20"/>
    </row>
    <row r="67" spans="1:37">
      <c r="D67" s="53" t="s">
        <v>127</v>
      </c>
      <c r="E67" s="78">
        <f>AW27*0.5</f>
        <v>0.42325652155083587</v>
      </c>
      <c r="F67" s="53">
        <v>90</v>
      </c>
      <c r="G67" s="38">
        <f t="shared" si="32"/>
        <v>0.84651304310167175</v>
      </c>
      <c r="H67" s="120"/>
      <c r="I67" s="120"/>
      <c r="J67" s="120"/>
      <c r="Q67" s="120"/>
      <c r="R67" s="120"/>
      <c r="S67" s="20"/>
      <c r="W67" s="120"/>
      <c r="X67" s="120"/>
      <c r="Y67" s="20"/>
      <c r="AC67" s="120"/>
      <c r="AD67" s="120"/>
      <c r="AE67" s="20"/>
      <c r="AI67" s="120"/>
      <c r="AJ67" s="120"/>
      <c r="AK67" s="20"/>
    </row>
    <row r="68" spans="1:37">
      <c r="D68" s="124" t="s">
        <v>128</v>
      </c>
      <c r="E68" s="79">
        <f>AW33*0.5</f>
        <v>0.41892743592095461</v>
      </c>
      <c r="F68" s="124">
        <v>90</v>
      </c>
      <c r="G68" s="112">
        <f t="shared" si="32"/>
        <v>0.83785487184190921</v>
      </c>
      <c r="H68" s="120"/>
      <c r="I68" s="120"/>
      <c r="J68" s="120"/>
      <c r="Q68" s="120"/>
      <c r="R68" s="120"/>
      <c r="S68" s="20"/>
      <c r="W68" s="120"/>
      <c r="X68" s="120"/>
      <c r="Y68" s="20"/>
      <c r="AC68" s="120"/>
      <c r="AD68" s="120"/>
      <c r="AE68" s="20"/>
      <c r="AI68" s="120"/>
      <c r="AJ68" s="120"/>
      <c r="AK68" s="20"/>
    </row>
    <row r="69" spans="1:37">
      <c r="D69" s="120"/>
      <c r="Q69" s="120"/>
      <c r="R69" s="120"/>
      <c r="S69" s="20"/>
      <c r="W69" s="120"/>
      <c r="X69" s="120"/>
      <c r="Y69" s="20"/>
      <c r="AC69" s="120"/>
      <c r="AD69" s="120"/>
      <c r="AE69" s="20"/>
      <c r="AI69" s="120"/>
      <c r="AJ69" s="120"/>
      <c r="AK69" s="20"/>
    </row>
    <row r="70" spans="1:37" ht="14.1" customHeight="1">
      <c r="D70" s="137" t="s">
        <v>157</v>
      </c>
      <c r="E70" s="137"/>
      <c r="F70" s="137"/>
      <c r="G70" s="137"/>
      <c r="Q70" s="120"/>
      <c r="R70" s="120"/>
      <c r="S70" s="20"/>
      <c r="W70" s="120"/>
      <c r="X70" s="120"/>
      <c r="Y70" s="20"/>
      <c r="AC70" s="120"/>
      <c r="AD70" s="120"/>
      <c r="AE70" s="20"/>
      <c r="AI70" s="120"/>
      <c r="AJ70" s="120"/>
      <c r="AK70" s="20"/>
    </row>
    <row r="71" spans="1:37" ht="27.95" customHeight="1">
      <c r="D71" s="118" t="s">
        <v>78</v>
      </c>
      <c r="E71" s="118" t="s">
        <v>154</v>
      </c>
      <c r="F71" s="111" t="s">
        <v>155</v>
      </c>
      <c r="G71" s="118" t="s">
        <v>156</v>
      </c>
      <c r="Q71" s="120"/>
      <c r="R71" s="120"/>
      <c r="S71" s="20"/>
      <c r="W71" s="120"/>
      <c r="X71" s="120"/>
      <c r="Y71" s="20"/>
      <c r="AC71" s="120"/>
      <c r="AD71" s="120"/>
      <c r="AE71" s="20"/>
      <c r="AI71" s="120"/>
      <c r="AJ71" s="120"/>
      <c r="AK71" s="20"/>
    </row>
    <row r="72" spans="1:37" ht="14.1" customHeight="1">
      <c r="A72" s="38">
        <f>AVERAGE(E72:E73)</f>
        <v>0.39274300719909672</v>
      </c>
      <c r="B72" s="38" t="e">
        <f>ABS(((A72-#REF!)/A72)*100)</f>
        <v>#REF!</v>
      </c>
      <c r="D72" s="53" t="s">
        <v>111</v>
      </c>
      <c r="E72" s="78">
        <f>G39*0.5</f>
        <v>0.41059934025412531</v>
      </c>
      <c r="F72" s="53">
        <v>1</v>
      </c>
      <c r="G72" s="38">
        <f>E72*2</f>
        <v>0.82119868050825062</v>
      </c>
      <c r="Q72" s="120"/>
      <c r="R72" s="120"/>
      <c r="S72" s="20"/>
      <c r="W72" s="120"/>
      <c r="X72" s="120"/>
      <c r="Y72" s="20"/>
      <c r="AC72" s="120"/>
      <c r="AD72" s="120"/>
      <c r="AE72" s="20"/>
      <c r="AI72" s="120"/>
      <c r="AJ72" s="120"/>
      <c r="AK72" s="20"/>
    </row>
    <row r="73" spans="1:37" ht="14.1" customHeight="1">
      <c r="A73" s="38">
        <f>AVERAGE(E74:E75)</f>
        <v>0.41636532784582003</v>
      </c>
      <c r="D73" s="53" t="s">
        <v>112</v>
      </c>
      <c r="E73" s="78">
        <f>G45*0.5</f>
        <v>0.37488667414406818</v>
      </c>
      <c r="F73" s="53">
        <v>1</v>
      </c>
      <c r="G73" s="38">
        <f t="shared" ref="G73:G81" si="33">E73*2</f>
        <v>0.74977334828813635</v>
      </c>
      <c r="Q73" s="120"/>
      <c r="R73" s="120"/>
      <c r="S73" s="20"/>
      <c r="W73" s="120"/>
      <c r="X73" s="120"/>
      <c r="Y73" s="20"/>
      <c r="AC73" s="120"/>
      <c r="AD73" s="120"/>
      <c r="AE73" s="20"/>
      <c r="AI73" s="120"/>
      <c r="AJ73" s="120"/>
      <c r="AK73" s="20"/>
    </row>
    <row r="74" spans="1:37" ht="14.1" customHeight="1">
      <c r="D74" s="53" t="s">
        <v>118</v>
      </c>
      <c r="E74" s="78">
        <f>T45*0.5</f>
        <v>0.40867439118600568</v>
      </c>
      <c r="F74" s="53">
        <v>30</v>
      </c>
      <c r="G74" s="38">
        <f t="shared" si="33"/>
        <v>0.81734878237201136</v>
      </c>
      <c r="Q74" s="120"/>
      <c r="R74" s="120"/>
      <c r="S74" s="20"/>
      <c r="W74" s="120"/>
      <c r="X74" s="120"/>
      <c r="Y74" s="20"/>
      <c r="AC74" s="120"/>
      <c r="AD74" s="120"/>
      <c r="AE74" s="20"/>
      <c r="AI74" s="120"/>
      <c r="AJ74" s="120"/>
      <c r="AK74" s="20"/>
    </row>
    <row r="75" spans="1:37" ht="14.1" customHeight="1">
      <c r="D75" s="53" t="s">
        <v>119</v>
      </c>
      <c r="E75" s="78">
        <f>T51*0.5</f>
        <v>0.42405626450563438</v>
      </c>
      <c r="F75" s="53">
        <v>30</v>
      </c>
      <c r="G75" s="38">
        <f t="shared" si="33"/>
        <v>0.84811252901126877</v>
      </c>
      <c r="Q75" s="120"/>
      <c r="R75" s="120"/>
      <c r="S75" s="20"/>
      <c r="W75" s="120"/>
      <c r="X75" s="120"/>
      <c r="Y75" s="20"/>
      <c r="AC75" s="120"/>
      <c r="AD75" s="120"/>
      <c r="AE75" s="20"/>
      <c r="AI75" s="120"/>
      <c r="AJ75" s="120"/>
      <c r="AK75" s="20"/>
    </row>
    <row r="76" spans="1:37" ht="14.1" customHeight="1">
      <c r="D76" s="53" t="s">
        <v>123</v>
      </c>
      <c r="E76" s="78">
        <f>AG39*0.5</f>
        <v>0.43202712784745834</v>
      </c>
      <c r="F76" s="53">
        <v>60</v>
      </c>
      <c r="G76" s="38">
        <f t="shared" si="33"/>
        <v>0.86405425569491667</v>
      </c>
      <c r="Q76" s="120"/>
      <c r="R76" s="120"/>
      <c r="S76" s="20"/>
      <c r="W76" s="120"/>
      <c r="X76" s="120"/>
      <c r="Y76" s="20"/>
      <c r="AC76" s="120"/>
      <c r="AD76" s="120"/>
      <c r="AE76" s="20"/>
      <c r="AI76" s="120"/>
      <c r="AJ76" s="120"/>
      <c r="AK76" s="20"/>
    </row>
    <row r="77" spans="1:37" ht="14.1" customHeight="1">
      <c r="D77" s="53" t="s">
        <v>124</v>
      </c>
      <c r="E77" s="78">
        <f>AG45*0.5</f>
        <v>0.41308525843762922</v>
      </c>
      <c r="F77" s="53">
        <v>60</v>
      </c>
      <c r="G77" s="38">
        <f t="shared" si="33"/>
        <v>0.82617051687525844</v>
      </c>
      <c r="Q77" s="120"/>
      <c r="R77" s="120"/>
      <c r="S77" s="20"/>
      <c r="W77" s="120"/>
      <c r="X77" s="120"/>
      <c r="Y77" s="20"/>
      <c r="AC77" s="120"/>
      <c r="AD77" s="120"/>
      <c r="AE77" s="20"/>
      <c r="AI77" s="120"/>
      <c r="AJ77" s="120"/>
      <c r="AK77" s="20"/>
    </row>
    <row r="78" spans="1:37" ht="14.1" customHeight="1">
      <c r="D78" s="53" t="s">
        <v>125</v>
      </c>
      <c r="E78" s="78">
        <f>AG51*0.5</f>
        <v>0.41402067372154067</v>
      </c>
      <c r="F78" s="53">
        <v>60</v>
      </c>
      <c r="G78" s="38">
        <f t="shared" si="33"/>
        <v>0.82804134744308133</v>
      </c>
      <c r="Q78" s="120"/>
      <c r="R78" s="120"/>
      <c r="S78" s="20"/>
      <c r="W78" s="120"/>
      <c r="X78" s="120"/>
      <c r="Y78" s="20"/>
      <c r="AC78" s="120"/>
      <c r="AD78" s="120"/>
      <c r="AE78" s="20"/>
      <c r="AI78" s="120"/>
      <c r="AJ78" s="120"/>
      <c r="AK78" s="20"/>
    </row>
    <row r="79" spans="1:37" ht="14.1" customHeight="1">
      <c r="D79" s="53" t="s">
        <v>129</v>
      </c>
      <c r="E79" s="78">
        <f>AW39*0.5</f>
        <v>0.45390740275705338</v>
      </c>
      <c r="F79" s="53">
        <v>90</v>
      </c>
      <c r="G79" s="38">
        <f t="shared" si="33"/>
        <v>0.90781480551410676</v>
      </c>
      <c r="Q79" s="120"/>
      <c r="R79" s="120"/>
      <c r="S79" s="20"/>
      <c r="W79" s="120"/>
      <c r="X79" s="120"/>
      <c r="Y79" s="20"/>
      <c r="AC79" s="120"/>
      <c r="AD79" s="120"/>
      <c r="AE79" s="20"/>
      <c r="AI79" s="120"/>
      <c r="AJ79" s="120"/>
      <c r="AK79" s="20"/>
    </row>
    <row r="80" spans="1:37" ht="14.1" customHeight="1">
      <c r="D80" s="53" t="s">
        <v>130</v>
      </c>
      <c r="E80" s="78">
        <f>AW45*0.5</f>
        <v>0.42440404886944205</v>
      </c>
      <c r="F80" s="53">
        <v>90</v>
      </c>
      <c r="G80" s="38">
        <f t="shared" si="33"/>
        <v>0.8488080977388841</v>
      </c>
      <c r="Q80" s="120"/>
      <c r="R80" s="120"/>
      <c r="S80" s="20"/>
      <c r="W80" s="120"/>
      <c r="X80" s="120"/>
      <c r="Y80" s="20"/>
      <c r="AC80" s="120"/>
      <c r="AD80" s="120"/>
      <c r="AE80" s="20"/>
      <c r="AI80" s="120"/>
      <c r="AJ80" s="120"/>
      <c r="AK80" s="20"/>
    </row>
    <row r="81" spans="4:37" ht="14.1" customHeight="1">
      <c r="D81" s="124" t="s">
        <v>131</v>
      </c>
      <c r="E81" s="79">
        <f>AW51*0.5</f>
        <v>0.48382454789525198</v>
      </c>
      <c r="F81" s="124">
        <v>90</v>
      </c>
      <c r="G81" s="112">
        <f t="shared" si="33"/>
        <v>0.96764909579050395</v>
      </c>
      <c r="Q81" s="120"/>
      <c r="R81" s="120"/>
      <c r="S81" s="20"/>
      <c r="W81" s="120"/>
      <c r="X81" s="120"/>
      <c r="Y81" s="20"/>
      <c r="AC81" s="120"/>
      <c r="AD81" s="120"/>
      <c r="AE81" s="20"/>
      <c r="AI81" s="120"/>
      <c r="AJ81" s="120"/>
      <c r="AK81" s="20"/>
    </row>
    <row r="82" spans="4:37">
      <c r="Q82" s="120"/>
      <c r="R82" s="120"/>
      <c r="S82" s="20"/>
      <c r="W82" s="120"/>
      <c r="X82" s="120"/>
      <c r="Y82" s="20"/>
      <c r="AC82" s="120"/>
      <c r="AD82" s="120"/>
      <c r="AE82" s="20"/>
      <c r="AI82" s="120"/>
      <c r="AJ82" s="120"/>
      <c r="AK82" s="20"/>
    </row>
    <row r="83" spans="4:37" ht="14.1">
      <c r="Q83" s="120"/>
      <c r="R83" s="120"/>
      <c r="S83" s="20"/>
      <c r="W83" s="120"/>
      <c r="X83" s="120"/>
      <c r="Y83" s="20"/>
      <c r="AC83" s="120"/>
      <c r="AD83" s="120"/>
      <c r="AE83" s="20"/>
      <c r="AI83" s="120"/>
      <c r="AJ83" s="120"/>
      <c r="AK83" s="20"/>
    </row>
    <row r="84" spans="4:37" ht="14.1">
      <c r="Q84" s="120"/>
      <c r="R84" s="120"/>
      <c r="S84" s="20"/>
      <c r="W84" s="120"/>
      <c r="X84" s="120"/>
      <c r="Y84" s="20"/>
      <c r="AC84" s="120"/>
      <c r="AD84" s="120"/>
      <c r="AE84" s="20"/>
      <c r="AI84" s="120"/>
      <c r="AJ84" s="120"/>
      <c r="AK84" s="20"/>
    </row>
    <row r="85" spans="4:37" ht="14.1">
      <c r="Q85" s="120"/>
      <c r="R85" s="120"/>
      <c r="S85" s="20"/>
      <c r="W85" s="120"/>
      <c r="X85" s="120"/>
      <c r="Y85" s="20"/>
      <c r="AC85" s="120"/>
      <c r="AD85" s="120"/>
      <c r="AE85" s="20"/>
      <c r="AI85" s="120"/>
      <c r="AJ85" s="120"/>
      <c r="AK85" s="20"/>
    </row>
    <row r="86" spans="4:37" ht="14.1">
      <c r="Q86" s="120"/>
      <c r="R86" s="120"/>
      <c r="S86" s="20"/>
      <c r="W86" s="120"/>
      <c r="X86" s="120"/>
      <c r="Y86" s="20"/>
      <c r="AC86" s="120"/>
      <c r="AD86" s="120"/>
      <c r="AE86" s="20"/>
      <c r="AI86" s="120"/>
      <c r="AJ86" s="120"/>
      <c r="AK86" s="20"/>
    </row>
    <row r="87" spans="4:37" ht="14.1">
      <c r="Q87" s="120"/>
      <c r="R87" s="120"/>
      <c r="S87" s="20"/>
      <c r="W87" s="120"/>
      <c r="X87" s="120"/>
      <c r="Y87" s="20"/>
      <c r="AC87" s="120"/>
      <c r="AD87" s="120"/>
      <c r="AE87" s="20"/>
      <c r="AI87" s="120"/>
      <c r="AJ87" s="120"/>
      <c r="AK87" s="20"/>
    </row>
    <row r="88" spans="4:37" ht="14.1">
      <c r="Q88" s="120"/>
      <c r="R88" s="120"/>
      <c r="S88" s="20"/>
      <c r="W88" s="120"/>
      <c r="X88" s="120"/>
      <c r="Y88" s="20"/>
      <c r="AC88" s="120"/>
      <c r="AD88" s="120"/>
      <c r="AE88" s="20"/>
      <c r="AI88" s="120"/>
      <c r="AJ88" s="120"/>
      <c r="AK88" s="20"/>
    </row>
    <row r="89" spans="4:37" ht="14.1">
      <c r="Q89" s="120"/>
      <c r="R89" s="120"/>
      <c r="S89" s="20"/>
      <c r="W89" s="120"/>
      <c r="X89" s="120"/>
      <c r="Y89" s="20"/>
      <c r="AC89" s="120"/>
      <c r="AD89" s="120"/>
      <c r="AE89" s="20"/>
      <c r="AI89" s="120"/>
      <c r="AJ89" s="120"/>
      <c r="AK89" s="20"/>
    </row>
    <row r="90" spans="4:37" ht="14.1">
      <c r="Q90" s="120"/>
      <c r="R90" s="120"/>
      <c r="S90" s="20"/>
      <c r="W90" s="120"/>
      <c r="X90" s="120"/>
      <c r="Y90" s="20"/>
      <c r="AC90" s="120"/>
      <c r="AD90" s="120"/>
      <c r="AE90" s="20"/>
      <c r="AI90" s="120"/>
      <c r="AJ90" s="120"/>
      <c r="AK90" s="20"/>
    </row>
    <row r="91" spans="4:37" ht="14.1">
      <c r="Q91" s="120"/>
      <c r="R91" s="120"/>
      <c r="S91" s="20"/>
      <c r="W91" s="120"/>
      <c r="X91" s="120"/>
      <c r="Y91" s="20"/>
      <c r="AC91" s="120"/>
      <c r="AD91" s="120"/>
      <c r="AE91" s="20"/>
      <c r="AI91" s="120"/>
      <c r="AJ91" s="120"/>
      <c r="AK91" s="20"/>
    </row>
    <row r="92" spans="4:37" ht="14.1">
      <c r="Q92" s="120"/>
      <c r="R92" s="120"/>
      <c r="S92" s="20"/>
      <c r="W92" s="120"/>
      <c r="X92" s="120"/>
      <c r="Y92" s="20"/>
      <c r="AC92" s="120"/>
      <c r="AD92" s="120"/>
      <c r="AE92" s="20"/>
      <c r="AI92" s="120"/>
      <c r="AJ92" s="120"/>
      <c r="AK92" s="20"/>
    </row>
    <row r="93" spans="4:37" ht="14.1">
      <c r="Q93" s="120"/>
      <c r="R93" s="120"/>
      <c r="S93" s="20"/>
      <c r="W93" s="120"/>
      <c r="X93" s="120"/>
      <c r="Y93" s="20"/>
      <c r="AC93" s="120"/>
      <c r="AD93" s="120"/>
      <c r="AE93" s="20"/>
      <c r="AI93" s="120"/>
      <c r="AJ93" s="120"/>
      <c r="AK93" s="20"/>
    </row>
    <row r="94" spans="4:37" ht="14.1">
      <c r="Q94" s="120"/>
      <c r="R94" s="120"/>
      <c r="S94" s="20"/>
      <c r="W94" s="120"/>
      <c r="X94" s="120"/>
      <c r="Y94" s="20"/>
      <c r="AC94" s="120"/>
      <c r="AD94" s="120"/>
      <c r="AE94" s="20"/>
      <c r="AI94" s="120"/>
      <c r="AJ94" s="120"/>
      <c r="AK94" s="20"/>
    </row>
    <row r="95" spans="4:37" ht="14.1">
      <c r="Q95" s="120"/>
      <c r="R95" s="120"/>
      <c r="S95" s="20"/>
      <c r="W95" s="120"/>
      <c r="X95" s="120"/>
      <c r="Y95" s="20"/>
      <c r="AC95" s="120"/>
      <c r="AD95" s="120"/>
      <c r="AE95" s="20"/>
      <c r="AI95" s="120"/>
      <c r="AJ95" s="120"/>
      <c r="AK95" s="20"/>
    </row>
    <row r="96" spans="4:37" ht="14.1">
      <c r="Q96" s="120"/>
      <c r="R96" s="120"/>
      <c r="S96" s="20"/>
      <c r="W96" s="120"/>
      <c r="X96" s="120"/>
      <c r="Y96" s="20"/>
      <c r="AC96" s="120"/>
      <c r="AD96" s="120"/>
      <c r="AE96" s="20"/>
      <c r="AI96" s="120"/>
      <c r="AJ96" s="120"/>
      <c r="AK96" s="20"/>
    </row>
    <row r="97" spans="17:37" ht="14.1">
      <c r="Q97" s="120"/>
      <c r="R97" s="120"/>
      <c r="S97" s="20"/>
      <c r="W97" s="120"/>
      <c r="X97" s="120"/>
      <c r="Y97" s="20"/>
      <c r="AC97" s="120"/>
      <c r="AD97" s="120"/>
      <c r="AE97" s="20"/>
      <c r="AI97" s="120"/>
      <c r="AJ97" s="120"/>
      <c r="AK97" s="20"/>
    </row>
    <row r="98" spans="17:37" ht="14.1">
      <c r="Q98" s="120"/>
      <c r="R98" s="120"/>
      <c r="S98" s="20"/>
      <c r="W98" s="120"/>
      <c r="X98" s="120"/>
      <c r="Y98" s="20"/>
      <c r="AC98" s="120"/>
      <c r="AD98" s="120"/>
      <c r="AE98" s="20"/>
      <c r="AI98" s="120"/>
      <c r="AJ98" s="120"/>
      <c r="AK98" s="20"/>
    </row>
  </sheetData>
  <mergeCells count="39">
    <mergeCell ref="AT46:AT51"/>
    <mergeCell ref="AD5:AI5"/>
    <mergeCell ref="AD14:AG14"/>
    <mergeCell ref="AD16:AD21"/>
    <mergeCell ref="AT5:AY5"/>
    <mergeCell ref="AT14:AW14"/>
    <mergeCell ref="AT16:AT21"/>
    <mergeCell ref="AT22:AT27"/>
    <mergeCell ref="AD22:AD27"/>
    <mergeCell ref="AD28:AD33"/>
    <mergeCell ref="AD34:AD39"/>
    <mergeCell ref="AD46:AD51"/>
    <mergeCell ref="AD3:AI3"/>
    <mergeCell ref="AT3:AY3"/>
    <mergeCell ref="Q28:Q33"/>
    <mergeCell ref="Q34:Q39"/>
    <mergeCell ref="Q40:Q45"/>
    <mergeCell ref="AT28:AT33"/>
    <mergeCell ref="AT34:AT39"/>
    <mergeCell ref="AT40:AT45"/>
    <mergeCell ref="AD40:AD45"/>
    <mergeCell ref="Q5:V5"/>
    <mergeCell ref="Q14:T14"/>
    <mergeCell ref="Q16:Q21"/>
    <mergeCell ref="Q22:Q27"/>
    <mergeCell ref="Q3:V3"/>
    <mergeCell ref="H55:J55"/>
    <mergeCell ref="D46:D51"/>
    <mergeCell ref="Q46:Q51"/>
    <mergeCell ref="D55:G55"/>
    <mergeCell ref="D70:G70"/>
    <mergeCell ref="D3:I3"/>
    <mergeCell ref="D34:D39"/>
    <mergeCell ref="D40:D45"/>
    <mergeCell ref="D5:I5"/>
    <mergeCell ref="D14:G14"/>
    <mergeCell ref="D16:D21"/>
    <mergeCell ref="D22:D27"/>
    <mergeCell ref="D28:D33"/>
  </mergeCells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863F9A-D4BB-4131-9954-07B30CAE8548}">
  <dimension ref="B3:I140"/>
  <sheetViews>
    <sheetView topLeftCell="C27" zoomScale="75" zoomScaleNormal="100" workbookViewId="0">
      <selection activeCell="F8" sqref="F8"/>
    </sheetView>
  </sheetViews>
  <sheetFormatPr defaultColWidth="10.7109375" defaultRowHeight="14.1"/>
  <cols>
    <col min="1" max="2" width="10.7109375" style="1"/>
    <col min="3" max="3" width="11.7109375" style="1" bestFit="1" customWidth="1"/>
    <col min="4" max="4" width="11.85546875" style="1" bestFit="1" customWidth="1"/>
    <col min="5" max="5" width="16.42578125" style="1" bestFit="1" customWidth="1"/>
    <col min="6" max="14" width="10.7109375" style="1"/>
    <col min="15" max="15" width="11.7109375" style="1" bestFit="1" customWidth="1"/>
    <col min="16" max="16" width="22.42578125" style="1" customWidth="1"/>
    <col min="17" max="16384" width="10.7109375" style="1"/>
  </cols>
  <sheetData>
    <row r="3" spans="2:9" ht="14.45" thickBot="1"/>
    <row r="4" spans="2:9" ht="14.45" thickBot="1">
      <c r="B4" s="13" t="s">
        <v>158</v>
      </c>
      <c r="C4" s="32" t="s">
        <v>159</v>
      </c>
      <c r="D4" s="32" t="s">
        <v>91</v>
      </c>
      <c r="E4" s="33" t="s">
        <v>160</v>
      </c>
      <c r="G4" s="164" t="s">
        <v>161</v>
      </c>
      <c r="H4" s="165"/>
      <c r="I4" s="166"/>
    </row>
    <row r="5" spans="2:9">
      <c r="B5" s="14">
        <v>45834</v>
      </c>
      <c r="C5" s="54">
        <v>1</v>
      </c>
      <c r="D5" s="54">
        <v>88</v>
      </c>
      <c r="E5" s="55">
        <v>19.5</v>
      </c>
    </row>
    <row r="6" spans="2:9">
      <c r="B6" s="14">
        <v>45835</v>
      </c>
      <c r="C6" s="54">
        <v>2</v>
      </c>
      <c r="D6" s="54">
        <v>99</v>
      </c>
      <c r="E6" s="55">
        <v>18.5</v>
      </c>
    </row>
    <row r="7" spans="2:9">
      <c r="B7" s="14">
        <v>45836</v>
      </c>
      <c r="C7" s="54">
        <v>3</v>
      </c>
      <c r="D7" s="54">
        <v>99</v>
      </c>
      <c r="E7" s="55">
        <v>18.399999999999999</v>
      </c>
    </row>
    <row r="8" spans="2:9">
      <c r="B8" s="14">
        <v>45837</v>
      </c>
      <c r="C8" s="54">
        <v>4</v>
      </c>
      <c r="D8" s="54"/>
      <c r="E8" s="55"/>
    </row>
    <row r="9" spans="2:9">
      <c r="B9" s="14">
        <v>45838</v>
      </c>
      <c r="C9" s="54">
        <v>5</v>
      </c>
      <c r="D9" s="54">
        <v>99</v>
      </c>
      <c r="E9" s="55">
        <v>19.5</v>
      </c>
    </row>
    <row r="10" spans="2:9">
      <c r="B10" s="14">
        <v>45839</v>
      </c>
      <c r="C10" s="54">
        <v>6</v>
      </c>
      <c r="D10" s="54">
        <v>99</v>
      </c>
      <c r="E10" s="55">
        <v>19.5</v>
      </c>
    </row>
    <row r="11" spans="2:9">
      <c r="B11" s="14">
        <v>45840</v>
      </c>
      <c r="C11" s="54">
        <v>7</v>
      </c>
      <c r="D11" s="54">
        <v>99</v>
      </c>
      <c r="E11" s="55">
        <v>19.5</v>
      </c>
    </row>
    <row r="12" spans="2:9">
      <c r="B12" s="14">
        <v>45841</v>
      </c>
      <c r="C12" s="54">
        <v>8</v>
      </c>
      <c r="D12" s="54">
        <v>99</v>
      </c>
      <c r="E12" s="55">
        <v>18.399999999999999</v>
      </c>
    </row>
    <row r="13" spans="2:9">
      <c r="B13" s="30">
        <v>45842</v>
      </c>
      <c r="C13" s="34">
        <v>9</v>
      </c>
      <c r="D13" s="34">
        <v>99</v>
      </c>
      <c r="E13" s="35">
        <v>21.4</v>
      </c>
    </row>
    <row r="14" spans="2:9">
      <c r="B14" s="14">
        <v>45843</v>
      </c>
      <c r="C14" s="54">
        <v>10</v>
      </c>
      <c r="D14" s="54">
        <v>99</v>
      </c>
      <c r="E14" s="55">
        <v>19.5</v>
      </c>
    </row>
    <row r="15" spans="2:9">
      <c r="B15" s="14">
        <v>45844</v>
      </c>
      <c r="C15" s="54">
        <v>11</v>
      </c>
      <c r="D15" s="54"/>
      <c r="E15" s="55"/>
    </row>
    <row r="16" spans="2:9">
      <c r="B16" s="14">
        <v>45845</v>
      </c>
      <c r="C16" s="54">
        <v>12</v>
      </c>
      <c r="D16" s="54">
        <v>99</v>
      </c>
      <c r="E16" s="55">
        <v>18.5</v>
      </c>
    </row>
    <row r="17" spans="2:5">
      <c r="B17" s="14">
        <v>45846</v>
      </c>
      <c r="C17" s="54">
        <v>13</v>
      </c>
      <c r="D17" s="54">
        <v>99</v>
      </c>
      <c r="E17" s="55">
        <v>18.399999999999999</v>
      </c>
    </row>
    <row r="18" spans="2:5">
      <c r="B18" s="14">
        <v>45847</v>
      </c>
      <c r="C18" s="54">
        <v>14</v>
      </c>
      <c r="D18" s="54">
        <v>99</v>
      </c>
      <c r="E18" s="55">
        <v>19.5</v>
      </c>
    </row>
    <row r="19" spans="2:5">
      <c r="B19" s="14">
        <v>45848</v>
      </c>
      <c r="C19" s="54">
        <v>15</v>
      </c>
      <c r="D19" s="54">
        <v>99</v>
      </c>
      <c r="E19" s="55">
        <v>18.399999999999999</v>
      </c>
    </row>
    <row r="20" spans="2:5">
      <c r="B20" s="14">
        <v>45849</v>
      </c>
      <c r="C20" s="54">
        <v>16</v>
      </c>
      <c r="D20" s="54">
        <v>99</v>
      </c>
      <c r="E20" s="55">
        <v>19.5</v>
      </c>
    </row>
    <row r="21" spans="2:5">
      <c r="B21" s="14">
        <v>45850</v>
      </c>
      <c r="C21" s="54">
        <v>17</v>
      </c>
      <c r="D21" s="54">
        <v>99</v>
      </c>
      <c r="E21" s="55">
        <v>18.5</v>
      </c>
    </row>
    <row r="22" spans="2:5">
      <c r="B22" s="14">
        <v>45851</v>
      </c>
      <c r="C22" s="54">
        <v>18</v>
      </c>
      <c r="D22" s="54"/>
      <c r="E22" s="55"/>
    </row>
    <row r="23" spans="2:5">
      <c r="B23" s="14">
        <v>45852</v>
      </c>
      <c r="C23" s="54">
        <v>19</v>
      </c>
      <c r="D23" s="54">
        <v>99</v>
      </c>
      <c r="E23" s="55">
        <v>18.3</v>
      </c>
    </row>
    <row r="24" spans="2:5">
      <c r="B24" s="14">
        <v>45853</v>
      </c>
      <c r="C24" s="54">
        <v>20</v>
      </c>
      <c r="D24" s="54">
        <v>99</v>
      </c>
      <c r="E24" s="55">
        <v>18.399999999999999</v>
      </c>
    </row>
    <row r="25" spans="2:5">
      <c r="B25" s="14">
        <v>45854</v>
      </c>
      <c r="C25" s="54">
        <v>21</v>
      </c>
      <c r="D25" s="54">
        <v>99</v>
      </c>
      <c r="E25" s="55">
        <v>18.3</v>
      </c>
    </row>
    <row r="26" spans="2:5">
      <c r="B26" s="14">
        <v>45855</v>
      </c>
      <c r="C26" s="54">
        <v>22</v>
      </c>
      <c r="D26" s="54">
        <v>99</v>
      </c>
      <c r="E26" s="55">
        <v>18.3</v>
      </c>
    </row>
    <row r="27" spans="2:5">
      <c r="B27" s="30">
        <v>45856</v>
      </c>
      <c r="C27" s="34">
        <v>23</v>
      </c>
      <c r="D27" s="34">
        <v>99</v>
      </c>
      <c r="E27" s="35">
        <v>18.7</v>
      </c>
    </row>
    <row r="28" spans="2:5">
      <c r="B28" s="14">
        <v>45857</v>
      </c>
      <c r="C28" s="54">
        <v>24</v>
      </c>
      <c r="D28" s="54">
        <v>99</v>
      </c>
      <c r="E28" s="55">
        <v>18.7</v>
      </c>
    </row>
    <row r="29" spans="2:5">
      <c r="B29" s="14">
        <v>45858</v>
      </c>
      <c r="C29" s="54">
        <v>25</v>
      </c>
      <c r="D29" s="54"/>
      <c r="E29" s="55"/>
    </row>
    <row r="30" spans="2:5">
      <c r="B30" s="14">
        <v>45859</v>
      </c>
      <c r="C30" s="54">
        <v>26</v>
      </c>
      <c r="D30" s="54">
        <v>99</v>
      </c>
      <c r="E30" s="55">
        <v>18.7</v>
      </c>
    </row>
    <row r="31" spans="2:5">
      <c r="B31" s="14">
        <v>45860</v>
      </c>
      <c r="C31" s="54">
        <v>27</v>
      </c>
      <c r="D31" s="54">
        <v>99</v>
      </c>
      <c r="E31" s="55">
        <v>18.3</v>
      </c>
    </row>
    <row r="32" spans="2:5">
      <c r="B32" s="14">
        <v>45861</v>
      </c>
      <c r="C32" s="54">
        <v>28</v>
      </c>
      <c r="D32" s="54">
        <v>99</v>
      </c>
      <c r="E32" s="55">
        <v>18.3</v>
      </c>
    </row>
    <row r="33" spans="2:5">
      <c r="B33" s="14">
        <v>45862</v>
      </c>
      <c r="C33" s="54">
        <v>29</v>
      </c>
      <c r="D33" s="54">
        <v>99</v>
      </c>
      <c r="E33" s="55">
        <v>18.399999999999999</v>
      </c>
    </row>
    <row r="34" spans="2:5">
      <c r="B34" s="14">
        <v>45863</v>
      </c>
      <c r="C34" s="54">
        <v>30</v>
      </c>
      <c r="D34" s="54">
        <v>99</v>
      </c>
      <c r="E34" s="55">
        <v>18.5</v>
      </c>
    </row>
    <row r="35" spans="2:5">
      <c r="B35" s="14">
        <v>45864</v>
      </c>
      <c r="C35" s="54">
        <v>31</v>
      </c>
      <c r="D35" s="54">
        <v>99</v>
      </c>
      <c r="E35" s="55">
        <v>18.399999999999999</v>
      </c>
    </row>
    <row r="36" spans="2:5">
      <c r="B36" s="14">
        <v>45865</v>
      </c>
      <c r="C36" s="54">
        <v>32</v>
      </c>
      <c r="D36" s="54"/>
      <c r="E36" s="55"/>
    </row>
    <row r="37" spans="2:5">
      <c r="B37" s="30">
        <v>45866</v>
      </c>
      <c r="C37" s="34">
        <v>33</v>
      </c>
      <c r="D37" s="34">
        <v>99</v>
      </c>
      <c r="E37" s="35">
        <v>18.3</v>
      </c>
    </row>
    <row r="38" spans="2:5">
      <c r="B38" s="14">
        <v>45867</v>
      </c>
      <c r="C38" s="54">
        <v>34</v>
      </c>
      <c r="D38" s="54">
        <v>99</v>
      </c>
      <c r="E38" s="55">
        <v>18.5</v>
      </c>
    </row>
    <row r="39" spans="2:5">
      <c r="B39" s="14">
        <v>45868</v>
      </c>
      <c r="C39" s="54">
        <v>35</v>
      </c>
      <c r="D39" s="54">
        <v>99</v>
      </c>
      <c r="E39" s="55">
        <v>18.399999999999999</v>
      </c>
    </row>
    <row r="40" spans="2:5">
      <c r="B40" s="30">
        <v>45869</v>
      </c>
      <c r="C40" s="34">
        <v>36</v>
      </c>
      <c r="D40" s="34">
        <v>99</v>
      </c>
      <c r="E40" s="35">
        <v>18.2</v>
      </c>
    </row>
    <row r="41" spans="2:5">
      <c r="B41" s="30">
        <v>45870</v>
      </c>
      <c r="C41" s="34">
        <v>37</v>
      </c>
      <c r="D41" s="34">
        <v>99</v>
      </c>
      <c r="E41" s="35">
        <v>18.5</v>
      </c>
    </row>
    <row r="42" spans="2:5">
      <c r="B42" s="14">
        <v>45871</v>
      </c>
      <c r="C42" s="54">
        <v>38</v>
      </c>
      <c r="D42" s="54">
        <v>99</v>
      </c>
      <c r="E42" s="55">
        <v>18.3</v>
      </c>
    </row>
    <row r="43" spans="2:5">
      <c r="B43" s="14">
        <v>45872</v>
      </c>
      <c r="C43" s="54">
        <v>39</v>
      </c>
      <c r="D43" s="54"/>
      <c r="E43" s="55"/>
    </row>
    <row r="44" spans="2:5">
      <c r="B44" s="30">
        <v>45873</v>
      </c>
      <c r="C44" s="34">
        <v>40</v>
      </c>
      <c r="D44" s="34">
        <v>99</v>
      </c>
      <c r="E44" s="35">
        <v>18.2</v>
      </c>
    </row>
    <row r="45" spans="2:5">
      <c r="B45" s="30">
        <v>45874</v>
      </c>
      <c r="C45" s="34">
        <v>41</v>
      </c>
      <c r="D45" s="34">
        <v>99</v>
      </c>
      <c r="E45" s="35">
        <v>18.3</v>
      </c>
    </row>
    <row r="46" spans="2:5">
      <c r="B46" s="14">
        <v>45875</v>
      </c>
      <c r="C46" s="54">
        <v>42</v>
      </c>
      <c r="D46" s="54">
        <v>99</v>
      </c>
      <c r="E46" s="55">
        <v>18.7</v>
      </c>
    </row>
    <row r="47" spans="2:5">
      <c r="B47" s="14">
        <v>45876</v>
      </c>
      <c r="C47" s="54">
        <v>43</v>
      </c>
      <c r="D47" s="54"/>
      <c r="E47" s="55"/>
    </row>
    <row r="48" spans="2:5">
      <c r="B48" s="14">
        <v>45877</v>
      </c>
      <c r="C48" s="54">
        <v>44</v>
      </c>
      <c r="D48" s="54">
        <v>99</v>
      </c>
      <c r="E48" s="55">
        <v>18.600000000000001</v>
      </c>
    </row>
    <row r="49" spans="2:5">
      <c r="B49" s="14">
        <v>45878</v>
      </c>
      <c r="C49" s="54">
        <v>45</v>
      </c>
      <c r="D49" s="54">
        <v>99</v>
      </c>
      <c r="E49" s="55">
        <v>18.399999999999999</v>
      </c>
    </row>
    <row r="50" spans="2:5">
      <c r="B50" s="14">
        <v>45879</v>
      </c>
      <c r="C50" s="54">
        <v>46</v>
      </c>
      <c r="D50" s="54"/>
      <c r="E50" s="55"/>
    </row>
    <row r="51" spans="2:5">
      <c r="B51" s="14">
        <v>45880</v>
      </c>
      <c r="C51" s="54">
        <v>47</v>
      </c>
      <c r="D51" s="54">
        <v>99</v>
      </c>
      <c r="E51" s="55">
        <v>18.7</v>
      </c>
    </row>
    <row r="52" spans="2:5">
      <c r="B52" s="14">
        <v>45881</v>
      </c>
      <c r="C52" s="54">
        <v>48</v>
      </c>
      <c r="D52" s="54">
        <v>99</v>
      </c>
      <c r="E52" s="55">
        <v>18.399999999999999</v>
      </c>
    </row>
    <row r="53" spans="2:5">
      <c r="B53" s="14">
        <v>45882</v>
      </c>
      <c r="C53" s="54">
        <v>49</v>
      </c>
      <c r="D53" s="54">
        <v>99</v>
      </c>
      <c r="E53" s="55">
        <v>18.5</v>
      </c>
    </row>
    <row r="54" spans="2:5">
      <c r="B54" s="14">
        <v>45883</v>
      </c>
      <c r="C54" s="54">
        <v>50</v>
      </c>
      <c r="D54" s="54">
        <v>99</v>
      </c>
      <c r="E54" s="55">
        <v>18.5</v>
      </c>
    </row>
    <row r="55" spans="2:5">
      <c r="B55" s="14">
        <v>45884</v>
      </c>
      <c r="C55" s="54">
        <v>51</v>
      </c>
      <c r="D55" s="54">
        <v>99</v>
      </c>
      <c r="E55" s="55">
        <v>18.899999999999999</v>
      </c>
    </row>
    <row r="56" spans="2:5">
      <c r="B56" s="14">
        <v>45885</v>
      </c>
      <c r="C56" s="54">
        <v>52</v>
      </c>
      <c r="D56" s="54">
        <v>99</v>
      </c>
      <c r="E56" s="55">
        <v>18.5</v>
      </c>
    </row>
    <row r="57" spans="2:5">
      <c r="B57" s="14">
        <v>45886</v>
      </c>
      <c r="C57" s="54">
        <v>53</v>
      </c>
      <c r="D57" s="54"/>
      <c r="E57" s="55"/>
    </row>
    <row r="58" spans="2:5">
      <c r="B58" s="14">
        <v>45887</v>
      </c>
      <c r="C58" s="54">
        <v>54</v>
      </c>
      <c r="D58" s="54"/>
      <c r="E58" s="55"/>
    </row>
    <row r="59" spans="2:5">
      <c r="B59" s="14">
        <v>45888</v>
      </c>
      <c r="C59" s="54">
        <v>55</v>
      </c>
      <c r="D59" s="54">
        <v>99</v>
      </c>
      <c r="E59" s="55">
        <v>18.5</v>
      </c>
    </row>
    <row r="60" spans="2:5">
      <c r="B60" s="14">
        <v>45889</v>
      </c>
      <c r="C60" s="54">
        <v>56</v>
      </c>
      <c r="D60" s="54">
        <v>99</v>
      </c>
      <c r="E60" s="55">
        <v>18.399999999999999</v>
      </c>
    </row>
    <row r="61" spans="2:5">
      <c r="B61" s="14">
        <v>45890</v>
      </c>
      <c r="C61" s="54">
        <v>57</v>
      </c>
      <c r="D61" s="54">
        <v>99</v>
      </c>
      <c r="E61" s="55">
        <v>18.7</v>
      </c>
    </row>
    <row r="62" spans="2:5">
      <c r="B62" s="30">
        <v>45891</v>
      </c>
      <c r="C62" s="34">
        <v>58</v>
      </c>
      <c r="D62" s="34">
        <v>99</v>
      </c>
      <c r="E62" s="35">
        <v>18.3</v>
      </c>
    </row>
    <row r="63" spans="2:5">
      <c r="B63" s="14">
        <v>45892</v>
      </c>
      <c r="C63" s="54">
        <v>59</v>
      </c>
      <c r="D63" s="54">
        <v>99</v>
      </c>
      <c r="E63" s="55">
        <v>18.7</v>
      </c>
    </row>
    <row r="64" spans="2:5">
      <c r="B64" s="14">
        <v>45893</v>
      </c>
      <c r="C64" s="54">
        <v>60</v>
      </c>
      <c r="D64" s="54"/>
      <c r="E64" s="55"/>
    </row>
    <row r="65" spans="2:5">
      <c r="B65" s="14">
        <v>45894</v>
      </c>
      <c r="C65" s="54">
        <v>61</v>
      </c>
      <c r="D65" s="54">
        <v>99</v>
      </c>
      <c r="E65" s="55">
        <v>18.3</v>
      </c>
    </row>
    <row r="66" spans="2:5">
      <c r="B66" s="14">
        <v>45895</v>
      </c>
      <c r="C66" s="54">
        <v>62</v>
      </c>
      <c r="D66" s="54">
        <v>99</v>
      </c>
      <c r="E66" s="55">
        <v>19</v>
      </c>
    </row>
    <row r="67" spans="2:5">
      <c r="B67" s="14">
        <v>45896</v>
      </c>
      <c r="C67" s="54">
        <v>63</v>
      </c>
      <c r="D67" s="54">
        <v>99</v>
      </c>
      <c r="E67" s="55">
        <v>18.5</v>
      </c>
    </row>
    <row r="68" spans="2:5">
      <c r="B68" s="14">
        <v>45897</v>
      </c>
      <c r="C68" s="54">
        <v>64</v>
      </c>
      <c r="D68" s="54">
        <v>99</v>
      </c>
      <c r="E68" s="55">
        <v>19</v>
      </c>
    </row>
    <row r="69" spans="2:5">
      <c r="B69" s="14">
        <v>45898</v>
      </c>
      <c r="C69" s="54">
        <v>65</v>
      </c>
      <c r="D69" s="54">
        <v>99</v>
      </c>
      <c r="E69" s="55">
        <v>18.7</v>
      </c>
    </row>
    <row r="70" spans="2:5">
      <c r="B70" s="14">
        <v>45899</v>
      </c>
      <c r="C70" s="54">
        <v>66</v>
      </c>
      <c r="D70" s="54">
        <v>99</v>
      </c>
      <c r="E70" s="55">
        <v>19</v>
      </c>
    </row>
    <row r="71" spans="2:5">
      <c r="B71" s="14">
        <v>45900</v>
      </c>
      <c r="C71" s="54">
        <v>67</v>
      </c>
      <c r="D71" s="54"/>
      <c r="E71" s="55"/>
    </row>
    <row r="72" spans="2:5">
      <c r="B72" s="14">
        <v>45901</v>
      </c>
      <c r="C72" s="54">
        <v>68</v>
      </c>
      <c r="D72" s="54">
        <v>99</v>
      </c>
      <c r="E72" s="55">
        <v>19</v>
      </c>
    </row>
    <row r="73" spans="2:5">
      <c r="B73" s="14">
        <v>45902</v>
      </c>
      <c r="C73" s="54">
        <v>69</v>
      </c>
      <c r="D73" s="54">
        <v>99</v>
      </c>
      <c r="E73" s="55">
        <v>18.7</v>
      </c>
    </row>
    <row r="74" spans="2:5">
      <c r="B74" s="14">
        <v>45903</v>
      </c>
      <c r="C74" s="54">
        <v>70</v>
      </c>
      <c r="D74" s="54">
        <v>99</v>
      </c>
      <c r="E74" s="55">
        <v>19</v>
      </c>
    </row>
    <row r="75" spans="2:5">
      <c r="B75" s="14">
        <v>45904</v>
      </c>
      <c r="C75" s="54">
        <v>71</v>
      </c>
      <c r="D75" s="54">
        <v>99</v>
      </c>
      <c r="E75" s="55">
        <v>19</v>
      </c>
    </row>
    <row r="76" spans="2:5">
      <c r="B76" s="14">
        <v>45905</v>
      </c>
      <c r="C76" s="54">
        <v>72</v>
      </c>
      <c r="D76" s="54">
        <v>99</v>
      </c>
      <c r="E76" s="55">
        <v>18.5</v>
      </c>
    </row>
    <row r="77" spans="2:5">
      <c r="B77" s="14">
        <v>45906</v>
      </c>
      <c r="C77" s="54">
        <v>73</v>
      </c>
      <c r="D77" s="54">
        <v>99</v>
      </c>
      <c r="E77" s="55">
        <v>18.7</v>
      </c>
    </row>
    <row r="78" spans="2:5">
      <c r="B78" s="14">
        <v>45907</v>
      </c>
      <c r="C78" s="54">
        <v>74</v>
      </c>
      <c r="D78" s="54"/>
      <c r="E78" s="55"/>
    </row>
    <row r="79" spans="2:5">
      <c r="B79" s="14">
        <v>45908</v>
      </c>
      <c r="C79" s="54">
        <v>75</v>
      </c>
      <c r="D79" s="54">
        <v>99</v>
      </c>
      <c r="E79" s="55">
        <v>19</v>
      </c>
    </row>
    <row r="80" spans="2:5">
      <c r="B80" s="30">
        <v>45909</v>
      </c>
      <c r="C80" s="34">
        <v>76</v>
      </c>
      <c r="D80" s="34">
        <v>99</v>
      </c>
      <c r="E80" s="35">
        <v>19</v>
      </c>
    </row>
    <row r="81" spans="2:5">
      <c r="B81" s="14">
        <v>45910</v>
      </c>
      <c r="C81" s="54">
        <v>77</v>
      </c>
      <c r="D81" s="54">
        <v>99</v>
      </c>
      <c r="E81" s="55">
        <v>19</v>
      </c>
    </row>
    <row r="82" spans="2:5">
      <c r="B82" s="14">
        <v>45911</v>
      </c>
      <c r="C82" s="54">
        <v>78</v>
      </c>
      <c r="D82" s="54">
        <v>99</v>
      </c>
      <c r="E82" s="55">
        <v>19</v>
      </c>
    </row>
    <row r="83" spans="2:5">
      <c r="B83" s="14">
        <v>45912</v>
      </c>
      <c r="C83" s="54">
        <v>79</v>
      </c>
      <c r="D83" s="54">
        <v>99</v>
      </c>
      <c r="E83" s="55">
        <v>19</v>
      </c>
    </row>
    <row r="84" spans="2:5">
      <c r="B84" s="14">
        <v>45913</v>
      </c>
      <c r="C84" s="54">
        <v>80</v>
      </c>
      <c r="D84" s="54">
        <v>99</v>
      </c>
      <c r="E84" s="55">
        <v>19</v>
      </c>
    </row>
    <row r="85" spans="2:5">
      <c r="B85" s="14">
        <v>45914</v>
      </c>
      <c r="C85" s="54">
        <v>81</v>
      </c>
      <c r="D85" s="54"/>
      <c r="E85" s="55"/>
    </row>
    <row r="86" spans="2:5">
      <c r="B86" s="14">
        <v>45915</v>
      </c>
      <c r="C86" s="54">
        <v>82</v>
      </c>
      <c r="D86" s="54">
        <v>99</v>
      </c>
      <c r="E86" s="55">
        <v>18.7</v>
      </c>
    </row>
    <row r="87" spans="2:5">
      <c r="B87" s="14">
        <v>45916</v>
      </c>
      <c r="C87" s="54">
        <v>83</v>
      </c>
      <c r="D87" s="54">
        <v>99</v>
      </c>
      <c r="E87" s="55">
        <v>18.8</v>
      </c>
    </row>
    <row r="88" spans="2:5">
      <c r="B88" s="14">
        <v>45917</v>
      </c>
      <c r="C88" s="54">
        <v>84</v>
      </c>
      <c r="D88" s="54">
        <v>99</v>
      </c>
      <c r="E88" s="55">
        <v>19</v>
      </c>
    </row>
    <row r="89" spans="2:5">
      <c r="B89" s="14">
        <v>45918</v>
      </c>
      <c r="C89" s="54">
        <v>85</v>
      </c>
      <c r="D89" s="54">
        <v>99</v>
      </c>
      <c r="E89" s="55">
        <v>18.600000000000001</v>
      </c>
    </row>
    <row r="90" spans="2:5">
      <c r="B90" s="14">
        <v>45919</v>
      </c>
      <c r="C90" s="54">
        <v>86</v>
      </c>
      <c r="D90" s="54">
        <v>99</v>
      </c>
      <c r="E90" s="55">
        <v>19</v>
      </c>
    </row>
    <row r="91" spans="2:5">
      <c r="B91" s="14">
        <v>45920</v>
      </c>
      <c r="C91" s="54">
        <v>87</v>
      </c>
      <c r="D91" s="54">
        <v>99</v>
      </c>
      <c r="E91" s="55">
        <v>19</v>
      </c>
    </row>
    <row r="92" spans="2:5">
      <c r="B92" s="14">
        <v>45921</v>
      </c>
      <c r="C92" s="54">
        <v>88</v>
      </c>
      <c r="D92" s="54"/>
      <c r="E92" s="55"/>
    </row>
    <row r="93" spans="2:5">
      <c r="B93" s="14">
        <v>45922</v>
      </c>
      <c r="C93" s="54">
        <v>89</v>
      </c>
      <c r="D93" s="54">
        <v>99</v>
      </c>
      <c r="E93" s="55">
        <v>18.7</v>
      </c>
    </row>
    <row r="94" spans="2:5">
      <c r="B94" s="14">
        <v>45923</v>
      </c>
      <c r="C94" s="54">
        <v>90</v>
      </c>
      <c r="D94" s="54">
        <v>99</v>
      </c>
      <c r="E94" s="55">
        <v>18.7</v>
      </c>
    </row>
    <row r="95" spans="2:5">
      <c r="B95" s="14">
        <v>45924</v>
      </c>
      <c r="C95" s="54">
        <v>91</v>
      </c>
      <c r="D95" s="54">
        <v>99</v>
      </c>
      <c r="E95" s="55">
        <v>19</v>
      </c>
    </row>
    <row r="96" spans="2:5">
      <c r="B96" s="14">
        <v>45925</v>
      </c>
      <c r="C96" s="54">
        <v>92</v>
      </c>
      <c r="D96" s="54">
        <v>99</v>
      </c>
      <c r="E96" s="55">
        <v>19</v>
      </c>
    </row>
    <row r="97" spans="2:5">
      <c r="B97" s="14">
        <v>45926</v>
      </c>
      <c r="C97" s="54">
        <v>93</v>
      </c>
      <c r="D97" s="54">
        <v>99</v>
      </c>
      <c r="E97" s="55">
        <v>19</v>
      </c>
    </row>
    <row r="98" spans="2:5">
      <c r="B98" s="14">
        <v>45927</v>
      </c>
      <c r="C98" s="54">
        <v>94</v>
      </c>
      <c r="D98" s="54">
        <v>99</v>
      </c>
      <c r="E98" s="55">
        <v>18.7</v>
      </c>
    </row>
    <row r="99" spans="2:5">
      <c r="B99" s="14">
        <v>45928</v>
      </c>
      <c r="C99" s="54">
        <v>95</v>
      </c>
      <c r="D99" s="54"/>
      <c r="E99" s="55"/>
    </row>
    <row r="100" spans="2:5">
      <c r="B100" s="30">
        <v>45929</v>
      </c>
      <c r="C100" s="34">
        <v>96</v>
      </c>
      <c r="D100" s="34">
        <v>99</v>
      </c>
      <c r="E100" s="35">
        <v>19</v>
      </c>
    </row>
    <row r="101" spans="2:5">
      <c r="B101" s="14">
        <v>45930</v>
      </c>
      <c r="C101" s="54">
        <v>97</v>
      </c>
      <c r="D101" s="54">
        <v>99</v>
      </c>
      <c r="E101" s="55">
        <v>19</v>
      </c>
    </row>
    <row r="102" spans="2:5">
      <c r="B102" s="14">
        <v>45931</v>
      </c>
      <c r="C102" s="54">
        <v>98</v>
      </c>
      <c r="D102" s="54">
        <v>99</v>
      </c>
      <c r="E102" s="55">
        <v>18.7</v>
      </c>
    </row>
    <row r="103" spans="2:5">
      <c r="B103" s="14">
        <v>45932</v>
      </c>
      <c r="C103" s="54">
        <v>99</v>
      </c>
      <c r="D103" s="54">
        <v>99</v>
      </c>
      <c r="E103" s="55">
        <v>18.7</v>
      </c>
    </row>
    <row r="104" spans="2:5">
      <c r="B104" s="14">
        <v>45933</v>
      </c>
      <c r="C104" s="54">
        <v>100</v>
      </c>
      <c r="D104" s="54">
        <v>99</v>
      </c>
      <c r="E104" s="55">
        <v>18.7</v>
      </c>
    </row>
    <row r="105" spans="2:5">
      <c r="B105" s="30">
        <v>45934</v>
      </c>
      <c r="C105" s="34">
        <v>101</v>
      </c>
      <c r="D105" s="34">
        <v>99</v>
      </c>
      <c r="E105" s="35">
        <v>19</v>
      </c>
    </row>
    <row r="106" spans="2:5">
      <c r="B106" s="14">
        <v>45935</v>
      </c>
      <c r="C106" s="54">
        <v>102</v>
      </c>
      <c r="D106" s="54"/>
      <c r="E106" s="55"/>
    </row>
    <row r="107" spans="2:5">
      <c r="B107" s="14">
        <v>45936</v>
      </c>
      <c r="C107" s="54">
        <v>103</v>
      </c>
      <c r="D107" s="54">
        <v>99</v>
      </c>
      <c r="E107" s="55">
        <v>19</v>
      </c>
    </row>
    <row r="108" spans="2:5">
      <c r="B108" s="14">
        <v>45937</v>
      </c>
      <c r="C108" s="54">
        <v>104</v>
      </c>
      <c r="D108" s="54">
        <v>99</v>
      </c>
      <c r="E108" s="55">
        <v>18.7</v>
      </c>
    </row>
    <row r="109" spans="2:5">
      <c r="B109" s="14">
        <v>45938</v>
      </c>
      <c r="C109" s="54">
        <v>105</v>
      </c>
      <c r="D109" s="54">
        <v>99</v>
      </c>
      <c r="E109" s="55">
        <v>18.7</v>
      </c>
    </row>
    <row r="110" spans="2:5">
      <c r="B110" s="14">
        <v>45939</v>
      </c>
      <c r="C110" s="54">
        <v>106</v>
      </c>
      <c r="D110" s="54">
        <v>99</v>
      </c>
      <c r="E110" s="55">
        <v>19</v>
      </c>
    </row>
    <row r="111" spans="2:5">
      <c r="B111" s="14">
        <v>45940</v>
      </c>
      <c r="C111" s="54">
        <v>107</v>
      </c>
      <c r="D111" s="54">
        <v>99</v>
      </c>
      <c r="E111" s="55">
        <v>19</v>
      </c>
    </row>
    <row r="112" spans="2:5">
      <c r="B112" s="14">
        <v>45941</v>
      </c>
      <c r="C112" s="54">
        <v>108</v>
      </c>
      <c r="D112" s="54">
        <v>99</v>
      </c>
      <c r="E112" s="55">
        <v>19</v>
      </c>
    </row>
    <row r="113" spans="2:5">
      <c r="B113" s="14">
        <v>45942</v>
      </c>
      <c r="C113" s="54">
        <v>109</v>
      </c>
      <c r="D113" s="54"/>
      <c r="E113" s="55"/>
    </row>
    <row r="114" spans="2:5">
      <c r="B114" s="14">
        <v>45943</v>
      </c>
      <c r="C114" s="54">
        <v>110</v>
      </c>
      <c r="D114" s="54">
        <v>99</v>
      </c>
      <c r="E114" s="55">
        <v>18.7</v>
      </c>
    </row>
    <row r="115" spans="2:5">
      <c r="B115" s="14">
        <v>45944</v>
      </c>
      <c r="C115" s="54">
        <v>111</v>
      </c>
      <c r="D115" s="54">
        <v>99</v>
      </c>
      <c r="E115" s="55">
        <v>18.7</v>
      </c>
    </row>
    <row r="116" spans="2:5">
      <c r="B116" s="14">
        <v>45945</v>
      </c>
      <c r="C116" s="54">
        <v>112</v>
      </c>
      <c r="D116" s="54">
        <v>99</v>
      </c>
      <c r="E116" s="55">
        <v>19</v>
      </c>
    </row>
    <row r="117" spans="2:5">
      <c r="B117" s="14">
        <v>45946</v>
      </c>
      <c r="C117" s="54">
        <v>113</v>
      </c>
      <c r="D117" s="54">
        <v>99</v>
      </c>
      <c r="E117" s="55">
        <v>18.7</v>
      </c>
    </row>
    <row r="118" spans="2:5">
      <c r="B118" s="14">
        <v>45947</v>
      </c>
      <c r="C118" s="54">
        <v>114</v>
      </c>
      <c r="D118" s="54">
        <v>99</v>
      </c>
      <c r="E118" s="55">
        <v>18.7</v>
      </c>
    </row>
    <row r="119" spans="2:5">
      <c r="B119" s="14">
        <v>45948</v>
      </c>
      <c r="C119" s="54">
        <v>115</v>
      </c>
      <c r="D119" s="54">
        <v>99</v>
      </c>
      <c r="E119" s="55">
        <v>19</v>
      </c>
    </row>
    <row r="120" spans="2:5">
      <c r="B120" s="14">
        <v>45949</v>
      </c>
      <c r="C120" s="54">
        <v>116</v>
      </c>
      <c r="D120" s="54"/>
      <c r="E120" s="55"/>
    </row>
    <row r="121" spans="2:5">
      <c r="B121" s="14">
        <v>45950</v>
      </c>
      <c r="C121" s="54">
        <v>117</v>
      </c>
      <c r="D121" s="54">
        <v>99</v>
      </c>
      <c r="E121" s="55">
        <v>19</v>
      </c>
    </row>
    <row r="122" spans="2:5">
      <c r="B122" s="14">
        <v>45951</v>
      </c>
      <c r="C122" s="54">
        <v>118</v>
      </c>
      <c r="D122" s="54">
        <v>99</v>
      </c>
      <c r="E122" s="55">
        <v>18.7</v>
      </c>
    </row>
    <row r="123" spans="2:5">
      <c r="B123" s="14">
        <v>45952</v>
      </c>
      <c r="C123" s="54">
        <v>119</v>
      </c>
      <c r="D123" s="54">
        <v>99</v>
      </c>
      <c r="E123" s="55">
        <v>19</v>
      </c>
    </row>
    <row r="124" spans="2:5">
      <c r="B124" s="14">
        <v>45953</v>
      </c>
      <c r="C124" s="54">
        <v>120</v>
      </c>
      <c r="D124" s="54">
        <v>99</v>
      </c>
      <c r="E124" s="55">
        <v>19</v>
      </c>
    </row>
    <row r="125" spans="2:5">
      <c r="B125" s="14">
        <v>45954</v>
      </c>
      <c r="C125" s="54">
        <v>121</v>
      </c>
      <c r="D125" s="54">
        <v>99</v>
      </c>
      <c r="E125" s="55">
        <v>18.7</v>
      </c>
    </row>
    <row r="126" spans="2:5">
      <c r="B126" s="14">
        <v>45955</v>
      </c>
      <c r="C126" s="54">
        <v>122</v>
      </c>
      <c r="D126" s="54">
        <v>99</v>
      </c>
      <c r="E126" s="55">
        <v>19</v>
      </c>
    </row>
    <row r="127" spans="2:5">
      <c r="B127" s="14">
        <v>45956</v>
      </c>
      <c r="C127" s="54">
        <v>123</v>
      </c>
      <c r="D127" s="54"/>
      <c r="E127" s="55"/>
    </row>
    <row r="128" spans="2:5">
      <c r="B128" s="14">
        <v>45957</v>
      </c>
      <c r="C128" s="54">
        <v>124</v>
      </c>
      <c r="D128" s="54">
        <v>99</v>
      </c>
      <c r="E128" s="55">
        <v>18.7</v>
      </c>
    </row>
    <row r="129" spans="2:5">
      <c r="B129" s="14">
        <v>45958</v>
      </c>
      <c r="C129" s="54">
        <v>125</v>
      </c>
      <c r="D129" s="54">
        <v>99</v>
      </c>
      <c r="E129" s="55">
        <v>18.7</v>
      </c>
    </row>
    <row r="130" spans="2:5" ht="14.45" thickBot="1">
      <c r="B130" s="31">
        <v>45959</v>
      </c>
      <c r="C130" s="36">
        <v>126</v>
      </c>
      <c r="D130" s="36">
        <v>99</v>
      </c>
      <c r="E130" s="37">
        <v>18.7</v>
      </c>
    </row>
    <row r="131" spans="2:5">
      <c r="B131" s="15"/>
      <c r="C131" s="120"/>
      <c r="D131" s="120"/>
      <c r="E131" s="120"/>
    </row>
    <row r="132" spans="2:5">
      <c r="B132" s="15"/>
      <c r="C132" s="120"/>
      <c r="D132" s="120"/>
      <c r="E132" s="120"/>
    </row>
    <row r="133" spans="2:5">
      <c r="B133" s="15"/>
      <c r="C133" s="120"/>
      <c r="D133" s="120"/>
      <c r="E133" s="120"/>
    </row>
    <row r="134" spans="2:5">
      <c r="B134" s="15"/>
      <c r="C134" s="120"/>
      <c r="D134" s="120"/>
      <c r="E134" s="120"/>
    </row>
    <row r="135" spans="2:5">
      <c r="B135" s="15"/>
      <c r="C135" s="120"/>
      <c r="D135" s="120"/>
      <c r="E135" s="120"/>
    </row>
    <row r="136" spans="2:5">
      <c r="B136" s="15"/>
      <c r="C136" s="120"/>
      <c r="D136" s="120"/>
      <c r="E136" s="120"/>
    </row>
    <row r="137" spans="2:5">
      <c r="B137" s="15"/>
      <c r="C137" s="120"/>
      <c r="D137" s="120"/>
      <c r="E137" s="120"/>
    </row>
    <row r="138" spans="2:5">
      <c r="B138" s="15"/>
      <c r="C138" s="120"/>
      <c r="D138" s="120"/>
      <c r="E138" s="120"/>
    </row>
    <row r="139" spans="2:5">
      <c r="B139" s="15"/>
      <c r="C139" s="120"/>
      <c r="D139" s="120"/>
      <c r="E139" s="120"/>
    </row>
    <row r="140" spans="2:5">
      <c r="B140" s="15"/>
      <c r="C140" s="120"/>
      <c r="D140" s="120"/>
      <c r="E140" s="120"/>
    </row>
  </sheetData>
  <mergeCells count="1">
    <mergeCell ref="G4:I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santiago madero</dc:creator>
  <cp:keywords/>
  <dc:description/>
  <cp:lastModifiedBy/>
  <cp:revision/>
  <dcterms:created xsi:type="dcterms:W3CDTF">2025-06-18T00:38:51Z</dcterms:created>
  <dcterms:modified xsi:type="dcterms:W3CDTF">2026-06-19T02:04:30Z</dcterms:modified>
  <cp:category/>
  <cp:contentStatus/>
</cp:coreProperties>
</file>