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c2f287d91ad98d47/Escritorio/"/>
    </mc:Choice>
  </mc:AlternateContent>
  <xr:revisionPtr revIDLastSave="29" documentId="13_ncr:1_{BF7529FB-DFBF-4F8E-B04A-3B49FEC7A206}" xr6:coauthVersionLast="47" xr6:coauthVersionMax="47" xr10:uidLastSave="{395D851E-52BC-4C1F-BC9E-AD2049CD6DDD}"/>
  <bookViews>
    <workbookView xWindow="-110" yWindow="-110" windowWidth="19420" windowHeight="10300" firstSheet="8" activeTab="11" xr2:uid="{00000000-000D-0000-FFFF-FFFF00000000}"/>
  </bookViews>
  <sheets>
    <sheet name="Indice" sheetId="1" r:id="rId1"/>
    <sheet name="Definición de Precio  " sheetId="12" r:id="rId2"/>
    <sheet name="Proyección de ventas" sheetId="14" r:id="rId3"/>
    <sheet name="Nómina" sheetId="10" r:id="rId4"/>
    <sheet name="Gastos" sheetId="2" r:id="rId5"/>
    <sheet name="Costos" sheetId="3" r:id="rId6"/>
    <sheet name="Inversión y Activos Fijos" sheetId="15" r:id="rId7"/>
    <sheet name="Flujo de Efectivo-Rentabilidad " sheetId="19" r:id="rId8"/>
    <sheet name="Flujo de caja" sheetId="16" r:id="rId9"/>
    <sheet name="Inflación" sheetId="8" r:id="rId10"/>
    <sheet name="Riesgo" sheetId="9" r:id="rId11"/>
    <sheet name="Punto de equilibrio" sheetId="18" r:id="rId12"/>
  </sheets>
  <definedNames>
    <definedName name="_xlnm._FilterDatabase" localSheetId="3" hidden="1">Nómina!$B$5:$I$8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2" l="1"/>
  <c r="D6" i="12"/>
  <c r="C4" i="9"/>
  <c r="C5" i="16"/>
  <c r="C6" i="16"/>
  <c r="C7" i="16"/>
  <c r="C4" i="16"/>
  <c r="C31" i="3"/>
  <c r="D16" i="19"/>
  <c r="E16" i="19" s="1"/>
  <c r="F16" i="19" s="1"/>
  <c r="G16" i="19" s="1"/>
  <c r="H16" i="19" s="1"/>
  <c r="D24" i="8"/>
  <c r="E24" i="8"/>
  <c r="F24" i="8"/>
  <c r="G24" i="8"/>
  <c r="H24" i="8"/>
  <c r="E23" i="8"/>
  <c r="F23" i="8"/>
  <c r="G23" i="8" s="1"/>
  <c r="H23" i="8" s="1"/>
  <c r="D23" i="8"/>
  <c r="C20" i="8"/>
  <c r="I10" i="8"/>
  <c r="H17" i="8"/>
  <c r="G17" i="8"/>
  <c r="F17" i="8"/>
  <c r="E17" i="8"/>
  <c r="D17" i="8"/>
  <c r="D8" i="18"/>
  <c r="C11" i="18"/>
  <c r="C13" i="18" s="1"/>
  <c r="I10" i="12"/>
  <c r="C8" i="18" s="1"/>
  <c r="C19" i="18" l="1"/>
  <c r="E32" i="12" l="1"/>
  <c r="E31" i="12"/>
  <c r="C31" i="12"/>
  <c r="B31" i="12"/>
  <c r="B24" i="12"/>
  <c r="B30" i="12"/>
  <c r="B29" i="12"/>
  <c r="B28" i="12"/>
  <c r="B23" i="12"/>
  <c r="B22" i="12"/>
  <c r="B21" i="12"/>
  <c r="B17" i="12"/>
  <c r="B16" i="12"/>
  <c r="B15" i="12"/>
  <c r="E25" i="12"/>
  <c r="E24" i="12"/>
  <c r="C24" i="12"/>
  <c r="E10" i="12"/>
  <c r="G9" i="12" s="1"/>
  <c r="D37" i="2" l="1"/>
  <c r="C12" i="15"/>
  <c r="C22" i="16" s="1"/>
  <c r="C21" i="16"/>
  <c r="C18" i="2"/>
  <c r="D33" i="2"/>
  <c r="D34" i="2"/>
  <c r="D32" i="2"/>
  <c r="G8" i="10"/>
  <c r="F7" i="10"/>
  <c r="J7" i="10" s="1"/>
  <c r="F6" i="10"/>
  <c r="J6" i="10" s="1"/>
  <c r="C14" i="10" l="1"/>
  <c r="J8" i="10"/>
  <c r="H7" i="10"/>
  <c r="H6" i="10"/>
  <c r="I6" i="10"/>
  <c r="K6" i="10" s="1"/>
  <c r="I7" i="10"/>
  <c r="K7" i="10" s="1"/>
  <c r="K8" i="10" l="1"/>
  <c r="C12" i="10"/>
  <c r="C11" i="10"/>
  <c r="L6" i="10"/>
  <c r="L7" i="10"/>
  <c r="C13" i="10" l="1"/>
  <c r="C15" i="10" s="1"/>
  <c r="C7" i="2" s="1"/>
  <c r="L8" i="10"/>
  <c r="C17" i="10" l="1"/>
  <c r="D9" i="3"/>
  <c r="B6" i="14" l="1"/>
  <c r="I22" i="14" s="1"/>
  <c r="J62" i="14"/>
  <c r="J80" i="14"/>
  <c r="E62" i="14"/>
  <c r="F62" i="14"/>
  <c r="I62" i="14"/>
  <c r="J63" i="14"/>
  <c r="J64" i="14"/>
  <c r="J65" i="14"/>
  <c r="J66" i="14"/>
  <c r="J67" i="14"/>
  <c r="J68" i="14"/>
  <c r="J69" i="14"/>
  <c r="J70" i="14"/>
  <c r="J71" i="14"/>
  <c r="J72" i="14"/>
  <c r="J73" i="14"/>
  <c r="J81" i="14"/>
  <c r="J82" i="14"/>
  <c r="J83" i="14"/>
  <c r="J84" i="14"/>
  <c r="J85" i="14"/>
  <c r="J86" i="14"/>
  <c r="J87" i="14"/>
  <c r="J88" i="14"/>
  <c r="J89" i="14"/>
  <c r="J90" i="14"/>
  <c r="J91" i="14"/>
  <c r="C110" i="14"/>
  <c r="J109" i="14"/>
  <c r="I109" i="14"/>
  <c r="G109" i="14"/>
  <c r="F109" i="14"/>
  <c r="E109" i="14"/>
  <c r="J108" i="14"/>
  <c r="I108" i="14"/>
  <c r="G108" i="14"/>
  <c r="F108" i="14"/>
  <c r="E108" i="14"/>
  <c r="J107" i="14"/>
  <c r="I107" i="14"/>
  <c r="G107" i="14"/>
  <c r="F107" i="14"/>
  <c r="E107" i="14"/>
  <c r="J106" i="14"/>
  <c r="I106" i="14"/>
  <c r="G106" i="14"/>
  <c r="F106" i="14"/>
  <c r="E106" i="14"/>
  <c r="J105" i="14"/>
  <c r="I105" i="14"/>
  <c r="G105" i="14"/>
  <c r="F105" i="14"/>
  <c r="E105" i="14"/>
  <c r="J104" i="14"/>
  <c r="I104" i="14"/>
  <c r="K104" i="14" s="1"/>
  <c r="G104" i="14"/>
  <c r="F104" i="14"/>
  <c r="E104" i="14"/>
  <c r="J103" i="14"/>
  <c r="I103" i="14"/>
  <c r="G103" i="14"/>
  <c r="F103" i="14"/>
  <c r="E103" i="14"/>
  <c r="J102" i="14"/>
  <c r="I102" i="14"/>
  <c r="G102" i="14"/>
  <c r="F102" i="14"/>
  <c r="E102" i="14"/>
  <c r="J101" i="14"/>
  <c r="I101" i="14"/>
  <c r="G101" i="14"/>
  <c r="F101" i="14"/>
  <c r="E101" i="14"/>
  <c r="J100" i="14"/>
  <c r="I100" i="14"/>
  <c r="G100" i="14"/>
  <c r="F100" i="14"/>
  <c r="E100" i="14"/>
  <c r="J99" i="14"/>
  <c r="I99" i="14"/>
  <c r="G99" i="14"/>
  <c r="F99" i="14"/>
  <c r="E99" i="14"/>
  <c r="J98" i="14"/>
  <c r="I98" i="14"/>
  <c r="G98" i="14"/>
  <c r="F98" i="14"/>
  <c r="E98" i="14"/>
  <c r="C92" i="14"/>
  <c r="I91" i="14"/>
  <c r="G91" i="14"/>
  <c r="F91" i="14"/>
  <c r="E91" i="14"/>
  <c r="I90" i="14"/>
  <c r="G90" i="14"/>
  <c r="F90" i="14"/>
  <c r="E90" i="14"/>
  <c r="I89" i="14"/>
  <c r="G89" i="14"/>
  <c r="F89" i="14"/>
  <c r="E89" i="14"/>
  <c r="I88" i="14"/>
  <c r="G88" i="14"/>
  <c r="F88" i="14"/>
  <c r="E88" i="14"/>
  <c r="I87" i="14"/>
  <c r="G87" i="14"/>
  <c r="F87" i="14"/>
  <c r="E87" i="14"/>
  <c r="I86" i="14"/>
  <c r="K86" i="14" s="1"/>
  <c r="G86" i="14"/>
  <c r="F86" i="14"/>
  <c r="E86" i="14"/>
  <c r="I85" i="14"/>
  <c r="G85" i="14"/>
  <c r="F85" i="14"/>
  <c r="E85" i="14"/>
  <c r="I84" i="14"/>
  <c r="G84" i="14"/>
  <c r="F84" i="14"/>
  <c r="E84" i="14"/>
  <c r="I83" i="14"/>
  <c r="G83" i="14"/>
  <c r="F83" i="14"/>
  <c r="E83" i="14"/>
  <c r="I82" i="14"/>
  <c r="G82" i="14"/>
  <c r="F82" i="14"/>
  <c r="E82" i="14"/>
  <c r="I81" i="14"/>
  <c r="G81" i="14"/>
  <c r="F81" i="14"/>
  <c r="E81" i="14"/>
  <c r="I80" i="14"/>
  <c r="G80" i="14"/>
  <c r="F80" i="14"/>
  <c r="E80" i="14"/>
  <c r="I63" i="14"/>
  <c r="I64" i="14"/>
  <c r="I65" i="14"/>
  <c r="I66" i="14"/>
  <c r="I67" i="14"/>
  <c r="I68" i="14"/>
  <c r="I69" i="14"/>
  <c r="I70" i="14"/>
  <c r="I71" i="14"/>
  <c r="I72" i="14"/>
  <c r="I73" i="14"/>
  <c r="F63" i="14"/>
  <c r="F64" i="14"/>
  <c r="F65" i="14"/>
  <c r="F66" i="14"/>
  <c r="F67" i="14"/>
  <c r="F68" i="14"/>
  <c r="F69" i="14"/>
  <c r="F70" i="14"/>
  <c r="F71" i="14"/>
  <c r="F72" i="14"/>
  <c r="F73" i="14"/>
  <c r="E63" i="14"/>
  <c r="C7" i="14"/>
  <c r="C15" i="14" s="1"/>
  <c r="C23" i="14" s="1"/>
  <c r="C31" i="14" s="1"/>
  <c r="C39" i="14" s="1"/>
  <c r="C6" i="14"/>
  <c r="C14" i="14" s="1"/>
  <c r="C22" i="14" s="1"/>
  <c r="C30" i="14" s="1"/>
  <c r="C38" i="14" s="1"/>
  <c r="C5" i="14"/>
  <c r="C13" i="14" s="1"/>
  <c r="D22" i="15"/>
  <c r="E22" i="15" s="1"/>
  <c r="D21" i="15"/>
  <c r="E21" i="15" s="1"/>
  <c r="D20" i="15"/>
  <c r="E20" i="15" s="1"/>
  <c r="D19" i="15"/>
  <c r="E19" i="15" s="1"/>
  <c r="D18" i="15"/>
  <c r="D17" i="15"/>
  <c r="E17" i="15" s="1"/>
  <c r="D12" i="15"/>
  <c r="E18" i="15"/>
  <c r="G73" i="14"/>
  <c r="G72" i="14"/>
  <c r="G71" i="14"/>
  <c r="G70" i="14"/>
  <c r="G69" i="14"/>
  <c r="G68" i="14"/>
  <c r="C74" i="14"/>
  <c r="G67" i="14"/>
  <c r="E73" i="14"/>
  <c r="G66" i="14"/>
  <c r="E72" i="14"/>
  <c r="G65" i="14"/>
  <c r="E71" i="14"/>
  <c r="G64" i="14"/>
  <c r="E70" i="14"/>
  <c r="G63" i="14"/>
  <c r="E69" i="14"/>
  <c r="G62" i="14"/>
  <c r="E68" i="14"/>
  <c r="E67" i="14"/>
  <c r="E66" i="14"/>
  <c r="E65" i="14"/>
  <c r="E64" i="14"/>
  <c r="J7" i="14"/>
  <c r="K7" i="14" s="1"/>
  <c r="D7" i="14" s="1"/>
  <c r="J6" i="14"/>
  <c r="J10" i="14" s="1"/>
  <c r="J5" i="14"/>
  <c r="K5" i="14" s="1"/>
  <c r="D5" i="14" s="1"/>
  <c r="B5" i="14"/>
  <c r="B13" i="14" s="1"/>
  <c r="E17" i="12"/>
  <c r="E16" i="12"/>
  <c r="E15" i="12"/>
  <c r="D14" i="12"/>
  <c r="D8" i="12"/>
  <c r="C17" i="12" s="1"/>
  <c r="D7" i="12"/>
  <c r="C16" i="12" s="1"/>
  <c r="C22" i="12" s="1"/>
  <c r="C29" i="12" s="1"/>
  <c r="C15" i="12"/>
  <c r="C21" i="12" s="1"/>
  <c r="C28" i="12" s="1"/>
  <c r="F8" i="10"/>
  <c r="C23" i="2"/>
  <c r="B6" i="19" l="1"/>
  <c r="D6" i="19" s="1"/>
  <c r="F6" i="19" s="1"/>
  <c r="E12" i="15"/>
  <c r="B8" i="19"/>
  <c r="D8" i="19" s="1"/>
  <c r="C20" i="16"/>
  <c r="B22" i="14"/>
  <c r="B30" i="14" s="1"/>
  <c r="B38" i="14" s="1"/>
  <c r="B23" i="14"/>
  <c r="B31" i="14" s="1"/>
  <c r="B39" i="14" s="1"/>
  <c r="F17" i="12"/>
  <c r="E23" i="12" s="1"/>
  <c r="E30" i="12" s="1"/>
  <c r="C23" i="12"/>
  <c r="C30" i="12" s="1"/>
  <c r="B21" i="14"/>
  <c r="B29" i="14" s="1"/>
  <c r="B37" i="14" s="1"/>
  <c r="K87" i="14"/>
  <c r="K84" i="14"/>
  <c r="B7" i="14"/>
  <c r="I23" i="14" s="1"/>
  <c r="D23" i="2"/>
  <c r="H8" i="10"/>
  <c r="C6" i="2" s="1"/>
  <c r="C9" i="2" s="1"/>
  <c r="I8" i="10"/>
  <c r="K106" i="14"/>
  <c r="K66" i="14"/>
  <c r="H85" i="14"/>
  <c r="H87" i="14"/>
  <c r="K83" i="14"/>
  <c r="K91" i="14"/>
  <c r="H64" i="14"/>
  <c r="K100" i="14"/>
  <c r="K108" i="14"/>
  <c r="H84" i="14"/>
  <c r="H88" i="14"/>
  <c r="H101" i="14"/>
  <c r="H109" i="14"/>
  <c r="K64" i="14"/>
  <c r="K99" i="14"/>
  <c r="F74" i="14"/>
  <c r="H66" i="14"/>
  <c r="K73" i="14"/>
  <c r="C8" i="14"/>
  <c r="H63" i="14"/>
  <c r="K89" i="14"/>
  <c r="K107" i="14"/>
  <c r="H91" i="14"/>
  <c r="H99" i="14"/>
  <c r="H102" i="14"/>
  <c r="K103" i="14"/>
  <c r="H105" i="14"/>
  <c r="K62" i="14"/>
  <c r="E92" i="14"/>
  <c r="H70" i="14"/>
  <c r="H62" i="14"/>
  <c r="H83" i="14"/>
  <c r="H100" i="14"/>
  <c r="H68" i="14"/>
  <c r="H71" i="14"/>
  <c r="K67" i="14"/>
  <c r="I92" i="14"/>
  <c r="H86" i="14"/>
  <c r="K102" i="14"/>
  <c r="K105" i="14"/>
  <c r="F110" i="14"/>
  <c r="H69" i="14"/>
  <c r="H104" i="14"/>
  <c r="H107" i="14"/>
  <c r="K85" i="14"/>
  <c r="H89" i="14"/>
  <c r="K98" i="14"/>
  <c r="F92" i="14"/>
  <c r="H82" i="14"/>
  <c r="K101" i="14"/>
  <c r="H103" i="14"/>
  <c r="K90" i="14"/>
  <c r="K82" i="14"/>
  <c r="H106" i="14"/>
  <c r="K81" i="14"/>
  <c r="K72" i="14"/>
  <c r="H81" i="14"/>
  <c r="H90" i="14"/>
  <c r="H108" i="14"/>
  <c r="K109" i="14"/>
  <c r="K88" i="14"/>
  <c r="E110" i="14"/>
  <c r="I110" i="14"/>
  <c r="H98" i="14"/>
  <c r="H72" i="14"/>
  <c r="H65" i="14"/>
  <c r="K63" i="14"/>
  <c r="K69" i="14"/>
  <c r="I74" i="14"/>
  <c r="H67" i="14"/>
  <c r="H80" i="14"/>
  <c r="K80" i="14"/>
  <c r="K68" i="14"/>
  <c r="K70" i="14"/>
  <c r="K65" i="14"/>
  <c r="K71" i="14"/>
  <c r="H73" i="14"/>
  <c r="C16" i="14"/>
  <c r="I14" i="14"/>
  <c r="E74" i="14"/>
  <c r="I18" i="14"/>
  <c r="E23" i="15"/>
  <c r="F15" i="12"/>
  <c r="E21" i="12" s="1"/>
  <c r="E28" i="12" s="1"/>
  <c r="J8" i="14"/>
  <c r="J11" i="14"/>
  <c r="K11" i="14" s="1"/>
  <c r="D15" i="14" s="1"/>
  <c r="K10" i="14"/>
  <c r="D14" i="14" s="1"/>
  <c r="J14" i="14"/>
  <c r="J18" i="14" s="1"/>
  <c r="J22" i="14" s="1"/>
  <c r="K22" i="14" s="1"/>
  <c r="D38" i="14" s="1"/>
  <c r="F16" i="12"/>
  <c r="K6" i="14"/>
  <c r="D6" i="14" s="1"/>
  <c r="D38" i="2"/>
  <c r="I9" i="14"/>
  <c r="J9" i="14"/>
  <c r="C21" i="14"/>
  <c r="I6" i="14"/>
  <c r="I5" i="14"/>
  <c r="I10" i="14"/>
  <c r="I21" i="14"/>
  <c r="I13" i="14"/>
  <c r="I17" i="14"/>
  <c r="B14" i="14"/>
  <c r="F8" i="19" l="1"/>
  <c r="H19" i="19" s="1"/>
  <c r="H23" i="19" s="1"/>
  <c r="D23" i="3"/>
  <c r="D26" i="3" s="1"/>
  <c r="E26" i="3" s="1"/>
  <c r="D19" i="19"/>
  <c r="D23" i="19" s="1"/>
  <c r="C23" i="16"/>
  <c r="C25" i="19"/>
  <c r="C26" i="19" s="1"/>
  <c r="C5" i="8"/>
  <c r="C9" i="8" s="1"/>
  <c r="C5" i="9"/>
  <c r="B15" i="14"/>
  <c r="I15" i="14"/>
  <c r="I19" i="14"/>
  <c r="I7" i="14"/>
  <c r="I11" i="14"/>
  <c r="D9" i="2"/>
  <c r="D14" i="16" s="1"/>
  <c r="C25" i="2"/>
  <c r="G8" i="12" s="1"/>
  <c r="F7" i="14" s="1"/>
  <c r="F15" i="14" s="1"/>
  <c r="F23" i="14" s="1"/>
  <c r="F31" i="14" s="1"/>
  <c r="F39" i="14" s="1"/>
  <c r="D8" i="3"/>
  <c r="D10" i="3" s="1"/>
  <c r="K92" i="14"/>
  <c r="H92" i="14"/>
  <c r="K110" i="14"/>
  <c r="H110" i="14"/>
  <c r="H74" i="14"/>
  <c r="K74" i="14"/>
  <c r="K14" i="14"/>
  <c r="D22" i="14" s="1"/>
  <c r="J15" i="14"/>
  <c r="K15" i="14" s="1"/>
  <c r="D23" i="14" s="1"/>
  <c r="K18" i="14"/>
  <c r="D30" i="14" s="1"/>
  <c r="F18" i="12"/>
  <c r="E22" i="12"/>
  <c r="K8" i="14"/>
  <c r="J13" i="14"/>
  <c r="J12" i="14"/>
  <c r="K9" i="14"/>
  <c r="D13" i="14" s="1"/>
  <c r="C24" i="14"/>
  <c r="C29" i="14"/>
  <c r="D15" i="16" l="1"/>
  <c r="F19" i="19"/>
  <c r="F23" i="19" s="1"/>
  <c r="G15" i="16"/>
  <c r="D28" i="3"/>
  <c r="F8" i="12" s="1"/>
  <c r="E7" i="14" s="1"/>
  <c r="E15" i="14" s="1"/>
  <c r="E23" i="14" s="1"/>
  <c r="E31" i="14" s="1"/>
  <c r="E39" i="14" s="1"/>
  <c r="G19" i="19"/>
  <c r="G23" i="19" s="1"/>
  <c r="F15" i="16"/>
  <c r="F19" i="16" s="1"/>
  <c r="C30" i="3"/>
  <c r="C9" i="18" s="1"/>
  <c r="C14" i="18" s="1"/>
  <c r="C15" i="18" s="1"/>
  <c r="H15" i="16"/>
  <c r="H19" i="16" s="1"/>
  <c r="E19" i="19"/>
  <c r="E23" i="19" s="1"/>
  <c r="E15" i="16"/>
  <c r="C10" i="18"/>
  <c r="D10" i="18" s="1"/>
  <c r="C16" i="9"/>
  <c r="C15" i="9"/>
  <c r="C14" i="9"/>
  <c r="C24" i="8"/>
  <c r="C13" i="8"/>
  <c r="C14" i="8" s="1"/>
  <c r="C17" i="8"/>
  <c r="C12" i="8"/>
  <c r="C15" i="8" s="1"/>
  <c r="G19" i="16"/>
  <c r="D19" i="16"/>
  <c r="E19" i="16"/>
  <c r="D12" i="16"/>
  <c r="E12" i="16" s="1"/>
  <c r="F12" i="16" s="1"/>
  <c r="G12" i="16" s="1"/>
  <c r="H12" i="16" s="1"/>
  <c r="D17" i="19"/>
  <c r="E29" i="12"/>
  <c r="G6" i="12"/>
  <c r="F5" i="14" s="1"/>
  <c r="F13" i="14" s="1"/>
  <c r="G7" i="12"/>
  <c r="F6" i="14" s="1"/>
  <c r="F14" i="14" s="1"/>
  <c r="F22" i="14" s="1"/>
  <c r="F30" i="14" s="1"/>
  <c r="F38" i="14" s="1"/>
  <c r="E14" i="16"/>
  <c r="F7" i="12"/>
  <c r="E6" i="14" s="1"/>
  <c r="E14" i="14" s="1"/>
  <c r="E22" i="14" s="1"/>
  <c r="E30" i="14" s="1"/>
  <c r="E38" i="14" s="1"/>
  <c r="E10" i="3"/>
  <c r="J19" i="14"/>
  <c r="J23" i="14" s="1"/>
  <c r="K12" i="14"/>
  <c r="I31" i="14" s="1"/>
  <c r="J31" i="14" s="1"/>
  <c r="K31" i="14" s="1"/>
  <c r="I30" i="14"/>
  <c r="J30" i="14" s="1"/>
  <c r="K30" i="14" s="1"/>
  <c r="D8" i="14"/>
  <c r="K13" i="14"/>
  <c r="D21" i="14" s="1"/>
  <c r="D24" i="14" s="1"/>
  <c r="J17" i="14"/>
  <c r="J21" i="14" s="1"/>
  <c r="J16" i="14"/>
  <c r="C32" i="14"/>
  <c r="C37" i="14"/>
  <c r="C40" i="14" s="1"/>
  <c r="K23" i="14"/>
  <c r="D39" i="14" s="1"/>
  <c r="K19" i="14"/>
  <c r="D31" i="14" s="1"/>
  <c r="F6" i="12" l="1"/>
  <c r="E5" i="14" s="1"/>
  <c r="E13" i="14" s="1"/>
  <c r="D9" i="18"/>
  <c r="F9" i="12"/>
  <c r="H9" i="12" s="1"/>
  <c r="J9" i="12" s="1"/>
  <c r="D13" i="16"/>
  <c r="E13" i="16" s="1"/>
  <c r="F13" i="16" s="1"/>
  <c r="G13" i="16" s="1"/>
  <c r="H13" i="16" s="1"/>
  <c r="D18" i="19"/>
  <c r="E18" i="19" s="1"/>
  <c r="F18" i="19" s="1"/>
  <c r="G18" i="19" s="1"/>
  <c r="H18" i="19" s="1"/>
  <c r="D26" i="18"/>
  <c r="D28" i="18"/>
  <c r="D27" i="18"/>
  <c r="D20" i="18"/>
  <c r="D21" i="18"/>
  <c r="D22" i="18"/>
  <c r="D23" i="18"/>
  <c r="D24" i="18"/>
  <c r="D25" i="18"/>
  <c r="D19" i="18"/>
  <c r="E19" i="18"/>
  <c r="F19" i="18" s="1"/>
  <c r="G19" i="18" s="1"/>
  <c r="D11" i="18"/>
  <c r="C21" i="8"/>
  <c r="C19" i="8"/>
  <c r="E17" i="19"/>
  <c r="D20" i="19"/>
  <c r="C6" i="9"/>
  <c r="C9" i="9" s="1"/>
  <c r="D11" i="16"/>
  <c r="E11" i="16" s="1"/>
  <c r="F11" i="16" s="1"/>
  <c r="G11" i="16" s="1"/>
  <c r="H11" i="16" s="1"/>
  <c r="F8" i="14"/>
  <c r="F14" i="16"/>
  <c r="E8" i="14"/>
  <c r="H7" i="12"/>
  <c r="J7" i="12" s="1"/>
  <c r="H6" i="12"/>
  <c r="D15" i="12" s="1"/>
  <c r="H8" i="12"/>
  <c r="D17" i="12" s="1"/>
  <c r="K16" i="14"/>
  <c r="I32" i="14" s="1"/>
  <c r="J32" i="14" s="1"/>
  <c r="K32" i="14" s="1"/>
  <c r="E16" i="14"/>
  <c r="E21" i="14"/>
  <c r="F16" i="14"/>
  <c r="F21" i="14"/>
  <c r="K17" i="14"/>
  <c r="D29" i="14" s="1"/>
  <c r="J20" i="14"/>
  <c r="D21" i="19" l="1"/>
  <c r="D22" i="19" s="1"/>
  <c r="D24" i="19" s="1"/>
  <c r="D26" i="19" s="1"/>
  <c r="D14" i="18"/>
  <c r="M5" i="18"/>
  <c r="B24" i="18"/>
  <c r="D13" i="18"/>
  <c r="F17" i="19"/>
  <c r="E20" i="19"/>
  <c r="C8" i="9"/>
  <c r="C10" i="9"/>
  <c r="H15" i="9"/>
  <c r="E15" i="9"/>
  <c r="F15" i="9"/>
  <c r="D15" i="9"/>
  <c r="B20" i="9" s="1"/>
  <c r="G15" i="9"/>
  <c r="D16" i="16"/>
  <c r="D17" i="16" s="1"/>
  <c r="D18" i="16" s="1"/>
  <c r="D23" i="16" s="1"/>
  <c r="E16" i="16"/>
  <c r="E17" i="16" s="1"/>
  <c r="E18" i="16" s="1"/>
  <c r="E23" i="16" s="1"/>
  <c r="G14" i="16"/>
  <c r="F16" i="16"/>
  <c r="F17" i="16" s="1"/>
  <c r="F18" i="16" s="1"/>
  <c r="F23" i="16" s="1"/>
  <c r="D16" i="12"/>
  <c r="J8" i="12"/>
  <c r="J6" i="12"/>
  <c r="K20" i="14"/>
  <c r="I33" i="14" s="1"/>
  <c r="J33" i="14" s="1"/>
  <c r="K33" i="14" s="1"/>
  <c r="E29" i="14"/>
  <c r="E24" i="14"/>
  <c r="F24" i="14"/>
  <c r="F29" i="14"/>
  <c r="D32" i="14"/>
  <c r="J24" i="14"/>
  <c r="K21" i="14"/>
  <c r="D37" i="14" s="1"/>
  <c r="D40" i="14"/>
  <c r="D15" i="18" l="1"/>
  <c r="E21" i="19"/>
  <c r="E22" i="19" s="1"/>
  <c r="E24" i="19" s="1"/>
  <c r="E26" i="19" s="1"/>
  <c r="G17" i="19"/>
  <c r="F20" i="19"/>
  <c r="B25" i="18"/>
  <c r="C24" i="18"/>
  <c r="B23" i="18"/>
  <c r="E24" i="18"/>
  <c r="F24" i="18" s="1"/>
  <c r="E16" i="9"/>
  <c r="F16" i="9"/>
  <c r="G16" i="9"/>
  <c r="H16" i="9"/>
  <c r="D16" i="9"/>
  <c r="B21" i="9" s="1"/>
  <c r="F14" i="9"/>
  <c r="G14" i="9"/>
  <c r="H14" i="9"/>
  <c r="D14" i="9"/>
  <c r="E14" i="9"/>
  <c r="H14" i="16"/>
  <c r="H16" i="16" s="1"/>
  <c r="H17" i="16" s="1"/>
  <c r="H18" i="16" s="1"/>
  <c r="H23" i="16" s="1"/>
  <c r="G16" i="16"/>
  <c r="G17" i="16" s="1"/>
  <c r="G18" i="16" s="1"/>
  <c r="G23" i="16" s="1"/>
  <c r="E37" i="14"/>
  <c r="E40" i="14" s="1"/>
  <c r="E32" i="14"/>
  <c r="F32" i="14"/>
  <c r="F37" i="14"/>
  <c r="F40" i="14" s="1"/>
  <c r="K24" i="14"/>
  <c r="I34" i="14" s="1"/>
  <c r="J34" i="14" s="1"/>
  <c r="K34" i="14" s="1"/>
  <c r="G24" i="18" l="1"/>
  <c r="C25" i="18"/>
  <c r="E25" i="18"/>
  <c r="F25" i="18" s="1"/>
  <c r="B26" i="18"/>
  <c r="F21" i="19"/>
  <c r="F22" i="19" s="1"/>
  <c r="F24" i="19" s="1"/>
  <c r="F26" i="19" s="1"/>
  <c r="H17" i="19"/>
  <c r="H20" i="19" s="1"/>
  <c r="G20" i="19"/>
  <c r="C23" i="18"/>
  <c r="B22" i="18"/>
  <c r="E23" i="18"/>
  <c r="F23" i="18" s="1"/>
  <c r="B19" i="9"/>
  <c r="C23" i="9" s="1"/>
  <c r="C21" i="9" s="1"/>
  <c r="C27" i="16"/>
  <c r="D16" i="14"/>
  <c r="G25" i="18" l="1"/>
  <c r="G23" i="18"/>
  <c r="C26" i="18"/>
  <c r="E26" i="18"/>
  <c r="F26" i="18" s="1"/>
  <c r="B27" i="18"/>
  <c r="B21" i="18"/>
  <c r="E22" i="18"/>
  <c r="F22" i="18" s="1"/>
  <c r="C22" i="18"/>
  <c r="G21" i="19"/>
  <c r="G22" i="19" s="1"/>
  <c r="G24" i="19" s="1"/>
  <c r="G26" i="19" s="1"/>
  <c r="H21" i="19"/>
  <c r="H22" i="19" s="1"/>
  <c r="H24" i="19" s="1"/>
  <c r="H26" i="19" s="1"/>
  <c r="C19" i="9"/>
  <c r="C20" i="9"/>
  <c r="C28" i="19" l="1"/>
  <c r="G22" i="18"/>
  <c r="C29" i="19"/>
  <c r="C30" i="19" s="1"/>
  <c r="C21" i="18"/>
  <c r="E21" i="18"/>
  <c r="F21" i="18" s="1"/>
  <c r="B20" i="18"/>
  <c r="B28" i="18"/>
  <c r="C27" i="18"/>
  <c r="E27" i="18"/>
  <c r="F27" i="18" s="1"/>
  <c r="G26" i="18"/>
  <c r="C24" i="9"/>
  <c r="G21" i="18" l="1"/>
  <c r="E20" i="18"/>
  <c r="F20" i="18" s="1"/>
  <c r="C20" i="18"/>
  <c r="G27" i="18"/>
  <c r="E28" i="18"/>
  <c r="F28" i="18" s="1"/>
  <c r="C28" i="18"/>
  <c r="C25" i="9"/>
  <c r="C26" i="9"/>
  <c r="G20" i="18" l="1"/>
  <c r="G28" i="18"/>
  <c r="C28" i="16"/>
  <c r="C26" i="16"/>
</calcChain>
</file>

<file path=xl/sharedStrings.xml><?xml version="1.0" encoding="utf-8"?>
<sst xmlns="http://schemas.openxmlformats.org/spreadsheetml/2006/main" count="409" uniqueCount="273">
  <si>
    <t>Gastos</t>
  </si>
  <si>
    <t>Cant</t>
  </si>
  <si>
    <t>Total</t>
  </si>
  <si>
    <t>Computadores</t>
  </si>
  <si>
    <t>Marketing - Publicidad</t>
  </si>
  <si>
    <t xml:space="preserve">Cargo </t>
  </si>
  <si>
    <t>COSTOS FIJOS  TOTAL</t>
  </si>
  <si>
    <t>Costos de Operación</t>
  </si>
  <si>
    <t>COSTOS VARIABLES</t>
  </si>
  <si>
    <t>GASTOS</t>
  </si>
  <si>
    <t>GASTOS ADMINISTRATIVOS</t>
  </si>
  <si>
    <t xml:space="preserve">GASTOS DE VENTAS </t>
  </si>
  <si>
    <t>Total Gastos ventas</t>
  </si>
  <si>
    <t>Total Gasto</t>
  </si>
  <si>
    <t>Total CF</t>
  </si>
  <si>
    <t>Descripcion</t>
  </si>
  <si>
    <t>Mensual</t>
  </si>
  <si>
    <t>Producto</t>
  </si>
  <si>
    <t>Unidades Vendidas 80%</t>
  </si>
  <si>
    <t>Precio de venta x und</t>
  </si>
  <si>
    <t>Dias Operación al mes</t>
  </si>
  <si>
    <t>Ventas Mensuales</t>
  </si>
  <si>
    <t>Cantidad mensual</t>
  </si>
  <si>
    <t>Cantidad diaria</t>
  </si>
  <si>
    <t>Definición de precios</t>
  </si>
  <si>
    <t>Ventas mensuales</t>
  </si>
  <si>
    <t xml:space="preserve">Tasa de oportunidad </t>
  </si>
  <si>
    <t>Valor público año 1</t>
  </si>
  <si>
    <t>Año 1 (unidades)</t>
  </si>
  <si>
    <t>Costos por unidad</t>
  </si>
  <si>
    <t>Gastos por unidad</t>
  </si>
  <si>
    <t>Valor público año 2</t>
  </si>
  <si>
    <t>Año 2(unidades)</t>
  </si>
  <si>
    <t>Valor público año 3</t>
  </si>
  <si>
    <t>Año 3 (unidades)</t>
  </si>
  <si>
    <t>Valor público año4</t>
  </si>
  <si>
    <t>Año 4 (unidades)</t>
  </si>
  <si>
    <t xml:space="preserve">Total </t>
  </si>
  <si>
    <t>Impuestos</t>
  </si>
  <si>
    <t>ROYE</t>
  </si>
  <si>
    <t>Proyeccion de Ventas Año 2</t>
  </si>
  <si>
    <t>Proyeccion de Ventas Año 3</t>
  </si>
  <si>
    <t>Proyeccion de Ventas Año 4</t>
  </si>
  <si>
    <t>Cant Anual</t>
  </si>
  <si>
    <t>Año</t>
  </si>
  <si>
    <t>Regresion- Cant Vendidas</t>
  </si>
  <si>
    <t>Proyeccion de Ventas Año 5</t>
  </si>
  <si>
    <t>Total Inversion</t>
  </si>
  <si>
    <t>ACTIVOS FIJOS</t>
  </si>
  <si>
    <t>Valor un</t>
  </si>
  <si>
    <t>Valor Total</t>
  </si>
  <si>
    <t xml:space="preserve">Valor de la inversion </t>
  </si>
  <si>
    <t>FLUJO DE EFECTIVO</t>
  </si>
  <si>
    <t>Proyeccion de ventas</t>
  </si>
  <si>
    <t>Costos Variables</t>
  </si>
  <si>
    <t>Depreciacion</t>
  </si>
  <si>
    <t>Valor de Equipo computo</t>
  </si>
  <si>
    <t xml:space="preserve">Vida Util - Años </t>
  </si>
  <si>
    <t>Valor Residual</t>
  </si>
  <si>
    <t>Porcentaje Residual</t>
  </si>
  <si>
    <t xml:space="preserve">Depreciacion </t>
  </si>
  <si>
    <t>VPN</t>
  </si>
  <si>
    <t>TIR</t>
  </si>
  <si>
    <t>TVR</t>
  </si>
  <si>
    <t>CAUE</t>
  </si>
  <si>
    <t>IPC</t>
  </si>
  <si>
    <t>RIESGO</t>
  </si>
  <si>
    <t>PROB PERDER</t>
  </si>
  <si>
    <t>Soporte Técnico y Mantenimiento</t>
  </si>
  <si>
    <t xml:space="preserve">Costos </t>
  </si>
  <si>
    <t>Costo Total</t>
  </si>
  <si>
    <t>Total Costos+ Gastos</t>
  </si>
  <si>
    <t>Precio de Venta</t>
  </si>
  <si>
    <t xml:space="preserve">Suscripciones Vendidas </t>
  </si>
  <si>
    <t>Ventas Diarias</t>
  </si>
  <si>
    <t>Servicio</t>
  </si>
  <si>
    <t>TOTAL</t>
  </si>
  <si>
    <t>Cant Mensual</t>
  </si>
  <si>
    <t>Regresion- Suscripciones Vendidas</t>
  </si>
  <si>
    <t>Cantidad de Serv. Anual</t>
  </si>
  <si>
    <t>Cant Diaria</t>
  </si>
  <si>
    <t xml:space="preserve">Categortia </t>
  </si>
  <si>
    <t>Costo anual (COP)</t>
  </si>
  <si>
    <t xml:space="preserve">Marketing y publicidad </t>
  </si>
  <si>
    <t xml:space="preserve">Legal y financiero </t>
  </si>
  <si>
    <t xml:space="preserve">Otros gastos </t>
  </si>
  <si>
    <t xml:space="preserve">TOTAL </t>
  </si>
  <si>
    <t>Plan mensual</t>
  </si>
  <si>
    <t>Plan semestral</t>
  </si>
  <si>
    <t>Plan Anual</t>
  </si>
  <si>
    <t>Mes</t>
  </si>
  <si>
    <t>Cantidad</t>
  </si>
  <si>
    <t>Precio unitario</t>
  </si>
  <si>
    <t xml:space="preserve"> </t>
  </si>
  <si>
    <t>Dama Naranja Tienda Artesanal</t>
  </si>
  <si>
    <t>COSTOS</t>
  </si>
  <si>
    <t>Administradora</t>
  </si>
  <si>
    <t>Dominio y Hosting</t>
  </si>
  <si>
    <t>Diseño y branding</t>
  </si>
  <si>
    <t>Ferias y eventos</t>
  </si>
  <si>
    <t>Creación de contenido gráfico (Canva Pro).</t>
  </si>
  <si>
    <t>Dominio web para Dama Naranja Tienda Artesanal (.com o .co) + Hosting básico.</t>
  </si>
  <si>
    <t>Participación en ferias artesanales y exposiciones locales.</t>
  </si>
  <si>
    <t>Producción de Contenido</t>
  </si>
  <si>
    <t>Fotografía y video con celular + edición en CapCut Pro</t>
  </si>
  <si>
    <t>Marketing y publicidad</t>
  </si>
  <si>
    <t>NÓMINA</t>
  </si>
  <si>
    <t>DEFINICIÓN DEL PRECIO</t>
  </si>
  <si>
    <t>PROYECCIÓN DE VENTAS</t>
  </si>
  <si>
    <t>INFLACIÓN</t>
  </si>
  <si>
    <t>Rentabilidad 20%</t>
  </si>
  <si>
    <t>Aceite para cabello</t>
  </si>
  <si>
    <t>Shampoo</t>
  </si>
  <si>
    <t>Acondicionador</t>
  </si>
  <si>
    <t xml:space="preserve"> Aceite especial para cabello elaborado naturalmente </t>
  </si>
  <si>
    <t xml:space="preserve">Shampoo especial para cabello elaborado naturalmente </t>
  </si>
  <si>
    <t xml:space="preserve">Acondicionador especial para cabello elaborado naturalmente </t>
  </si>
  <si>
    <t xml:space="preserve">TOTAL NÓMINA MENSUAL </t>
  </si>
  <si>
    <t>Servicios públicos</t>
  </si>
  <si>
    <t xml:space="preserve">	Energía, agua, internet (sede operativa).</t>
  </si>
  <si>
    <t>Servicios públicos punto físico</t>
  </si>
  <si>
    <t>Arriendo punto físico</t>
  </si>
  <si>
    <t>Arriendo punto físico usaquén (zona de producción y oficina)</t>
  </si>
  <si>
    <t>Energía, agua, luz, gas e internet</t>
  </si>
  <si>
    <t xml:space="preserve">Plataforma web y hosting </t>
  </si>
  <si>
    <t>Mantenimiento de maquinaria</t>
  </si>
  <si>
    <t>Mantenimiento maquinaria para la producción</t>
  </si>
  <si>
    <t>Salario de colaboradores</t>
  </si>
  <si>
    <t>Valor de maquinaria</t>
  </si>
  <si>
    <t>Aumento Ventas 25%</t>
  </si>
  <si>
    <t>INVERSIÓN</t>
  </si>
  <si>
    <t>Maquinaria</t>
  </si>
  <si>
    <t>Descripción de Maquinaria</t>
  </si>
  <si>
    <t>Mezclador industrial para shampoo, cremas y aceites</t>
  </si>
  <si>
    <t>Phmetro digital, 	Para medir el pH de los productos capilares.</t>
  </si>
  <si>
    <t>Llenadora semimanual de líquidos</t>
  </si>
  <si>
    <t>Balanza digital de precisión Para pesar ingredientes sólidos y líquidos</t>
  </si>
  <si>
    <t>Termómetro digital, para controlar la temperatura.</t>
  </si>
  <si>
    <t>TOTAL DE ACTIVOS</t>
  </si>
  <si>
    <t>Inversionista 1</t>
  </si>
  <si>
    <t>Inversionista 2</t>
  </si>
  <si>
    <t>Inversionista 3</t>
  </si>
  <si>
    <t xml:space="preserve">Computador </t>
  </si>
  <si>
    <t>Mantenimiento cada 6 meses por un valor total de 400.000</t>
  </si>
  <si>
    <t>Materia Prima principal</t>
  </si>
  <si>
    <t>Frutas (chontaduro, corozo), aceites (ricino, coco),</t>
  </si>
  <si>
    <t>Para 400 unidades</t>
  </si>
  <si>
    <t>Fragancias y activos</t>
  </si>
  <si>
    <t>Envase y tapa</t>
  </si>
  <si>
    <t>Etiqueta impresa</t>
  </si>
  <si>
    <t>Papel adhesivo resistente, impresión artesanal</t>
  </si>
  <si>
    <t>Embalaje y empaque final</t>
  </si>
  <si>
    <t>Bolsa kraft o reciclable + cinta</t>
  </si>
  <si>
    <t>Transporte de materias primas</t>
  </si>
  <si>
    <t>Fletes locales de proveedores</t>
  </si>
  <si>
    <t>Suministros de producción</t>
  </si>
  <si>
    <t xml:space="preserve">Alcohol, guantes, papel, filtros, </t>
  </si>
  <si>
    <t>Materiales para control calidad</t>
  </si>
  <si>
    <t>Pruebas de pH, viscosidad, muestras</t>
  </si>
  <si>
    <t xml:space="preserve">	Lavanda, romero, conservantes naturales, vitamina E.</t>
  </si>
  <si>
    <t>Frasco 250 ml + tapa dosificadora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</si>
  <si>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</si>
  <si>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</si>
  <si>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</si>
  <si>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</si>
  <si>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</si>
  <si>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</si>
  <si>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</si>
  <si>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</si>
  <si>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</si>
  <si>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</si>
  <si>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</si>
  <si>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</si>
  <si>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Aceite</t>
  </si>
  <si>
    <t>FLUJO DE CAJA</t>
  </si>
  <si>
    <t>FLUJO DE CAJA DEL PROYECTO</t>
  </si>
  <si>
    <t>Año 0</t>
  </si>
  <si>
    <t>Año 1</t>
  </si>
  <si>
    <t>Año 2</t>
  </si>
  <si>
    <t>Año 3</t>
  </si>
  <si>
    <t>Año 4</t>
  </si>
  <si>
    <t>Año 5</t>
  </si>
  <si>
    <t>Ingresos</t>
  </si>
  <si>
    <t>Costos variables</t>
  </si>
  <si>
    <t>Gastos administración y venta</t>
  </si>
  <si>
    <t>Depreciación</t>
  </si>
  <si>
    <t>Resultado antes de impuestos</t>
  </si>
  <si>
    <t>Impuesto</t>
  </si>
  <si>
    <t>Resultado después de impuestos</t>
  </si>
  <si>
    <t>Capital de Trabajo</t>
  </si>
  <si>
    <t>Flujo de caja</t>
  </si>
  <si>
    <t>Rentabilidad</t>
  </si>
  <si>
    <t>Costos fijos</t>
  </si>
  <si>
    <t>Ingreso base</t>
  </si>
  <si>
    <t>NOMINA MENSUAL DE TRABAJADORES</t>
  </si>
  <si>
    <t>Personas</t>
  </si>
  <si>
    <t>A</t>
  </si>
  <si>
    <t>B</t>
  </si>
  <si>
    <t>Sueldo</t>
  </si>
  <si>
    <t>Aux. Transporte</t>
  </si>
  <si>
    <t>Total Devengado</t>
  </si>
  <si>
    <t>DEVENGADO</t>
  </si>
  <si>
    <t>Aporte a salud</t>
  </si>
  <si>
    <t>Aporte a pension</t>
  </si>
  <si>
    <t>Total Deducciones</t>
  </si>
  <si>
    <t>Neto pagado</t>
  </si>
  <si>
    <t>Totales</t>
  </si>
  <si>
    <t>Prestaciones sociales y vacaciones</t>
  </si>
  <si>
    <t>Cesantias</t>
  </si>
  <si>
    <t>Prima</t>
  </si>
  <si>
    <t>Intereses sobre cesantias</t>
  </si>
  <si>
    <t>Vacaciones</t>
  </si>
  <si>
    <t>DEDUCCIONES</t>
  </si>
  <si>
    <t>Total prestaciones sociales y vacaciones</t>
  </si>
  <si>
    <t>Días trabajados</t>
  </si>
  <si>
    <t>Nomina trabajadores</t>
  </si>
  <si>
    <t>Prestaciones Sociales y Vacaciones</t>
  </si>
  <si>
    <t>Total Marketing y publicidad</t>
  </si>
  <si>
    <t>Nómina trabajadores</t>
  </si>
  <si>
    <t>Inversión maquinaria</t>
  </si>
  <si>
    <t>Inversión equipos</t>
  </si>
  <si>
    <t>Aumento anual CV y CF</t>
  </si>
  <si>
    <t xml:space="preserve">Total Gastos de Administración </t>
  </si>
  <si>
    <t>Descripción</t>
  </si>
  <si>
    <t xml:space="preserve">Depreciación maquinaria para elaboración y empaque de productos </t>
  </si>
  <si>
    <t xml:space="preserve">Depreciación de maquinaria </t>
  </si>
  <si>
    <t>Proyección de Ventas Año 1</t>
  </si>
  <si>
    <t>Riesgo</t>
  </si>
  <si>
    <t>Inversión neta</t>
  </si>
  <si>
    <t>Ingresos anuales</t>
  </si>
  <si>
    <t>Flujo estimado</t>
  </si>
  <si>
    <t>Optimista</t>
  </si>
  <si>
    <t>Muy probable</t>
  </si>
  <si>
    <t>Pesimista</t>
  </si>
  <si>
    <t>Ventas diarias</t>
  </si>
  <si>
    <t>Proyección de venta diaria, mensual y anual</t>
  </si>
  <si>
    <t>Meses operación al año</t>
  </si>
  <si>
    <t>Ventas anuales</t>
  </si>
  <si>
    <t>Ventas Auales</t>
  </si>
  <si>
    <t>Probabilidad</t>
  </si>
  <si>
    <t xml:space="preserve">VPN </t>
  </si>
  <si>
    <t>VESP</t>
  </si>
  <si>
    <t>DESV STN</t>
  </si>
  <si>
    <t>Asesoria</t>
  </si>
  <si>
    <t>N/A</t>
  </si>
  <si>
    <t>Clases de asesoria para definir el tipo de riso</t>
  </si>
  <si>
    <t>Punto de equilibrio</t>
  </si>
  <si>
    <t>Variación precio</t>
  </si>
  <si>
    <t>Variación CV</t>
  </si>
  <si>
    <t>Variación CF</t>
  </si>
  <si>
    <t>Precio</t>
  </si>
  <si>
    <t>Costos variables Unit</t>
  </si>
  <si>
    <t>COSTOS VARIABLES POR UNIDAD</t>
  </si>
  <si>
    <t>COSTOS FIJOS POR UNIDAD</t>
  </si>
  <si>
    <t>Costos</t>
  </si>
  <si>
    <t>Utilidad</t>
  </si>
  <si>
    <t>Costo Fijo</t>
  </si>
  <si>
    <t>Costo Variable</t>
  </si>
  <si>
    <t>Inversión</t>
  </si>
  <si>
    <t>Corrientes</t>
  </si>
  <si>
    <t>Inflación</t>
  </si>
  <si>
    <t>KTS 0</t>
  </si>
  <si>
    <t>Tasa Op. Nueva</t>
  </si>
  <si>
    <t>VPN nueva</t>
  </si>
  <si>
    <t>Ingresos por ventas</t>
  </si>
  <si>
    <t>Utilidad antes de impuesto</t>
  </si>
  <si>
    <t>Utilidad despues de impuesto</t>
  </si>
  <si>
    <t>Inversión inicial</t>
  </si>
  <si>
    <t>Flujo neto</t>
  </si>
  <si>
    <t>Flujo de efctivo operativo</t>
  </si>
  <si>
    <t>FLUJO DE EFECTIVO-RENTABILIDAD</t>
  </si>
  <si>
    <t>INVERSIÓN Y ACTIVOS FIJOS</t>
  </si>
  <si>
    <t>PUNTO DE EQUILIBRIO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</si>
</sst>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&quot;$&quot;\ * #,##0.0_-;\-&quot;$&quot;\ * #,##0.0_-;_-&quot;$&quot;\ * &quot;-&quot;??_-;_-@_-"/>
    <numFmt numFmtId="166" formatCode="_-&quot;$&quot;\ * #,##0_-;\-&quot;$&quot;\ * #,##0_-;_-&quot;$&quot;\ * &quot;-&quot;?_-;_-@_-"/>
    <numFmt numFmtId="167" formatCode="_-* #,##0_-;\-* #,##0_-;_-* &quot;-&quot;??_-;_-@_-"/>
    <numFmt numFmtId="168" formatCode="0.0%"/>
    <numFmt numFmtId="169" formatCode="0.000%"/>
    <numFmt numFmtId="170" formatCode="_-&quot;$&quot;\ * #,##0_-;\-&quot;$&quot;\ * #,##0_-;_-&quot;$&quot;\ * &quot;-&quot;??_-;_-@"/>
    <numFmt numFmtId="171" formatCode="[$ $]#,##0"/>
    <numFmt numFmtId="172" formatCode="&quot;$&quot;\ #,##0"/>
    <numFmt numFmtId="173" formatCode="_-* #,##0.000_-;\-* #,##0.000_-;_-* &quot;-&quot;??_-;_-@_-"/>
    <numFmt numFmtId="174" formatCode="_-* #,##0.0000_-;\-* #,##0.0000_-;_-* &quot;-&quot;??_-;_-@_-"/>
    <numFmt numFmtId="175" formatCode="_-* #,##0.00000_-;\-* #,##0.00000_-;_-* &quot;-&quot;??_-;_-@_-"/>
    <numFmt numFmtId="176" formatCode="0.00000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8"/>
      <color theme="0"/>
      <name val="Times New Roman"/>
      <family val="1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sz val="10"/>
      <color theme="1"/>
      <name val="Aptos Narrow"/>
      <family val="2"/>
      <scheme val="minor"/>
    </font>
    <font>
      <sz val="12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color theme="6"/>
      <name val="Times New Roman"/>
      <family val="1"/>
    </font>
    <font>
      <sz val="11"/>
      <color theme="6"/>
      <name val="Times New Roman"/>
      <family val="1"/>
    </font>
    <font>
      <sz val="11"/>
      <color theme="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1"/>
      <color theme="5" tint="-0.249977111117893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Aptos Narrow"/>
      <family val="2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D0CECE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</cellStyleXfs>
  <cellXfs count="300">
    <xf numFmtId="0" fontId="0" fillId="0" borderId="0" xfId="0"/>
    <xf numFmtId="0" fontId="2" fillId="0" borderId="0" xfId="0" applyFont="1"/>
    <xf numFmtId="164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Fill="1"/>
    <xf numFmtId="9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4" fontId="4" fillId="0" borderId="0" xfId="1" applyNumberFormat="1" applyFont="1"/>
    <xf numFmtId="164" fontId="4" fillId="0" borderId="0" xfId="0" applyNumberFormat="1" applyFont="1"/>
    <xf numFmtId="165" fontId="4" fillId="0" borderId="0" xfId="0" applyNumberFormat="1" applyFont="1"/>
    <xf numFmtId="166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167" fontId="4" fillId="0" borderId="0" xfId="0" applyNumberFormat="1" applyFont="1"/>
    <xf numFmtId="0" fontId="6" fillId="0" borderId="0" xfId="4"/>
    <xf numFmtId="9" fontId="6" fillId="0" borderId="0" xfId="4" applyNumberFormat="1"/>
    <xf numFmtId="164" fontId="6" fillId="0" borderId="0" xfId="4" applyNumberFormat="1"/>
    <xf numFmtId="168" fontId="6" fillId="0" borderId="0" xfId="2" applyNumberFormat="1" applyFont="1"/>
    <xf numFmtId="0" fontId="7" fillId="0" borderId="0" xfId="4" applyFont="1"/>
    <xf numFmtId="0" fontId="8" fillId="0" borderId="0" xfId="0" applyFont="1"/>
    <xf numFmtId="0" fontId="5" fillId="0" borderId="0" xfId="0" applyFont="1" applyAlignment="1">
      <alignment vertical="center" wrapText="1"/>
    </xf>
    <xf numFmtId="9" fontId="7" fillId="0" borderId="0" xfId="4" applyNumberFormat="1" applyFont="1"/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164" fontId="8" fillId="0" borderId="0" xfId="1" applyNumberFormat="1" applyFont="1" applyFill="1" applyBorder="1"/>
    <xf numFmtId="0" fontId="10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14" fillId="0" borderId="0" xfId="0" applyFont="1"/>
    <xf numFmtId="0" fontId="3" fillId="0" borderId="0" xfId="0" applyFont="1" applyAlignment="1">
      <alignment horizontal="left"/>
    </xf>
    <xf numFmtId="164" fontId="4" fillId="0" borderId="0" xfId="1" applyNumberFormat="1" applyFont="1" applyFill="1" applyAlignment="1">
      <alignment horizontal="left"/>
    </xf>
    <xf numFmtId="9" fontId="4" fillId="0" borderId="0" xfId="0" applyNumberFormat="1" applyFont="1" applyAlignment="1">
      <alignment horizontal="center"/>
    </xf>
    <xf numFmtId="0" fontId="15" fillId="0" borderId="0" xfId="4" applyFont="1"/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3" fillId="0" borderId="0" xfId="0" applyNumberFormat="1" applyFont="1"/>
    <xf numFmtId="166" fontId="0" fillId="0" borderId="0" xfId="0" applyNumberFormat="1"/>
    <xf numFmtId="167" fontId="4" fillId="0" borderId="12" xfId="3" applyNumberFormat="1" applyFont="1" applyFill="1" applyBorder="1"/>
    <xf numFmtId="164" fontId="4" fillId="0" borderId="12" xfId="1" applyNumberFormat="1" applyFont="1" applyFill="1" applyBorder="1"/>
    <xf numFmtId="164" fontId="4" fillId="0" borderId="14" xfId="1" applyNumberFormat="1" applyFont="1" applyFill="1" applyBorder="1"/>
    <xf numFmtId="164" fontId="15" fillId="0" borderId="0" xfId="4" applyNumberFormat="1" applyFont="1"/>
    <xf numFmtId="44" fontId="15" fillId="0" borderId="0" xfId="1" applyFont="1"/>
    <xf numFmtId="167" fontId="15" fillId="0" borderId="0" xfId="4" applyNumberFormat="1" applyFont="1"/>
    <xf numFmtId="167" fontId="4" fillId="0" borderId="13" xfId="3" applyNumberFormat="1" applyFont="1" applyFill="1" applyBorder="1"/>
    <xf numFmtId="167" fontId="4" fillId="0" borderId="14" xfId="3" applyNumberFormat="1" applyFont="1" applyFill="1" applyBorder="1"/>
    <xf numFmtId="167" fontId="15" fillId="0" borderId="14" xfId="3" applyNumberFormat="1" applyFont="1" applyFill="1" applyBorder="1"/>
    <xf numFmtId="9" fontId="14" fillId="0" borderId="0" xfId="0" applyNumberFormat="1" applyFont="1"/>
    <xf numFmtId="0" fontId="3" fillId="0" borderId="0" xfId="0" applyFont="1" applyAlignment="1">
      <alignment horizontal="center" vertical="center" wrapText="1"/>
    </xf>
    <xf numFmtId="10" fontId="4" fillId="0" borderId="0" xfId="2" applyNumberFormat="1" applyFont="1"/>
    <xf numFmtId="10" fontId="0" fillId="0" borderId="0" xfId="2" applyNumberFormat="1" applyFont="1"/>
    <xf numFmtId="43" fontId="0" fillId="0" borderId="0" xfId="3" applyFont="1"/>
    <xf numFmtId="9" fontId="0" fillId="0" borderId="0" xfId="2" applyFont="1"/>
    <xf numFmtId="43" fontId="0" fillId="0" borderId="0" xfId="0" applyNumberFormat="1"/>
    <xf numFmtId="167" fontId="15" fillId="0" borderId="12" xfId="3" applyNumberFormat="1" applyFont="1" applyBorder="1"/>
    <xf numFmtId="167" fontId="15" fillId="0" borderId="29" xfId="3" applyNumberFormat="1" applyFont="1" applyBorder="1"/>
    <xf numFmtId="167" fontId="4" fillId="0" borderId="32" xfId="3" applyNumberFormat="1" applyFont="1" applyFill="1" applyBorder="1"/>
    <xf numFmtId="164" fontId="4" fillId="0" borderId="33" xfId="1" applyNumberFormat="1" applyFont="1" applyFill="1" applyBorder="1"/>
    <xf numFmtId="164" fontId="4" fillId="0" borderId="34" xfId="1" applyNumberFormat="1" applyFont="1" applyFill="1" applyBorder="1"/>
    <xf numFmtId="164" fontId="4" fillId="0" borderId="32" xfId="1" applyNumberFormat="1" applyFont="1" applyFill="1" applyBorder="1" applyAlignment="1">
      <alignment horizontal="center"/>
    </xf>
    <xf numFmtId="0" fontId="12" fillId="0" borderId="0" xfId="0" applyFont="1"/>
    <xf numFmtId="170" fontId="21" fillId="0" borderId="0" xfId="0" applyNumberFormat="1" applyFont="1"/>
    <xf numFmtId="43" fontId="4" fillId="0" borderId="0" xfId="3" applyFont="1"/>
    <xf numFmtId="43" fontId="0" fillId="0" borderId="0" xfId="3" applyFont="1" applyAlignment="1"/>
    <xf numFmtId="0" fontId="21" fillId="0" borderId="0" xfId="0" applyFont="1"/>
    <xf numFmtId="0" fontId="21" fillId="2" borderId="0" xfId="0" applyFont="1" applyFill="1"/>
    <xf numFmtId="0" fontId="22" fillId="0" borderId="38" xfId="6" applyFont="1" applyBorder="1" applyAlignment="1">
      <alignment horizontal="center" wrapText="1"/>
    </xf>
    <xf numFmtId="171" fontId="22" fillId="0" borderId="38" xfId="6" applyNumberFormat="1" applyFont="1" applyBorder="1" applyAlignment="1">
      <alignment horizontal="center" wrapText="1"/>
    </xf>
    <xf numFmtId="0" fontId="24" fillId="0" borderId="40" xfId="6" applyFont="1" applyBorder="1" applyAlignment="1">
      <alignment horizontal="center" vertical="top"/>
    </xf>
    <xf numFmtId="171" fontId="24" fillId="0" borderId="41" xfId="6" applyNumberFormat="1" applyFont="1" applyBorder="1" applyAlignment="1">
      <alignment horizontal="center" vertical="top"/>
    </xf>
    <xf numFmtId="171" fontId="24" fillId="0" borderId="42" xfId="6" applyNumberFormat="1" applyFont="1" applyBorder="1" applyAlignment="1">
      <alignment horizontal="center" vertical="top"/>
    </xf>
    <xf numFmtId="0" fontId="1" fillId="0" borderId="0" xfId="6"/>
    <xf numFmtId="1" fontId="1" fillId="0" borderId="0" xfId="6" applyNumberFormat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9" fillId="3" borderId="0" xfId="0" applyFont="1" applyFill="1" applyAlignment="1">
      <alignment horizontal="center"/>
    </xf>
    <xf numFmtId="0" fontId="18" fillId="3" borderId="0" xfId="0" applyFont="1" applyFill="1"/>
    <xf numFmtId="0" fontId="25" fillId="3" borderId="0" xfId="0" applyFont="1" applyFill="1" applyAlignment="1">
      <alignment horizontal="center"/>
    </xf>
    <xf numFmtId="0" fontId="3" fillId="4" borderId="0" xfId="0" applyFont="1" applyFill="1"/>
    <xf numFmtId="43" fontId="4" fillId="4" borderId="0" xfId="3" applyFont="1" applyFill="1"/>
    <xf numFmtId="43" fontId="3" fillId="4" borderId="0" xfId="3" applyFont="1" applyFill="1"/>
    <xf numFmtId="172" fontId="4" fillId="0" borderId="0" xfId="0" applyNumberFormat="1" applyFont="1"/>
    <xf numFmtId="43" fontId="0" fillId="0" borderId="0" xfId="3" applyFont="1" applyAlignment="1">
      <alignment wrapText="1"/>
    </xf>
    <xf numFmtId="0" fontId="0" fillId="0" borderId="0" xfId="0" applyAlignment="1">
      <alignment horizontal="left" vertical="center"/>
    </xf>
    <xf numFmtId="0" fontId="12" fillId="4" borderId="28" xfId="0" applyFont="1" applyFill="1" applyBorder="1" applyAlignment="1">
      <alignment horizontal="center" vertical="center" wrapText="1"/>
    </xf>
    <xf numFmtId="0" fontId="4" fillId="4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164" fontId="4" fillId="3" borderId="0" xfId="0" applyNumberFormat="1" applyFont="1" applyFill="1"/>
    <xf numFmtId="0" fontId="3" fillId="3" borderId="0" xfId="0" applyFont="1" applyFill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/>
    <xf numFmtId="164" fontId="4" fillId="4" borderId="0" xfId="1" applyNumberFormat="1" applyFont="1" applyFill="1"/>
    <xf numFmtId="0" fontId="0" fillId="0" borderId="0" xfId="0" applyAlignment="1">
      <alignment wrapText="1"/>
    </xf>
    <xf numFmtId="166" fontId="12" fillId="3" borderId="0" xfId="0" applyNumberFormat="1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64" fontId="4" fillId="4" borderId="0" xfId="0" applyNumberFormat="1" applyFont="1" applyFill="1"/>
    <xf numFmtId="0" fontId="6" fillId="0" borderId="0" xfId="4" applyAlignment="1">
      <alignment wrapText="1"/>
    </xf>
    <xf numFmtId="0" fontId="15" fillId="0" borderId="12" xfId="4" applyFont="1" applyBorder="1" applyAlignment="1">
      <alignment horizontal="center" wrapText="1"/>
    </xf>
    <xf numFmtId="0" fontId="15" fillId="0" borderId="0" xfId="4" applyFont="1" applyAlignment="1">
      <alignment wrapText="1"/>
    </xf>
    <xf numFmtId="0" fontId="21" fillId="0" borderId="0" xfId="0" applyFont="1" applyAlignment="1">
      <alignment wrapText="1"/>
    </xf>
    <xf numFmtId="0" fontId="1" fillId="0" borderId="0" xfId="6" applyAlignment="1">
      <alignment wrapText="1"/>
    </xf>
    <xf numFmtId="0" fontId="6" fillId="0" borderId="0" xfId="4" applyAlignment="1">
      <alignment horizontal="center" vertical="center" wrapText="1"/>
    </xf>
    <xf numFmtId="167" fontId="15" fillId="0" borderId="12" xfId="3" applyNumberFormat="1" applyFont="1" applyBorder="1" applyAlignment="1">
      <alignment horizontal="center" vertical="center" wrapText="1"/>
    </xf>
    <xf numFmtId="0" fontId="22" fillId="0" borderId="38" xfId="6" applyFont="1" applyBorder="1" applyAlignment="1">
      <alignment horizontal="center" vertical="center" wrapText="1"/>
    </xf>
    <xf numFmtId="0" fontId="24" fillId="0" borderId="40" xfId="6" applyFont="1" applyBorder="1" applyAlignment="1">
      <alignment horizontal="center" vertical="center" wrapText="1"/>
    </xf>
    <xf numFmtId="1" fontId="1" fillId="0" borderId="0" xfId="6" applyNumberFormat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2" fillId="3" borderId="18" xfId="5" applyFont="1" applyFill="1" applyBorder="1" applyAlignment="1">
      <alignment horizontal="center"/>
    </xf>
    <xf numFmtId="0" fontId="12" fillId="3" borderId="18" xfId="5" applyFont="1" applyFill="1" applyBorder="1" applyAlignment="1">
      <alignment horizontal="center" vertical="center" wrapText="1"/>
    </xf>
    <xf numFmtId="0" fontId="12" fillId="4" borderId="27" xfId="4" applyFont="1" applyFill="1" applyBorder="1" applyAlignment="1">
      <alignment wrapText="1"/>
    </xf>
    <xf numFmtId="164" fontId="12" fillId="4" borderId="15" xfId="4" applyNumberFormat="1" applyFont="1" applyFill="1" applyBorder="1"/>
    <xf numFmtId="167" fontId="12" fillId="4" borderId="16" xfId="3" applyNumberFormat="1" applyFont="1" applyFill="1" applyBorder="1"/>
    <xf numFmtId="164" fontId="12" fillId="4" borderId="17" xfId="4" applyNumberFormat="1" applyFont="1" applyFill="1" applyBorder="1"/>
    <xf numFmtId="0" fontId="12" fillId="4" borderId="6" xfId="4" applyFont="1" applyFill="1" applyBorder="1" applyAlignment="1">
      <alignment wrapText="1"/>
    </xf>
    <xf numFmtId="167" fontId="12" fillId="4" borderId="15" xfId="3" applyNumberFormat="1" applyFont="1" applyFill="1" applyBorder="1"/>
    <xf numFmtId="167" fontId="12" fillId="4" borderId="17" xfId="3" applyNumberFormat="1" applyFont="1" applyFill="1" applyBorder="1"/>
    <xf numFmtId="0" fontId="12" fillId="3" borderId="4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0" fillId="3" borderId="0" xfId="0" applyFont="1" applyFill="1"/>
    <xf numFmtId="43" fontId="0" fillId="3" borderId="0" xfId="3" applyFont="1" applyFill="1" applyAlignment="1"/>
    <xf numFmtId="170" fontId="21" fillId="3" borderId="0" xfId="0" applyNumberFormat="1" applyFont="1" applyFill="1"/>
    <xf numFmtId="0" fontId="4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164" fontId="15" fillId="4" borderId="8" xfId="0" applyNumberFormat="1" applyFont="1" applyFill="1" applyBorder="1" applyAlignment="1">
      <alignment horizontal="center" vertical="center" wrapText="1"/>
    </xf>
    <xf numFmtId="164" fontId="15" fillId="0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7" fontId="0" fillId="0" borderId="0" xfId="3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5" fillId="0" borderId="0" xfId="1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6" fontId="4" fillId="0" borderId="0" xfId="0" applyNumberFormat="1" applyFont="1"/>
    <xf numFmtId="0" fontId="3" fillId="4" borderId="0" xfId="4" applyFont="1" applyFill="1" applyAlignment="1">
      <alignment horizontal="left"/>
    </xf>
    <xf numFmtId="9" fontId="3" fillId="4" borderId="0" xfId="4" applyNumberFormat="1" applyFont="1" applyFill="1"/>
    <xf numFmtId="0" fontId="3" fillId="4" borderId="0" xfId="4" applyFont="1" applyFill="1"/>
    <xf numFmtId="167" fontId="3" fillId="4" borderId="0" xfId="4" applyNumberFormat="1" applyFont="1" applyFill="1"/>
    <xf numFmtId="164" fontId="3" fillId="3" borderId="0" xfId="1" applyNumberFormat="1" applyFont="1" applyFill="1"/>
    <xf numFmtId="164" fontId="3" fillId="3" borderId="0" xfId="0" applyNumberFormat="1" applyFont="1" applyFill="1"/>
    <xf numFmtId="0" fontId="4" fillId="0" borderId="12" xfId="0" applyFont="1" applyBorder="1" applyAlignment="1">
      <alignment horizontal="center" vertical="center"/>
    </xf>
    <xf numFmtId="164" fontId="4" fillId="0" borderId="12" xfId="1" applyNumberFormat="1" applyFont="1" applyBorder="1"/>
    <xf numFmtId="164" fontId="4" fillId="0" borderId="12" xfId="1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64" fontId="3" fillId="5" borderId="0" xfId="0" applyNumberFormat="1" applyFont="1" applyFill="1"/>
    <xf numFmtId="164" fontId="4" fillId="0" borderId="12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4" fillId="5" borderId="0" xfId="0" applyFont="1" applyFill="1"/>
    <xf numFmtId="0" fontId="3" fillId="5" borderId="0" xfId="0" applyFont="1" applyFill="1"/>
    <xf numFmtId="9" fontId="3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/>
    <xf numFmtId="0" fontId="12" fillId="3" borderId="0" xfId="4" applyFont="1" applyFill="1" applyAlignment="1">
      <alignment horizontal="left"/>
    </xf>
    <xf numFmtId="0" fontId="11" fillId="3" borderId="12" xfId="4" applyFont="1" applyFill="1" applyBorder="1" applyAlignment="1">
      <alignment horizontal="center" vertical="center" wrapText="1"/>
    </xf>
    <xf numFmtId="1" fontId="11" fillId="3" borderId="12" xfId="4" applyNumberFormat="1" applyFont="1" applyFill="1" applyBorder="1" applyAlignment="1">
      <alignment horizontal="center"/>
    </xf>
    <xf numFmtId="167" fontId="16" fillId="3" borderId="12" xfId="3" applyNumberFormat="1" applyFont="1" applyFill="1" applyBorder="1" applyAlignment="1">
      <alignment horizontal="center" vertical="center"/>
    </xf>
    <xf numFmtId="0" fontId="11" fillId="3" borderId="18" xfId="4" applyFont="1" applyFill="1" applyBorder="1" applyAlignment="1">
      <alignment horizontal="center" vertical="center" wrapText="1"/>
    </xf>
    <xf numFmtId="1" fontId="11" fillId="3" borderId="18" xfId="4" applyNumberFormat="1" applyFont="1" applyFill="1" applyBorder="1" applyAlignment="1">
      <alignment horizontal="center"/>
    </xf>
    <xf numFmtId="167" fontId="16" fillId="3" borderId="12" xfId="3" applyNumberFormat="1" applyFont="1" applyFill="1" applyBorder="1" applyAlignment="1">
      <alignment horizontal="center"/>
    </xf>
    <xf numFmtId="164" fontId="15" fillId="2" borderId="43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 wrapText="1"/>
    </xf>
    <xf numFmtId="0" fontId="22" fillId="6" borderId="36" xfId="6" applyFont="1" applyFill="1" applyBorder="1" applyAlignment="1">
      <alignment horizontal="center" wrapText="1"/>
    </xf>
    <xf numFmtId="0" fontId="23" fillId="4" borderId="36" xfId="6" applyFont="1" applyFill="1" applyBorder="1"/>
    <xf numFmtId="0" fontId="23" fillId="4" borderId="37" xfId="6" applyFont="1" applyFill="1" applyBorder="1"/>
    <xf numFmtId="167" fontId="12" fillId="4" borderId="24" xfId="3" applyNumberFormat="1" applyFont="1" applyFill="1" applyBorder="1"/>
    <xf numFmtId="0" fontId="12" fillId="4" borderId="20" xfId="4" applyFont="1" applyFill="1" applyBorder="1" applyAlignment="1">
      <alignment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wrapText="1"/>
    </xf>
    <xf numFmtId="0" fontId="15" fillId="3" borderId="18" xfId="5" applyFont="1" applyFill="1" applyBorder="1" applyAlignment="1">
      <alignment horizontal="center"/>
    </xf>
    <xf numFmtId="0" fontId="15" fillId="3" borderId="18" xfId="5" applyFont="1" applyFill="1" applyBorder="1" applyAlignment="1">
      <alignment horizontal="center" vertical="center" wrapText="1"/>
    </xf>
    <xf numFmtId="0" fontId="11" fillId="3" borderId="12" xfId="4" applyFont="1" applyFill="1" applyBorder="1" applyAlignment="1">
      <alignment horizontal="center"/>
    </xf>
    <xf numFmtId="0" fontId="30" fillId="4" borderId="44" xfId="0" applyFont="1" applyFill="1" applyBorder="1" applyAlignment="1">
      <alignment horizontal="center" vertical="center" wrapText="1"/>
    </xf>
    <xf numFmtId="0" fontId="22" fillId="3" borderId="38" xfId="6" applyFont="1" applyFill="1" applyBorder="1" applyAlignment="1">
      <alignment horizontal="center" wrapText="1"/>
    </xf>
    <xf numFmtId="0" fontId="24" fillId="3" borderId="39" xfId="6" applyFont="1" applyFill="1" applyBorder="1" applyAlignment="1">
      <alignment horizontal="center" vertical="top" wrapText="1"/>
    </xf>
    <xf numFmtId="1" fontId="1" fillId="0" borderId="0" xfId="6" applyNumberFormat="1" applyAlignment="1">
      <alignment horizontal="center"/>
    </xf>
    <xf numFmtId="167" fontId="4" fillId="0" borderId="0" xfId="3" applyNumberFormat="1" applyFont="1"/>
    <xf numFmtId="0" fontId="0" fillId="0" borderId="0" xfId="0" applyAlignment="1">
      <alignment horizontal="center"/>
    </xf>
    <xf numFmtId="167" fontId="3" fillId="3" borderId="0" xfId="3" applyNumberFormat="1" applyFont="1" applyFill="1"/>
    <xf numFmtId="10" fontId="0" fillId="0" borderId="0" xfId="0" applyNumberFormat="1"/>
    <xf numFmtId="164" fontId="3" fillId="0" borderId="0" xfId="1" applyNumberFormat="1" applyFon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21" fillId="0" borderId="0" xfId="1" applyNumberFormat="1" applyFont="1"/>
    <xf numFmtId="164" fontId="3" fillId="4" borderId="0" xfId="1" applyNumberFormat="1" applyFont="1" applyFill="1"/>
    <xf numFmtId="164" fontId="3" fillId="0" borderId="0" xfId="1" applyNumberFormat="1" applyFont="1" applyFill="1"/>
    <xf numFmtId="164" fontId="15" fillId="0" borderId="0" xfId="0" applyNumberFormat="1" applyFont="1" applyAlignment="1">
      <alignment horizontal="center" vertical="center" wrapText="1"/>
    </xf>
    <xf numFmtId="168" fontId="4" fillId="0" borderId="0" xfId="0" applyNumberFormat="1" applyFont="1"/>
    <xf numFmtId="0" fontId="4" fillId="0" borderId="0" xfId="0" applyFont="1" applyAlignment="1">
      <alignment horizontal="center" vertical="top"/>
    </xf>
    <xf numFmtId="0" fontId="4" fillId="0" borderId="7" xfId="0" applyFont="1" applyBorder="1"/>
    <xf numFmtId="6" fontId="4" fillId="0" borderId="7" xfId="0" applyNumberFormat="1" applyFont="1" applyBorder="1"/>
    <xf numFmtId="6" fontId="3" fillId="3" borderId="0" xfId="1" applyNumberFormat="1" applyFont="1" applyFill="1"/>
    <xf numFmtId="10" fontId="3" fillId="3" borderId="0" xfId="2" applyNumberFormat="1" applyFont="1" applyFill="1"/>
    <xf numFmtId="0" fontId="12" fillId="4" borderId="7" xfId="0" applyFont="1" applyFill="1" applyBorder="1" applyAlignment="1">
      <alignment horizontal="center" vertical="center" wrapText="1"/>
    </xf>
    <xf numFmtId="0" fontId="12" fillId="0" borderId="0" xfId="4" applyFont="1"/>
    <xf numFmtId="0" fontId="27" fillId="0" borderId="0" xfId="4" applyFont="1" applyAlignment="1">
      <alignment vertical="center" wrapText="1"/>
    </xf>
    <xf numFmtId="0" fontId="3" fillId="3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1" fontId="3" fillId="0" borderId="0" xfId="1" applyNumberFormat="1" applyFont="1" applyAlignment="1">
      <alignment horizontal="center" vertical="center"/>
    </xf>
    <xf numFmtId="0" fontId="3" fillId="4" borderId="0" xfId="4" applyFont="1" applyFill="1" applyAlignment="1">
      <alignment horizontal="center" vertical="center"/>
    </xf>
    <xf numFmtId="0" fontId="0" fillId="4" borderId="0" xfId="0" applyFill="1"/>
    <xf numFmtId="2" fontId="4" fillId="0" borderId="0" xfId="0" applyNumberFormat="1" applyFont="1" applyAlignment="1">
      <alignment horizontal="center" vertical="center"/>
    </xf>
    <xf numFmtId="1" fontId="0" fillId="0" borderId="0" xfId="0" applyNumberFormat="1"/>
    <xf numFmtId="0" fontId="4" fillId="0" borderId="0" xfId="0" applyFont="1" applyAlignment="1">
      <alignment horizontal="right"/>
    </xf>
    <xf numFmtId="9" fontId="4" fillId="3" borderId="0" xfId="0" applyNumberFormat="1" applyFont="1" applyFill="1"/>
    <xf numFmtId="164" fontId="4" fillId="3" borderId="0" xfId="1" applyNumberFormat="1" applyFont="1" applyFill="1"/>
    <xf numFmtId="175" fontId="4" fillId="3" borderId="0" xfId="3" applyNumberFormat="1" applyFont="1" applyFill="1"/>
    <xf numFmtId="169" fontId="4" fillId="3" borderId="0" xfId="2" applyNumberFormat="1" applyFont="1" applyFill="1"/>
    <xf numFmtId="173" fontId="4" fillId="0" borderId="0" xfId="3" applyNumberFormat="1" applyFont="1"/>
    <xf numFmtId="174" fontId="4" fillId="0" borderId="0" xfId="3" applyNumberFormat="1" applyFont="1"/>
    <xf numFmtId="168" fontId="4" fillId="3" borderId="0" xfId="0" applyNumberFormat="1" applyFont="1" applyFill="1"/>
    <xf numFmtId="164" fontId="2" fillId="3" borderId="0" xfId="1" applyNumberFormat="1" applyFont="1" applyFill="1"/>
    <xf numFmtId="0" fontId="4" fillId="0" borderId="28" xfId="0" applyFont="1" applyBorder="1"/>
    <xf numFmtId="167" fontId="4" fillId="0" borderId="28" xfId="3" applyNumberFormat="1" applyFont="1" applyBorder="1"/>
    <xf numFmtId="0" fontId="4" fillId="0" borderId="45" xfId="0" applyFont="1" applyBorder="1"/>
    <xf numFmtId="164" fontId="4" fillId="0" borderId="45" xfId="1" applyNumberFormat="1" applyFont="1" applyBorder="1"/>
    <xf numFmtId="164" fontId="4" fillId="4" borderId="7" xfId="1" applyNumberFormat="1" applyFont="1" applyFill="1" applyBorder="1"/>
    <xf numFmtId="176" fontId="4" fillId="0" borderId="0" xfId="0" applyNumberFormat="1" applyFont="1"/>
    <xf numFmtId="2" fontId="4" fillId="0" borderId="0" xfId="0" applyNumberFormat="1" applyFont="1"/>
    <xf numFmtId="173" fontId="4" fillId="0" borderId="0" xfId="0" applyNumberFormat="1" applyFont="1"/>
    <xf numFmtId="6" fontId="3" fillId="3" borderId="0" xfId="0" applyNumberFormat="1" applyFont="1" applyFill="1"/>
    <xf numFmtId="167" fontId="3" fillId="5" borderId="0" xfId="0" applyNumberFormat="1" applyFont="1" applyFill="1" applyAlignment="1">
      <alignment vertical="center"/>
    </xf>
    <xf numFmtId="10" fontId="4" fillId="0" borderId="0" xfId="0" applyNumberFormat="1" applyFont="1"/>
    <xf numFmtId="0" fontId="12" fillId="4" borderId="0" xfId="4" applyFont="1" applyFill="1" applyAlignment="1">
      <alignment horizontal="center"/>
    </xf>
    <xf numFmtId="10" fontId="12" fillId="0" borderId="0" xfId="4" applyNumberFormat="1" applyFont="1"/>
    <xf numFmtId="0" fontId="3" fillId="0" borderId="0" xfId="0" applyFont="1" applyAlignment="1">
      <alignment horizontal="right"/>
    </xf>
    <xf numFmtId="0" fontId="3" fillId="0" borderId="7" xfId="0" applyFont="1" applyBorder="1"/>
    <xf numFmtId="6" fontId="3" fillId="0" borderId="7" xfId="0" applyNumberFormat="1" applyFont="1" applyBorder="1"/>
    <xf numFmtId="0" fontId="25" fillId="3" borderId="0" xfId="0" applyFont="1" applyFill="1" applyAlignment="1">
      <alignment horizontal="center" wrapText="1"/>
    </xf>
    <xf numFmtId="9" fontId="3" fillId="0" borderId="0" xfId="4" applyNumberFormat="1" applyFont="1"/>
    <xf numFmtId="0" fontId="22" fillId="6" borderId="35" xfId="6" applyFont="1" applyFill="1" applyBorder="1" applyAlignment="1">
      <alignment horizontal="center" wrapText="1"/>
    </xf>
    <xf numFmtId="0" fontId="12" fillId="3" borderId="0" xfId="0" applyFont="1" applyFill="1" applyAlignment="1">
      <alignment horizontal="right"/>
    </xf>
    <xf numFmtId="0" fontId="26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1" fillId="3" borderId="29" xfId="4" applyFont="1" applyFill="1" applyBorder="1" applyAlignment="1">
      <alignment horizontal="center" vertical="center"/>
    </xf>
    <xf numFmtId="0" fontId="11" fillId="3" borderId="30" xfId="4" applyFont="1" applyFill="1" applyBorder="1" applyAlignment="1">
      <alignment horizontal="center" vertical="center"/>
    </xf>
    <xf numFmtId="0" fontId="11" fillId="3" borderId="18" xfId="4" applyFont="1" applyFill="1" applyBorder="1" applyAlignment="1">
      <alignment horizontal="center" vertical="center"/>
    </xf>
    <xf numFmtId="0" fontId="16" fillId="3" borderId="31" xfId="4" applyFont="1" applyFill="1" applyBorder="1" applyAlignment="1">
      <alignment horizontal="center" vertical="center"/>
    </xf>
    <xf numFmtId="0" fontId="16" fillId="3" borderId="32" xfId="4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2" fillId="4" borderId="12" xfId="4" applyFont="1" applyFill="1" applyBorder="1" applyAlignment="1">
      <alignment horizontal="center"/>
    </xf>
    <xf numFmtId="0" fontId="12" fillId="4" borderId="21" xfId="4" applyFont="1" applyFill="1" applyBorder="1" applyAlignment="1">
      <alignment horizontal="center"/>
    </xf>
    <xf numFmtId="0" fontId="12" fillId="4" borderId="22" xfId="4" applyFont="1" applyFill="1" applyBorder="1" applyAlignment="1">
      <alignment horizontal="center"/>
    </xf>
    <xf numFmtId="0" fontId="12" fillId="4" borderId="23" xfId="4" applyFont="1" applyFill="1" applyBorder="1" applyAlignment="1">
      <alignment horizontal="center"/>
    </xf>
    <xf numFmtId="0" fontId="12" fillId="4" borderId="21" xfId="4" applyFont="1" applyFill="1" applyBorder="1" applyAlignment="1">
      <alignment horizontal="center" vertical="center"/>
    </xf>
    <xf numFmtId="0" fontId="12" fillId="4" borderId="22" xfId="4" applyFont="1" applyFill="1" applyBorder="1" applyAlignment="1">
      <alignment horizontal="center" vertical="center"/>
    </xf>
    <xf numFmtId="0" fontId="12" fillId="4" borderId="23" xfId="4" applyFont="1" applyFill="1" applyBorder="1" applyAlignment="1">
      <alignment horizontal="center" vertical="center"/>
    </xf>
    <xf numFmtId="0" fontId="12" fillId="4" borderId="12" xfId="4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 wrapText="1"/>
    </xf>
    <xf numFmtId="0" fontId="27" fillId="4" borderId="0" xfId="4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31" fillId="4" borderId="0" xfId="0" applyFont="1" applyFill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64" fontId="4" fillId="0" borderId="29" xfId="1" applyNumberFormat="1" applyFont="1" applyBorder="1" applyAlignment="1">
      <alignment horizontal="center" vertical="center"/>
    </xf>
    <xf numFmtId="164" fontId="4" fillId="0" borderId="30" xfId="1" applyNumberFormat="1" applyFont="1" applyBorder="1" applyAlignment="1">
      <alignment horizontal="center" vertical="center"/>
    </xf>
    <xf numFmtId="164" fontId="4" fillId="0" borderId="18" xfId="1" applyNumberFormat="1" applyFont="1" applyBorder="1" applyAlignment="1">
      <alignment horizontal="center" vertical="center"/>
    </xf>
    <xf numFmtId="0" fontId="31" fillId="4" borderId="0" xfId="4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7">
    <cellStyle name="Millares" xfId="3" builtinId="3"/>
    <cellStyle name="Moneda" xfId="1" builtinId="4"/>
    <cellStyle name="Normal" xfId="0" builtinId="0"/>
    <cellStyle name="Normal 2" xfId="4" xr:uid="{00000000-0005-0000-0000-000003000000}"/>
    <cellStyle name="Normal 2 2" xfId="5" xr:uid="{00000000-0005-0000-0000-000004000000}"/>
    <cellStyle name="Normal 3" xfId="6" xr:uid="{00000000-0005-0000-0000-000005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Regresion - Cant Vendidas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'Proyección de ventas'!$I$29:$K$29</c:f>
              <c:strCache>
                <c:ptCount val="3"/>
                <c:pt idx="0">
                  <c:v>Cantidad de Serv. Anual</c:v>
                </c:pt>
                <c:pt idx="1">
                  <c:v>Cant Mensual</c:v>
                </c:pt>
                <c:pt idx="2">
                  <c:v>Cant Diaria</c:v>
                </c:pt>
              </c:strCache>
            </c:strRef>
          </c:xVal>
          <c:yVal>
            <c:numRef>
              <c:f>'Proyección de ventas'!$I$30:$K$30</c:f>
              <c:numCache>
                <c:formatCode>_-* #,##0_-;\-* #,##0_-;_-* "-"??_-;_-@_-</c:formatCode>
                <c:ptCount val="3"/>
                <c:pt idx="0">
                  <c:v>13200</c:v>
                </c:pt>
                <c:pt idx="1">
                  <c:v>1100</c:v>
                </c:pt>
                <c:pt idx="2">
                  <c:v>36.666666666666664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0C-4FCD-B715-DAA984467CF1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8613278659627446E-2"/>
                  <c:y val="-2.84463400408282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strRef>
              <c:f>'Proyección de ventas'!$I$29:$K$29</c:f>
              <c:strCache>
                <c:ptCount val="3"/>
                <c:pt idx="0">
                  <c:v>Cantidad de Serv. Anual</c:v>
                </c:pt>
                <c:pt idx="1">
                  <c:v>Cant Mensual</c:v>
                </c:pt>
                <c:pt idx="2">
                  <c:v>Cant Diaria</c:v>
                </c:pt>
              </c:strCache>
            </c:strRef>
          </c:xVal>
          <c:yVal>
            <c:numRef>
              <c:f>'Proyección de ventas'!$I$31:$K$31</c:f>
              <c:numCache>
                <c:formatCode>_-* #,##0_-;\-* #,##0_-;_-* "-"??_-;_-@_-</c:formatCode>
                <c:ptCount val="3"/>
                <c:pt idx="0">
                  <c:v>13464</c:v>
                </c:pt>
                <c:pt idx="1">
                  <c:v>1122</c:v>
                </c:pt>
                <c:pt idx="2">
                  <c:v>37.4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0C-4FCD-B715-DAA984467CF1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strRef>
              <c:f>'Proyección de ventas'!$I$29:$K$29</c:f>
              <c:strCache>
                <c:ptCount val="3"/>
                <c:pt idx="0">
                  <c:v>Cantidad de Serv. Anual</c:v>
                </c:pt>
                <c:pt idx="1">
                  <c:v>Cant Mensual</c:v>
                </c:pt>
                <c:pt idx="2">
                  <c:v>Cant Diaria</c:v>
                </c:pt>
              </c:strCache>
            </c:strRef>
          </c:xVal>
          <c:yVal>
            <c:numRef>
              <c:f>'Proyección de ventas'!$I$32:$K$32</c:f>
              <c:numCache>
                <c:formatCode>_-* #,##0_-;\-* #,##0_-;_-* "-"??_-;_-@_-</c:formatCode>
                <c:ptCount val="3"/>
                <c:pt idx="0">
                  <c:v>13733.28</c:v>
                </c:pt>
                <c:pt idx="1">
                  <c:v>1144.44</c:v>
                </c:pt>
                <c:pt idx="2">
                  <c:v>38.148000000000003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91-46F5-B21D-8C48F3D0197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strRef>
              <c:f>'Proyección de ventas'!$I$29:$K$29</c:f>
              <c:strCache>
                <c:ptCount val="3"/>
                <c:pt idx="0">
                  <c:v>Cantidad de Serv. Anual</c:v>
                </c:pt>
                <c:pt idx="1">
                  <c:v>Cant Mensual</c:v>
                </c:pt>
                <c:pt idx="2">
                  <c:v>Cant Diaria</c:v>
                </c:pt>
              </c:strCache>
            </c:strRef>
          </c:xVal>
          <c:yVal>
            <c:numRef>
              <c:f>'Proyección de ventas'!$I$33:$K$33</c:f>
              <c:numCache>
                <c:formatCode>_-* #,##0_-;\-* #,##0_-;_-* "-"??_-;_-@_-</c:formatCode>
                <c:ptCount val="3"/>
                <c:pt idx="0">
                  <c:v>14007.945599999999</c:v>
                </c:pt>
                <c:pt idx="1">
                  <c:v>1167.3288</c:v>
                </c:pt>
                <c:pt idx="2">
                  <c:v>38.910960000000003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91-46F5-B21D-8C48F3D01973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strRef>
              <c:f>'Proyección de ventas'!$I$29:$K$29</c:f>
              <c:strCache>
                <c:ptCount val="3"/>
                <c:pt idx="0">
                  <c:v>Cantidad de Serv. Anual</c:v>
                </c:pt>
                <c:pt idx="1">
                  <c:v>Cant Mensual</c:v>
                </c:pt>
                <c:pt idx="2">
                  <c:v>Cant Diaria</c:v>
                </c:pt>
              </c:strCache>
            </c:strRef>
          </c:xVal>
          <c:yVal>
            <c:numRef>
              <c:f>'Proyección de ventas'!$I$34:$K$34</c:f>
              <c:numCache>
                <c:formatCode>_-* #,##0_-;\-* #,##0_-;_-* "-"??_-;_-@_-</c:formatCode>
                <c:ptCount val="3"/>
                <c:pt idx="0">
                  <c:v>14288.104512</c:v>
                </c:pt>
                <c:pt idx="1">
                  <c:v>1190.6753759999999</c:v>
                </c:pt>
                <c:pt idx="2">
                  <c:v>39.689179199999998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91-46F5-B21D-8C48F3D01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330511"/>
        <c:axId val="528327151"/>
      </c:scatterChart>
      <c:valAx>
        <c:axId val="5283305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327151"/>
        <c:crosses val="autoZero"/>
        <c:crossBetween val="midCat"/>
      </c:valAx>
      <c:valAx>
        <c:axId val="52832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83305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ANALISIS 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'Punto de equilibrio'!$B$18</c:f>
              <c:strCache>
                <c:ptCount val="1"/>
                <c:pt idx="0">
                  <c:v>Cantidad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F-498B-969B-658E2F6513E0}"/>
            </c:ext>
          </c:extLst>
        </c:ser>
        <c:ser>
          <c:idx val="1"/>
          <c:order val="1"/>
          <c:tx>
            <c:strRef>
              <c:f>'Punto de equilibrio'!$C$18</c:f>
              <c:strCache>
                <c:ptCount val="1"/>
                <c:pt idx="0">
                  <c:v> Ingresos 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equilibrio'!$C$19:$C$28</c:f>
              <c:numCache>
                <c:formatCode>"$"#,##0_);[Red]\("$"#,##0\)</c:formatCode>
                <c:ptCount val="10"/>
                <c:pt idx="0">
                  <c:v>0</c:v>
                </c:pt>
                <c:pt idx="1">
                  <c:v>1115277.2273663916</c:v>
                </c:pt>
                <c:pt idx="2">
                  <c:v>2143277.2273663916</c:v>
                </c:pt>
                <c:pt idx="3">
                  <c:v>3171277.2273663916</c:v>
                </c:pt>
                <c:pt idx="4">
                  <c:v>4199277.2273663916</c:v>
                </c:pt>
                <c:pt idx="5">
                  <c:v>5227277.2273663916</c:v>
                </c:pt>
                <c:pt idx="6">
                  <c:v>6255277.2273663916</c:v>
                </c:pt>
                <c:pt idx="7">
                  <c:v>7283277.2273663916</c:v>
                </c:pt>
                <c:pt idx="8">
                  <c:v>8311277.2273663916</c:v>
                </c:pt>
                <c:pt idx="9">
                  <c:v>9339277.2273663916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F-498B-969B-658E2F6513E0}"/>
            </c:ext>
          </c:extLst>
        </c:ser>
        <c:ser>
          <c:idx val="2"/>
          <c:order val="2"/>
          <c:tx>
            <c:strRef>
              <c:f>'Punto de equilibrio'!$D$18</c:f>
              <c:strCache>
                <c:ptCount val="1"/>
                <c:pt idx="0">
                  <c:v>Costo Fijo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equilibrio'!$D$19:$D$28</c:f>
              <c:numCache>
                <c:formatCode>"$"#,##0_);[Red]\("$"#,##0\)</c:formatCode>
                <c:ptCount val="10"/>
                <c:pt idx="0">
                  <c:v>5173281.5176666668</c:v>
                </c:pt>
                <c:pt idx="1">
                  <c:v>5173281.5176666668</c:v>
                </c:pt>
                <c:pt idx="2">
                  <c:v>5173281.5176666668</c:v>
                </c:pt>
                <c:pt idx="3">
                  <c:v>5173281.5176666668</c:v>
                </c:pt>
                <c:pt idx="4">
                  <c:v>5173281.5176666668</c:v>
                </c:pt>
                <c:pt idx="5">
                  <c:v>5173281.5176666668</c:v>
                </c:pt>
                <c:pt idx="6">
                  <c:v>5173281.5176666668</c:v>
                </c:pt>
                <c:pt idx="7">
                  <c:v>5173281.5176666668</c:v>
                </c:pt>
                <c:pt idx="8">
                  <c:v>5173281.5176666668</c:v>
                </c:pt>
                <c:pt idx="9">
                  <c:v>5173281.5176666668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9F-498B-969B-658E2F6513E0}"/>
            </c:ext>
          </c:extLst>
        </c:ser>
        <c:ser>
          <c:idx val="3"/>
          <c:order val="3"/>
          <c:tx>
            <c:strRef>
              <c:f>'Punto de equilibrio'!$E$18</c:f>
              <c:strCache>
                <c:ptCount val="1"/>
                <c:pt idx="0">
                  <c:v>Costo Variable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equilibrio'!$E$19:$E$28</c:f>
              <c:numCache>
                <c:formatCode>"$"#,##0_);[Red]\("$"#,##0\)</c:formatCode>
                <c:ptCount val="10"/>
                <c:pt idx="0">
                  <c:v>0</c:v>
                </c:pt>
                <c:pt idx="1">
                  <c:v>11520.373376854421</c:v>
                </c:pt>
                <c:pt idx="2">
                  <c:v>22139.207457571909</c:v>
                </c:pt>
                <c:pt idx="3">
                  <c:v>32758.041538289399</c:v>
                </c:pt>
                <c:pt idx="4">
                  <c:v>43376.875619006889</c:v>
                </c:pt>
                <c:pt idx="5">
                  <c:v>53995.709699724372</c:v>
                </c:pt>
                <c:pt idx="6">
                  <c:v>64614.543780441862</c:v>
                </c:pt>
                <c:pt idx="7">
                  <c:v>75233.377861159344</c:v>
                </c:pt>
                <c:pt idx="8">
                  <c:v>85852.211941876842</c:v>
                </c:pt>
                <c:pt idx="9">
                  <c:v>96471.046022594324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9F-498B-969B-658E2F6513E0}"/>
            </c:ext>
          </c:extLst>
        </c:ser>
        <c:ser>
          <c:idx val="4"/>
          <c:order val="4"/>
          <c:tx>
            <c:strRef>
              <c:f>'Punto de equilibrio'!$F$18</c:f>
              <c:strCache>
                <c:ptCount val="1"/>
                <c:pt idx="0">
                  <c:v>Costo Total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equilibrio'!$F$19:$F$28</c:f>
              <c:numCache>
                <c:formatCode>"$"#,##0_);[Red]\("$"#,##0\)</c:formatCode>
                <c:ptCount val="10"/>
                <c:pt idx="0">
                  <c:v>5173281.5176666668</c:v>
                </c:pt>
                <c:pt idx="1">
                  <c:v>5184801.8910435215</c:v>
                </c:pt>
                <c:pt idx="2">
                  <c:v>5195420.725124239</c:v>
                </c:pt>
                <c:pt idx="3">
                  <c:v>5206039.5592049565</c:v>
                </c:pt>
                <c:pt idx="4">
                  <c:v>5216658.393285674</c:v>
                </c:pt>
                <c:pt idx="5">
                  <c:v>5227277.2273663916</c:v>
                </c:pt>
                <c:pt idx="6">
                  <c:v>5237896.0614471082</c:v>
                </c:pt>
                <c:pt idx="7">
                  <c:v>5248514.8955278257</c:v>
                </c:pt>
                <c:pt idx="8">
                  <c:v>5259133.7296085432</c:v>
                </c:pt>
                <c:pt idx="9">
                  <c:v>5269752.5636892607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9F-498B-969B-658E2F6513E0}"/>
            </c:ext>
          </c:extLst>
        </c:ser>
        <c:ser>
          <c:idx val="5"/>
          <c:order val="5"/>
          <c:tx>
            <c:strRef>
              <c:f>'Punto de equilibrio'!$G$18</c:f>
              <c:strCache>
                <c:ptCount val="1"/>
                <c:pt idx="0">
                  <c:v>Utilidad</c:v>
                </c:pt>
              </c:strCache>
            </c:strRef>
          </c:tx>
          <c:spPr>
            <a:ln w="22225" cap="rnd" cmpd="sng" algn="ctr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'Punto de equilibrio'!$B$19:$B$28</c:f>
              <c:numCache>
                <c:formatCode>_-* #,##0_-;\-* #,##0_-;_-* "-"??_-;_-@_-</c:formatCode>
                <c:ptCount val="10"/>
                <c:pt idx="0" formatCode="_-* #,##0.000_-;\-* #,##0.000_-;_-* &quot;-&quot;??_-;_-@_-">
                  <c:v>0</c:v>
                </c:pt>
                <c:pt idx="1">
                  <c:v>4.3396001064840135</c:v>
                </c:pt>
                <c:pt idx="2">
                  <c:v>8.3396001064840135</c:v>
                </c:pt>
                <c:pt idx="3">
                  <c:v>12.339600106484014</c:v>
                </c:pt>
                <c:pt idx="4">
                  <c:v>16.339600106484014</c:v>
                </c:pt>
                <c:pt idx="5">
                  <c:v>20.339600106484014</c:v>
                </c:pt>
                <c:pt idx="6">
                  <c:v>24.339600106484014</c:v>
                </c:pt>
                <c:pt idx="7">
                  <c:v>28.339600106484014</c:v>
                </c:pt>
                <c:pt idx="8">
                  <c:v>32.339600106484014</c:v>
                </c:pt>
                <c:pt idx="9">
                  <c:v>36.339600106484014</c:v>
                </c:pt>
              </c:numCache>
            </c:numRef>
          </c:cat>
          <c:val>
            <c:numRef>
              <c:f>'Punto de equilibrio'!$G$19:$G$28</c:f>
              <c:numCache>
                <c:formatCode>"$"#,##0_);[Red]\("$"#,##0\)</c:formatCode>
                <c:ptCount val="10"/>
                <c:pt idx="0">
                  <c:v>-5173281.5176666668</c:v>
                </c:pt>
                <c:pt idx="1">
                  <c:v>-4069524.6636771299</c:v>
                </c:pt>
                <c:pt idx="2">
                  <c:v>-3052143.4977578474</c:v>
                </c:pt>
                <c:pt idx="3">
                  <c:v>-2034762.3318385649</c:v>
                </c:pt>
                <c:pt idx="4">
                  <c:v>-1017381.1659192825</c:v>
                </c:pt>
                <c:pt idx="5">
                  <c:v>0</c:v>
                </c:pt>
                <c:pt idx="6">
                  <c:v>1017381.1659192834</c:v>
                </c:pt>
                <c:pt idx="7">
                  <c:v>2034762.3318385659</c:v>
                </c:pt>
                <c:pt idx="8">
                  <c:v>3052143.4977578484</c:v>
                </c:pt>
                <c:pt idx="9">
                  <c:v>4069524.6636771308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9F-498B-969B-658E2F651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428635504"/>
        <c:axId val="1428652304"/>
      </c:lineChart>
      <c:catAx>
        <c:axId val="1428635504"/>
        <c:scaling>
          <c:orientation val="minMax"/>
        </c:scaling>
        <c:delete val="0"/>
        <c:axPos val="b"/>
        <c:numFmt formatCode="#,##0_ ;[Red]\-#,##0\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8652304"/>
        <c:crosses val="autoZero"/>
        <c:auto val="1"/>
        <c:lblAlgn val="ctr"/>
        <c:lblOffset val="100"/>
        <c:noMultiLvlLbl val="0"/>
      </c:catAx>
      <c:valAx>
        <c:axId val="1428652304"/>
        <c:scaling>
          <c:orientation val="minMax"/>
        </c:scaling>
        <c:delete val="0"/>
        <c:axPos val="l"/>
        <c:numFmt formatCode="&quot;$&quot;#,##0_);[Red]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863550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efinici&#243;n de Precio  '!A1"/><Relationship Id="rId13" Type="http://schemas.openxmlformats.org/officeDocument/2006/relationships/image" Target="../media/image7.png"/><Relationship Id="rId18" Type="http://schemas.openxmlformats.org/officeDocument/2006/relationships/image" Target="../media/image10.png"/><Relationship Id="rId3" Type="http://schemas.openxmlformats.org/officeDocument/2006/relationships/image" Target="../media/image2.svg"/><Relationship Id="rId21" Type="http://schemas.openxmlformats.org/officeDocument/2006/relationships/hyperlink" Target="#'Punto de equilibrio'!A1"/><Relationship Id="rId7" Type="http://schemas.openxmlformats.org/officeDocument/2006/relationships/image" Target="../media/image4.png"/><Relationship Id="rId12" Type="http://schemas.openxmlformats.org/officeDocument/2006/relationships/hyperlink" Target="#'Flujo de Efectivo-Rentabilidad '!A1"/><Relationship Id="rId17" Type="http://schemas.openxmlformats.org/officeDocument/2006/relationships/image" Target="../media/image9.png"/><Relationship Id="rId2" Type="http://schemas.openxmlformats.org/officeDocument/2006/relationships/image" Target="../media/image1.png"/><Relationship Id="rId16" Type="http://schemas.openxmlformats.org/officeDocument/2006/relationships/hyperlink" Target="#Riesgo!A1"/><Relationship Id="rId20" Type="http://schemas.openxmlformats.org/officeDocument/2006/relationships/image" Target="../media/image11.png"/><Relationship Id="rId1" Type="http://schemas.openxmlformats.org/officeDocument/2006/relationships/hyperlink" Target="#Gastos!A1"/><Relationship Id="rId6" Type="http://schemas.openxmlformats.org/officeDocument/2006/relationships/hyperlink" Target="#N&#243;mina!A1"/><Relationship Id="rId11" Type="http://schemas.openxmlformats.org/officeDocument/2006/relationships/image" Target="../media/image6.png"/><Relationship Id="rId24" Type="http://schemas.openxmlformats.org/officeDocument/2006/relationships/image" Target="../media/image13.jpe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23" Type="http://schemas.openxmlformats.org/officeDocument/2006/relationships/hyperlink" Target="#'Inversi&#243;n y Activos Fijos'!A1"/><Relationship Id="rId10" Type="http://schemas.openxmlformats.org/officeDocument/2006/relationships/hyperlink" Target="#'Proyecci&#243;n de ventas'!A1"/><Relationship Id="rId19" Type="http://schemas.openxmlformats.org/officeDocument/2006/relationships/hyperlink" Target="#'Flujo de caja'!A1"/><Relationship Id="rId4" Type="http://schemas.openxmlformats.org/officeDocument/2006/relationships/hyperlink" Target="#Costos!A1"/><Relationship Id="rId9" Type="http://schemas.openxmlformats.org/officeDocument/2006/relationships/image" Target="../media/image5.png"/><Relationship Id="rId14" Type="http://schemas.openxmlformats.org/officeDocument/2006/relationships/hyperlink" Target="#Inflaci&#243;n!A1"/><Relationship Id="rId22" Type="http://schemas.openxmlformats.org/officeDocument/2006/relationships/image" Target="../media/image12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hyperlink" Target="#Indice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464820</xdr:colOff>
      <xdr:row>3</xdr:row>
      <xdr:rowOff>46070</xdr:rowOff>
    </xdr:from>
    <xdr:to>
      <xdr:col>13</xdr:col>
      <xdr:colOff>144780</xdr:colOff>
      <xdr:row>7</xdr:row>
      <xdr:rowOff>181129</xdr:rowOff>
    </xdr:to>
    <xdr:pic>
      <xdr:nvPicPr>
        <xdr:cNvPr id="4" name="Imagen 3" descr="Dinero contor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AC47A2-CBE9-0D1F-484E-56E2760B0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l="1480" r="1480"/>
        <a:stretch/>
      </xdr:blipFill>
      <xdr:spPr>
        <a:xfrm>
          <a:off x="8801100" y="594710"/>
          <a:ext cx="1013460" cy="103421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675485</xdr:colOff>
      <xdr:row>12</xdr:row>
      <xdr:rowOff>23446</xdr:rowOff>
    </xdr:from>
    <xdr:to>
      <xdr:col>4</xdr:col>
      <xdr:colOff>158368</xdr:colOff>
      <xdr:row>17</xdr:row>
      <xdr:rowOff>100330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A157A1-6B15-AF64-2EC0-5653B5F4B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96665" y="2385646"/>
          <a:ext cx="976403" cy="99128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243840</xdr:colOff>
      <xdr:row>3</xdr:row>
      <xdr:rowOff>17258</xdr:rowOff>
    </xdr:from>
    <xdr:to>
      <xdr:col>9</xdr:col>
      <xdr:colOff>1230024</xdr:colOff>
      <xdr:row>7</xdr:row>
      <xdr:rowOff>156210</xdr:rowOff>
    </xdr:to>
    <xdr:pic>
      <xdr:nvPicPr>
        <xdr:cNvPr id="8" name="Imag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C32762-7CCC-C43E-6B8E-A24DAA216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45680" y="565898"/>
          <a:ext cx="986184" cy="103811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576906</xdr:colOff>
      <xdr:row>3</xdr:row>
      <xdr:rowOff>30480</xdr:rowOff>
    </xdr:from>
    <xdr:to>
      <xdr:col>4</xdr:col>
      <xdr:colOff>121920</xdr:colOff>
      <xdr:row>7</xdr:row>
      <xdr:rowOff>128320</xdr:rowOff>
    </xdr:to>
    <xdr:pic>
      <xdr:nvPicPr>
        <xdr:cNvPr id="9" name="Imagen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E598A6D-C433-F09E-66C1-D433295A8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98086" y="579120"/>
          <a:ext cx="1038534" cy="997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594360</xdr:colOff>
      <xdr:row>3</xdr:row>
      <xdr:rowOff>37887</xdr:rowOff>
    </xdr:from>
    <xdr:to>
      <xdr:col>6</xdr:col>
      <xdr:colOff>992813</xdr:colOff>
      <xdr:row>7</xdr:row>
      <xdr:rowOff>144780</xdr:rowOff>
    </xdr:to>
    <xdr:pic>
      <xdr:nvPicPr>
        <xdr:cNvPr id="10" name="Imagen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E0278D0-20C3-9362-0323-48B5DAF5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55820" y="586527"/>
          <a:ext cx="1000433" cy="100605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152400</xdr:colOff>
      <xdr:row>12</xdr:row>
      <xdr:rowOff>30481</xdr:rowOff>
    </xdr:from>
    <xdr:to>
      <xdr:col>9</xdr:col>
      <xdr:colOff>1289684</xdr:colOff>
      <xdr:row>17</xdr:row>
      <xdr:rowOff>76200</xdr:rowOff>
    </xdr:to>
    <xdr:pic>
      <xdr:nvPicPr>
        <xdr:cNvPr id="12" name="Imagen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9673335-C680-E2C1-3BDA-240627581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54240" y="2392681"/>
          <a:ext cx="1137284" cy="96011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622908</xdr:colOff>
      <xdr:row>21</xdr:row>
      <xdr:rowOff>167640</xdr:rowOff>
    </xdr:from>
    <xdr:to>
      <xdr:col>4</xdr:col>
      <xdr:colOff>108809</xdr:colOff>
      <xdr:row>27</xdr:row>
      <xdr:rowOff>83820</xdr:rowOff>
    </xdr:to>
    <xdr:pic>
      <xdr:nvPicPr>
        <xdr:cNvPr id="13" name="Imagen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C6C38E-D21D-6362-B30C-DA412112B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444088" y="4175760"/>
          <a:ext cx="979421" cy="10134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22860</xdr:colOff>
      <xdr:row>21</xdr:row>
      <xdr:rowOff>166909</xdr:rowOff>
    </xdr:from>
    <xdr:to>
      <xdr:col>6</xdr:col>
      <xdr:colOff>960120</xdr:colOff>
      <xdr:row>27</xdr:row>
      <xdr:rowOff>87012</xdr:rowOff>
    </xdr:to>
    <xdr:pic>
      <xdr:nvPicPr>
        <xdr:cNvPr id="14" name="Imagen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87820E1-877A-8CCD-5F8C-F2315794E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876800" y="4175029"/>
          <a:ext cx="937260" cy="101738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0</xdr:col>
      <xdr:colOff>0</xdr:colOff>
      <xdr:row>1</xdr:row>
      <xdr:rowOff>80700</xdr:rowOff>
    </xdr:from>
    <xdr:to>
      <xdr:col>0</xdr:col>
      <xdr:colOff>1187511</xdr:colOff>
      <xdr:row>5</xdr:row>
      <xdr:rowOff>65414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D1B9E5-2640-A37A-5F47-F5A9FC7E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64850"/>
          <a:ext cx="1187511" cy="721314"/>
        </a:xfrm>
        <a:prstGeom prst="rect">
          <a:avLst/>
        </a:prstGeom>
      </xdr:spPr>
    </xdr:pic>
    <xdr:clientData/>
  </xdr:twoCellAnchor>
  <xdr:twoCellAnchor editAs="oneCell">
    <xdr:from>
      <xdr:col>11</xdr:col>
      <xdr:colOff>403860</xdr:colOff>
      <xdr:row>12</xdr:row>
      <xdr:rowOff>113569</xdr:rowOff>
    </xdr:from>
    <xdr:to>
      <xdr:col>13</xdr:col>
      <xdr:colOff>53340</xdr:colOff>
      <xdr:row>17</xdr:row>
      <xdr:rowOff>137160</xdr:rowOff>
    </xdr:to>
    <xdr:pic>
      <xdr:nvPicPr>
        <xdr:cNvPr id="2" name="Imagen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929022E-B795-471E-9D89-F18B98F219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6" b="8653"/>
        <a:stretch/>
      </xdr:blipFill>
      <xdr:spPr>
        <a:xfrm>
          <a:off x="9037320" y="2475769"/>
          <a:ext cx="982980" cy="93799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304800</xdr:colOff>
      <xdr:row>21</xdr:row>
      <xdr:rowOff>159289</xdr:rowOff>
    </xdr:from>
    <xdr:to>
      <xdr:col>9</xdr:col>
      <xdr:colOff>1242060</xdr:colOff>
      <xdr:row>27</xdr:row>
      <xdr:rowOff>79392</xdr:rowOff>
    </xdr:to>
    <xdr:pic>
      <xdr:nvPicPr>
        <xdr:cNvPr id="5" name="Imagen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42AB3AC2-04EF-469F-8289-41E842ED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8" r="3938"/>
        <a:stretch/>
      </xdr:blipFill>
      <xdr:spPr>
        <a:xfrm>
          <a:off x="7406640" y="4342669"/>
          <a:ext cx="937260" cy="101738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533400</xdr:colOff>
      <xdr:row>12</xdr:row>
      <xdr:rowOff>83821</xdr:rowOff>
    </xdr:from>
    <xdr:to>
      <xdr:col>7</xdr:col>
      <xdr:colOff>55244</xdr:colOff>
      <xdr:row>17</xdr:row>
      <xdr:rowOff>129540</xdr:rowOff>
    </xdr:to>
    <xdr:pic>
      <xdr:nvPicPr>
        <xdr:cNvPr id="11" name="Imagen 10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9433A7BF-3EDB-407C-AA63-D1EADA393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5" r="16685"/>
        <a:stretch/>
      </xdr:blipFill>
      <xdr:spPr>
        <a:xfrm>
          <a:off x="4785360" y="2446021"/>
          <a:ext cx="1137284" cy="96011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725022</xdr:colOff>
      <xdr:row>0</xdr:row>
      <xdr:rowOff>114300</xdr:rowOff>
    </xdr:from>
    <xdr:to>
      <xdr:col>10</xdr:col>
      <xdr:colOff>76082</xdr:colOff>
      <xdr:row>5</xdr:row>
      <xdr:rowOff>60960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E329CC-F291-4B43-88E7-305F7D237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86642" y="114300"/>
          <a:ext cx="936020" cy="86868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621237</xdr:colOff>
      <xdr:row>0</xdr:row>
      <xdr:rowOff>83820</xdr:rowOff>
    </xdr:from>
    <xdr:to>
      <xdr:col>10</xdr:col>
      <xdr:colOff>37982</xdr:colOff>
      <xdr:row>5</xdr:row>
      <xdr:rowOff>91440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0DC7F-4DE4-4EA8-AC7A-4E62C99C0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41537" y="83820"/>
          <a:ext cx="1001705" cy="9296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95457</xdr:colOff>
      <xdr:row>1</xdr:row>
      <xdr:rowOff>7620</xdr:rowOff>
    </xdr:from>
    <xdr:to>
      <xdr:col>15</xdr:col>
      <xdr:colOff>304682</xdr:colOff>
      <xdr:row>6</xdr:row>
      <xdr:rowOff>15240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3F516-E33E-445B-BA62-D8A97EFC6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61777" y="182880"/>
          <a:ext cx="1001705" cy="9296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7</xdr:col>
      <xdr:colOff>373380</xdr:colOff>
      <xdr:row>2</xdr:row>
      <xdr:rowOff>163830</xdr:rowOff>
    </xdr:from>
    <xdr:to>
      <xdr:col>13</xdr:col>
      <xdr:colOff>525780</xdr:colOff>
      <xdr:row>22</xdr:row>
      <xdr:rowOff>68580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528E33E-DADB-8E6E-39A3-9FC5546B5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82627</xdr:colOff>
      <xdr:row>0</xdr:row>
      <xdr:rowOff>183613</xdr:rowOff>
    </xdr:from>
    <xdr:to>
      <xdr:col>14</xdr:col>
      <xdr:colOff>413133</xdr:colOff>
      <xdr:row>5</xdr:row>
      <xdr:rowOff>94657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AD9DCD-22DB-4549-A6F9-35E05297A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0603" y="183613"/>
          <a:ext cx="1120048" cy="103946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34938</xdr:colOff>
      <xdr:row>35</xdr:row>
      <xdr:rowOff>61113</xdr:rowOff>
    </xdr:from>
    <xdr:to>
      <xdr:col>11</xdr:col>
      <xdr:colOff>129119</xdr:colOff>
      <xdr:row>51</xdr:row>
      <xdr:rowOff>46206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7DE75F-3945-2450-80B3-9023C65D2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244230</xdr:colOff>
      <xdr:row>2</xdr:row>
      <xdr:rowOff>19539</xdr:rowOff>
    </xdr:from>
    <xdr:to>
      <xdr:col>13</xdr:col>
      <xdr:colOff>433203</xdr:colOff>
      <xdr:row>5</xdr:row>
      <xdr:rowOff>173810</xdr:rowOff>
    </xdr:to>
    <xdr:pic>
      <xdr:nvPicPr>
        <xdr:cNvPr id="2" name="Imagen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08F7A-925B-4F85-9366-EAB9D6198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15153" y="410308"/>
          <a:ext cx="1123461" cy="104263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505762</xdr:colOff>
      <xdr:row>0</xdr:row>
      <xdr:rowOff>162590</xdr:rowOff>
    </xdr:from>
    <xdr:to>
      <xdr:col>13</xdr:col>
      <xdr:colOff>543062</xdr:colOff>
      <xdr:row>5</xdr:row>
      <xdr:rowOff>8139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308AC3-5AD7-4ED9-AECB-0193488BF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10219" y="162590"/>
          <a:ext cx="842843" cy="76720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409878</xdr:colOff>
      <xdr:row>0</xdr:row>
      <xdr:rowOff>160020</xdr:rowOff>
    </xdr:from>
    <xdr:to>
      <xdr:col>5</xdr:col>
      <xdr:colOff>19235</xdr:colOff>
      <xdr:row>4</xdr:row>
      <xdr:rowOff>175260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63D3F-44C2-0B97-3BD0-2208E075F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62878" y="160020"/>
          <a:ext cx="845702" cy="7848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420625</xdr:colOff>
      <xdr:row>0</xdr:row>
      <xdr:rowOff>163165</xdr:rowOff>
    </xdr:from>
    <xdr:to>
      <xdr:col>6</xdr:col>
      <xdr:colOff>9772</xdr:colOff>
      <xdr:row>4</xdr:row>
      <xdr:rowOff>207498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82CE76-91C1-41E7-BC82-CAFE3641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3953" y="163165"/>
          <a:ext cx="778129" cy="78662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651436</xdr:colOff>
      <xdr:row>0</xdr:row>
      <xdr:rowOff>133431</xdr:rowOff>
    </xdr:from>
    <xdr:to>
      <xdr:col>5</xdr:col>
      <xdr:colOff>1620997</xdr:colOff>
      <xdr:row>4</xdr:row>
      <xdr:rowOff>285541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1B96D-8CA4-4AFE-89E2-9188F54B7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05876" y="133431"/>
          <a:ext cx="969561" cy="88363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308536</xdr:colOff>
      <xdr:row>1</xdr:row>
      <xdr:rowOff>53340</xdr:rowOff>
    </xdr:from>
    <xdr:to>
      <xdr:col>8</xdr:col>
      <xdr:colOff>1278097</xdr:colOff>
      <xdr:row>6</xdr:row>
      <xdr:rowOff>22570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B0B8F-9F27-4311-BDE3-FCB36B5CC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53136" y="236220"/>
          <a:ext cx="969561" cy="88363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72174</xdr:colOff>
      <xdr:row>0</xdr:row>
      <xdr:rowOff>158750</xdr:rowOff>
    </xdr:from>
    <xdr:to>
      <xdr:col>10</xdr:col>
      <xdr:colOff>282669</xdr:colOff>
      <xdr:row>6</xdr:row>
      <xdr:rowOff>36830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755DF-B45E-4AFD-B20A-3CB719F5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23174" y="158750"/>
          <a:ext cx="1004245" cy="91482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Q29"/>
  <sheetViews>
    <sheetView showGridLines="0" workbookViewId="0"/>
  </sheetViews>
  <sheetFormatPr baseColWidth="10" defaultColWidth="10.90625" defaultRowHeight="14.5" x14ac:dyDescent="0.35"/>
  <cols>
    <col min="1" max="1" width="21.7265625" style="77" customWidth="1"/>
    <col min="2" max="4" width="10.90625" style="77"/>
    <col min="5" max="5" width="13.6328125" style="77" customWidth="1"/>
    <col min="6" max="6" width="8.81640625" style="77" customWidth="1"/>
    <col min="7" max="7" width="14.81640625" style="77" customWidth="1"/>
    <col min="8" max="8" width="10.90625" style="77" customWidth="1"/>
    <col min="9" max="9" width="7.08984375" style="77" customWidth="1"/>
    <col min="10" max="10" width="22.54296875" style="77" customWidth="1"/>
    <col min="11" max="11" width="11.453125" style="77" customWidth="1"/>
    <col min="12" max="12" width="8.6328125" style="77" customWidth="1"/>
    <col min="13" max="13" width="10.81640625" style="77" customWidth="1"/>
    <col min="14" max="14" width="10.90625" style="77"/>
    <col min="15" max="15" width="22.90625" style="77" customWidth="1"/>
    <col min="16" max="16384" width="10.90625" style="77"/>
  </cols>
  <sheetData>
    <row r="1" spans="1:17" ht="22" customHeight="1" x14ac:dyDescent="0.35">
      <c r="B1" s="97"/>
      <c r="C1" s="82"/>
    </row>
    <row r="5" spans="1:17" x14ac:dyDescent="0.3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</row>
    <row r="6" spans="1:17" x14ac:dyDescent="0.3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7" ht="28" x14ac:dyDescent="0.35">
      <c r="A7" s="79" t="s">
        <v>94</v>
      </c>
    </row>
    <row r="8" spans="1:17" x14ac:dyDescent="0.3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</row>
    <row r="9" spans="1:17" x14ac:dyDescent="0.35">
      <c r="A9" s="78"/>
      <c r="B9" s="78"/>
      <c r="C9" s="78"/>
      <c r="D9" s="85" t="s">
        <v>107</v>
      </c>
      <c r="E9" s="78"/>
      <c r="F9" s="78"/>
      <c r="G9" s="85" t="s">
        <v>108</v>
      </c>
      <c r="J9" s="85" t="s">
        <v>106</v>
      </c>
      <c r="K9" s="81"/>
      <c r="M9" s="85" t="s">
        <v>9</v>
      </c>
      <c r="N9" s="85"/>
      <c r="O9" s="81"/>
      <c r="P9" s="80"/>
      <c r="Q9" s="82"/>
    </row>
    <row r="10" spans="1:17" x14ac:dyDescent="0.35">
      <c r="A10" s="78"/>
      <c r="B10" s="78"/>
      <c r="D10" s="85"/>
      <c r="E10" s="78"/>
      <c r="F10" s="78"/>
      <c r="G10" s="78"/>
      <c r="H10" s="81"/>
      <c r="I10" s="81"/>
      <c r="J10" s="81"/>
      <c r="K10" s="81"/>
      <c r="L10" s="81"/>
      <c r="M10" s="81"/>
      <c r="N10" s="81"/>
      <c r="O10" s="81"/>
      <c r="P10" s="81"/>
      <c r="Q10" s="82"/>
    </row>
    <row r="11" spans="1:17" x14ac:dyDescent="0.35">
      <c r="A11" s="78"/>
      <c r="B11" s="78"/>
      <c r="C11" s="78"/>
      <c r="D11" s="78"/>
      <c r="E11" s="78"/>
      <c r="F11" s="78"/>
      <c r="G11" s="78"/>
      <c r="H11" s="81"/>
      <c r="I11" s="81"/>
      <c r="J11" s="81"/>
      <c r="K11" s="81"/>
      <c r="L11" s="81"/>
      <c r="M11" s="81"/>
      <c r="N11" s="81"/>
      <c r="O11" s="81"/>
      <c r="P11" s="81"/>
      <c r="Q11" s="82"/>
    </row>
    <row r="12" spans="1:17" x14ac:dyDescent="0.35">
      <c r="A12" s="78"/>
      <c r="B12" s="78"/>
      <c r="C12" s="78"/>
      <c r="D12" s="78"/>
      <c r="E12" s="78"/>
      <c r="F12" s="78"/>
      <c r="G12" s="78"/>
      <c r="H12" s="81"/>
      <c r="I12" s="81"/>
      <c r="J12" s="81"/>
      <c r="K12" s="81"/>
      <c r="L12" s="81"/>
      <c r="M12" s="81"/>
      <c r="N12" s="81"/>
      <c r="O12" s="81"/>
      <c r="P12" s="81"/>
      <c r="Q12" s="82"/>
    </row>
    <row r="13" spans="1:17" x14ac:dyDescent="0.35">
      <c r="A13" s="78"/>
      <c r="B13" s="78"/>
      <c r="C13" s="78"/>
      <c r="D13" s="78"/>
      <c r="E13" s="78"/>
      <c r="F13" s="78"/>
      <c r="G13" s="78"/>
      <c r="H13" s="81"/>
      <c r="I13" s="81"/>
      <c r="J13" s="81"/>
      <c r="K13" s="81"/>
      <c r="L13" s="81"/>
      <c r="M13" s="81"/>
      <c r="N13" s="81"/>
      <c r="O13" s="81"/>
      <c r="P13" s="81"/>
      <c r="Q13" s="82"/>
    </row>
    <row r="14" spans="1:17" x14ac:dyDescent="0.35">
      <c r="A14" s="78"/>
      <c r="B14" s="78"/>
      <c r="C14" s="78"/>
      <c r="D14" s="78"/>
      <c r="E14" s="78"/>
      <c r="F14" s="78"/>
      <c r="G14" s="78"/>
      <c r="H14" s="81"/>
      <c r="I14" s="81"/>
      <c r="J14" s="81"/>
      <c r="K14" s="81"/>
      <c r="L14" s="81"/>
      <c r="M14" s="81"/>
      <c r="N14" s="81"/>
      <c r="O14" s="81"/>
      <c r="P14" s="81"/>
      <c r="Q14" s="82"/>
    </row>
    <row r="15" spans="1:17" x14ac:dyDescent="0.35">
      <c r="A15" s="78"/>
      <c r="B15" s="78"/>
      <c r="C15" s="78"/>
      <c r="D15" s="78"/>
      <c r="E15" s="78"/>
      <c r="F15" s="78"/>
      <c r="G15" s="78"/>
      <c r="H15" s="81"/>
      <c r="I15" s="81"/>
      <c r="J15" s="81"/>
      <c r="K15" s="81"/>
      <c r="L15" s="81"/>
      <c r="M15" s="81"/>
      <c r="N15" s="81"/>
      <c r="O15" s="81"/>
      <c r="P15" s="81"/>
      <c r="Q15" s="82"/>
    </row>
    <row r="16" spans="1:17" x14ac:dyDescent="0.35">
      <c r="A16" s="78"/>
      <c r="H16" s="81"/>
      <c r="I16" s="83"/>
      <c r="J16" s="81"/>
      <c r="K16" s="83"/>
      <c r="L16" s="81"/>
      <c r="M16" s="83"/>
      <c r="N16" s="81"/>
      <c r="O16" s="80"/>
      <c r="P16" s="81"/>
      <c r="Q16" s="82"/>
    </row>
    <row r="17" spans="1:17" x14ac:dyDescent="0.35">
      <c r="A17" s="78"/>
      <c r="B17" s="78"/>
      <c r="C17" s="78"/>
      <c r="E17" s="78"/>
      <c r="F17" s="78"/>
      <c r="G17" s="78"/>
      <c r="H17" s="81"/>
      <c r="I17" s="81"/>
      <c r="J17" s="81"/>
      <c r="K17" s="81"/>
      <c r="L17" s="81"/>
      <c r="M17" s="81"/>
      <c r="N17" s="81"/>
      <c r="O17" s="81"/>
      <c r="P17" s="81"/>
      <c r="Q17" s="82"/>
    </row>
    <row r="18" spans="1:17" x14ac:dyDescent="0.35">
      <c r="A18" s="78"/>
      <c r="B18" s="78"/>
      <c r="C18" s="78"/>
      <c r="D18" s="78"/>
      <c r="E18" s="78"/>
      <c r="F18" s="78"/>
      <c r="G18" s="78"/>
      <c r="H18" s="81"/>
      <c r="I18" s="81"/>
      <c r="J18" s="81"/>
      <c r="K18" s="81"/>
      <c r="L18" s="81"/>
      <c r="M18" s="81"/>
      <c r="N18" s="81"/>
      <c r="O18" s="81"/>
      <c r="P18" s="81"/>
      <c r="Q18" s="82"/>
    </row>
    <row r="19" spans="1:17" ht="28.5" x14ac:dyDescent="0.35">
      <c r="A19" s="78"/>
      <c r="B19" s="78"/>
      <c r="C19" s="78"/>
      <c r="D19" s="85" t="s">
        <v>95</v>
      </c>
      <c r="E19" s="78"/>
      <c r="F19" s="78"/>
      <c r="G19" s="85" t="s">
        <v>271</v>
      </c>
      <c r="I19" s="81"/>
      <c r="J19" s="253" t="s">
        <v>270</v>
      </c>
      <c r="K19" s="81"/>
      <c r="M19" s="85" t="s">
        <v>174</v>
      </c>
      <c r="O19" s="81"/>
      <c r="P19" s="81"/>
      <c r="Q19" s="82"/>
    </row>
    <row r="20" spans="1:17" x14ac:dyDescent="0.35">
      <c r="A20" s="78"/>
      <c r="B20" s="78"/>
      <c r="C20" s="78"/>
      <c r="D20" s="78"/>
      <c r="E20" s="78"/>
      <c r="F20" s="78"/>
      <c r="G20" s="78"/>
      <c r="H20" s="84"/>
      <c r="I20" s="84"/>
      <c r="J20" s="84"/>
      <c r="K20" s="84"/>
      <c r="L20" s="84"/>
      <c r="M20" s="84"/>
      <c r="N20" s="84"/>
      <c r="O20" s="84"/>
      <c r="P20" s="84"/>
    </row>
    <row r="29" spans="1:17" x14ac:dyDescent="0.35">
      <c r="D29" s="85" t="s">
        <v>109</v>
      </c>
      <c r="G29" s="85" t="s">
        <v>66</v>
      </c>
      <c r="J29" s="85" t="s">
        <v>272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B2:I24"/>
  <sheetViews>
    <sheetView showGridLines="0" topLeftCell="A11" zoomScale="99" workbookViewId="0">
      <selection activeCell="B23" sqref="B23"/>
    </sheetView>
  </sheetViews>
  <sheetFormatPr baseColWidth="10" defaultColWidth="11.54296875" defaultRowHeight="14" x14ac:dyDescent="0.3"/>
  <cols>
    <col min="1" max="1" width="11.54296875" style="6"/>
    <col min="2" max="2" width="19.54296875" style="6" bestFit="1" customWidth="1"/>
    <col min="3" max="3" width="13" style="6" bestFit="1" customWidth="1"/>
    <col min="4" max="6" width="10.6328125" style="6" bestFit="1" customWidth="1"/>
    <col min="7" max="8" width="11.6328125" style="6" bestFit="1" customWidth="1"/>
    <col min="9" max="9" width="11.453125" style="6"/>
    <col min="10" max="16384" width="11.54296875" style="6"/>
  </cols>
  <sheetData>
    <row r="2" spans="2:9" ht="17.5" x14ac:dyDescent="0.3">
      <c r="B2" s="298" t="s">
        <v>260</v>
      </c>
      <c r="C2" s="298"/>
      <c r="D2" s="298"/>
      <c r="E2" s="298"/>
      <c r="F2" s="298"/>
      <c r="G2" s="298"/>
      <c r="H2" s="298"/>
    </row>
    <row r="4" spans="2:9" x14ac:dyDescent="0.3">
      <c r="B4" s="176" t="s">
        <v>26</v>
      </c>
      <c r="C4" s="249">
        <v>0.11</v>
      </c>
    </row>
    <row r="5" spans="2:9" x14ac:dyDescent="0.3">
      <c r="B5" s="97" t="s">
        <v>258</v>
      </c>
      <c r="C5" s="205">
        <f>+'Inversión y Activos Fijos'!E12</f>
        <v>29500000</v>
      </c>
    </row>
    <row r="6" spans="2:9" x14ac:dyDescent="0.3">
      <c r="C6" s="52"/>
    </row>
    <row r="7" spans="2:9" x14ac:dyDescent="0.3">
      <c r="C7" s="52"/>
    </row>
    <row r="8" spans="2:9" x14ac:dyDescent="0.3">
      <c r="C8" s="248">
        <v>0</v>
      </c>
      <c r="D8" s="248">
        <v>1</v>
      </c>
      <c r="E8" s="248">
        <v>2</v>
      </c>
      <c r="F8" s="248">
        <v>3</v>
      </c>
      <c r="G8" s="248">
        <v>4</v>
      </c>
      <c r="H8" s="248">
        <v>5</v>
      </c>
    </row>
    <row r="9" spans="2:9" x14ac:dyDescent="0.3">
      <c r="B9" s="228" t="s">
        <v>259</v>
      </c>
      <c r="C9" s="155">
        <f>-C5</f>
        <v>-29500000</v>
      </c>
      <c r="D9" s="155">
        <v>5000000</v>
      </c>
      <c r="E9" s="155">
        <v>5000000</v>
      </c>
      <c r="F9" s="155">
        <v>5000000</v>
      </c>
      <c r="G9" s="155">
        <v>10000000</v>
      </c>
      <c r="H9" s="155">
        <v>10000000</v>
      </c>
    </row>
    <row r="10" spans="2:9" x14ac:dyDescent="0.3">
      <c r="B10" s="228" t="s">
        <v>260</v>
      </c>
      <c r="C10" s="155"/>
      <c r="D10" s="247">
        <v>1.61E-2</v>
      </c>
      <c r="E10" s="247">
        <v>5.62E-2</v>
      </c>
      <c r="F10" s="247">
        <v>0.13120000000000001</v>
      </c>
      <c r="G10" s="247">
        <v>9.2799999999999994E-2</v>
      </c>
      <c r="H10" s="247">
        <v>5.1999999999999998E-2</v>
      </c>
      <c r="I10" s="247">
        <f>SUM(D10:H10)</f>
        <v>0.3483</v>
      </c>
    </row>
    <row r="12" spans="2:9" x14ac:dyDescent="0.3">
      <c r="B12" s="250" t="s">
        <v>61</v>
      </c>
      <c r="C12" s="155">
        <f>+NPV(C4,D9:H9)+C9</f>
        <v>-4759603.4007348865</v>
      </c>
    </row>
    <row r="13" spans="2:9" x14ac:dyDescent="0.3">
      <c r="B13" s="250" t="s">
        <v>62</v>
      </c>
      <c r="C13" s="247">
        <f>+IRR(C9:H9)</f>
        <v>5.1904367664664441E-2</v>
      </c>
    </row>
    <row r="14" spans="2:9" x14ac:dyDescent="0.3">
      <c r="B14" s="250" t="s">
        <v>63</v>
      </c>
      <c r="C14" s="247">
        <f>+MIRR(C9:H9,C13,C4)</f>
        <v>7.1617770995837216E-2</v>
      </c>
    </row>
    <row r="15" spans="2:9" x14ac:dyDescent="0.3">
      <c r="B15" s="250" t="s">
        <v>64</v>
      </c>
      <c r="C15" s="155">
        <f>+PMT(C4,5,-C12)</f>
        <v>-1287807.3653042212</v>
      </c>
    </row>
    <row r="17" spans="2:8" x14ac:dyDescent="0.3">
      <c r="B17" s="221" t="s">
        <v>261</v>
      </c>
      <c r="C17" s="245">
        <f>+C9</f>
        <v>-29500000</v>
      </c>
      <c r="D17" s="245">
        <f>+D9/(1+D10)</f>
        <v>4920775.5142210415</v>
      </c>
      <c r="E17" s="245">
        <f>+E9/(1+E10)/(1+D10)</f>
        <v>4658942.9220043942</v>
      </c>
      <c r="F17" s="245">
        <f>+F9/(1+F10)/(1+E10)/(1+D10)</f>
        <v>4118584.6198765859</v>
      </c>
      <c r="G17" s="245">
        <f>+G9/(1+G10)/(1+F10)/(1+E10)/(1+D10)</f>
        <v>7537673.1696130792</v>
      </c>
      <c r="H17" s="245">
        <f>+H9/(1+H10)/(1+G10)/(1+F10)/(1+E10)/(1+D10)</f>
        <v>7165088.5642709872</v>
      </c>
    </row>
    <row r="18" spans="2:8" x14ac:dyDescent="0.3">
      <c r="B18" s="228"/>
      <c r="C18" s="155"/>
      <c r="D18" s="155"/>
      <c r="E18" s="155"/>
      <c r="F18" s="155"/>
      <c r="G18" s="155"/>
      <c r="H18" s="155"/>
    </row>
    <row r="19" spans="2:8" x14ac:dyDescent="0.3">
      <c r="B19" s="250" t="s">
        <v>61</v>
      </c>
      <c r="C19" s="155">
        <f>+NPV(C4,D17:H17)+C17</f>
        <v>-9056662.6242627241</v>
      </c>
      <c r="D19" s="155"/>
      <c r="E19" s="155"/>
      <c r="F19" s="155"/>
      <c r="G19" s="155"/>
      <c r="H19" s="155"/>
    </row>
    <row r="20" spans="2:8" x14ac:dyDescent="0.3">
      <c r="B20" s="250" t="s">
        <v>262</v>
      </c>
      <c r="C20" s="52">
        <f>+(1+C4)/(1+I10)-1</f>
        <v>-0.17674108136171474</v>
      </c>
      <c r="D20" s="155"/>
      <c r="E20" s="155"/>
      <c r="F20" s="155"/>
      <c r="G20" s="155"/>
      <c r="H20" s="155"/>
    </row>
    <row r="21" spans="2:8" x14ac:dyDescent="0.3">
      <c r="B21" s="250" t="s">
        <v>263</v>
      </c>
      <c r="C21" s="155">
        <f>+NPV(C20,D17:H17)+C17</f>
        <v>26088975.000331074</v>
      </c>
      <c r="D21" s="155"/>
      <c r="E21" s="155"/>
      <c r="F21" s="155"/>
      <c r="G21" s="155"/>
      <c r="H21" s="155"/>
    </row>
    <row r="22" spans="2:8" x14ac:dyDescent="0.3">
      <c r="B22" s="228"/>
      <c r="C22" s="155"/>
      <c r="D22" s="155"/>
      <c r="E22" s="155"/>
      <c r="F22" s="155"/>
      <c r="G22" s="155"/>
      <c r="H22" s="155"/>
    </row>
    <row r="23" spans="2:8" x14ac:dyDescent="0.3">
      <c r="B23" s="221" t="s">
        <v>65</v>
      </c>
      <c r="C23" s="6">
        <v>100</v>
      </c>
      <c r="D23" s="243">
        <f>+C23*(1+D10)</f>
        <v>101.61</v>
      </c>
      <c r="E23" s="243">
        <f t="shared" ref="E23:H23" si="0">+D23*(1+E10)</f>
        <v>107.320482</v>
      </c>
      <c r="F23" s="243">
        <f t="shared" si="0"/>
        <v>121.4009292384</v>
      </c>
      <c r="G23" s="243">
        <f t="shared" si="0"/>
        <v>132.66693547172352</v>
      </c>
      <c r="H23" s="243">
        <f t="shared" si="0"/>
        <v>139.56561611625315</v>
      </c>
    </row>
    <row r="24" spans="2:8" x14ac:dyDescent="0.3">
      <c r="C24" s="245">
        <f>+(C9/C23)*100</f>
        <v>-29500000</v>
      </c>
      <c r="D24" s="245">
        <f t="shared" ref="D24:H24" si="1">+(D9/D23)*100</f>
        <v>4920775.5142210415</v>
      </c>
      <c r="E24" s="245">
        <f t="shared" si="1"/>
        <v>4658942.9220043942</v>
      </c>
      <c r="F24" s="245">
        <f t="shared" si="1"/>
        <v>4118584.6198765868</v>
      </c>
      <c r="G24" s="245">
        <f t="shared" si="1"/>
        <v>7537673.1696130782</v>
      </c>
      <c r="H24" s="245">
        <f t="shared" si="1"/>
        <v>7165088.5642709862</v>
      </c>
    </row>
  </sheetData>
  <mergeCells count="1">
    <mergeCell ref="B2:H2"/>
  </mergeCells>
  <phoneticPr fontId="2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B2:H26"/>
  <sheetViews>
    <sheetView showGridLines="0" zoomScaleNormal="100" workbookViewId="0">
      <selection activeCell="E26" sqref="E26"/>
    </sheetView>
  </sheetViews>
  <sheetFormatPr baseColWidth="10" defaultColWidth="11.54296875" defaultRowHeight="14" x14ac:dyDescent="0.3"/>
  <cols>
    <col min="1" max="1" width="11.54296875" style="6"/>
    <col min="2" max="2" width="19.6328125" style="6" bestFit="1" customWidth="1"/>
    <col min="3" max="3" width="17.6328125" style="6" bestFit="1" customWidth="1"/>
    <col min="4" max="4" width="15.6328125" style="6" bestFit="1" customWidth="1"/>
    <col min="5" max="5" width="19.453125" style="6" customWidth="1"/>
    <col min="6" max="6" width="20.08984375" style="6" customWidth="1"/>
    <col min="7" max="7" width="21.81640625" style="6" customWidth="1"/>
    <col min="8" max="8" width="20.1796875" style="6" customWidth="1"/>
    <col min="9" max="16384" width="11.54296875" style="6"/>
  </cols>
  <sheetData>
    <row r="2" spans="2:8" ht="17.5" x14ac:dyDescent="0.3">
      <c r="B2" s="298" t="s">
        <v>227</v>
      </c>
      <c r="C2" s="298"/>
      <c r="D2" s="298"/>
      <c r="E2" s="298"/>
      <c r="F2" s="298"/>
      <c r="G2" s="298"/>
      <c r="H2" s="298"/>
    </row>
    <row r="4" spans="2:8" x14ac:dyDescent="0.3">
      <c r="B4" s="156" t="s">
        <v>26</v>
      </c>
      <c r="C4" s="157">
        <f>+'Flujo de Efectivo-Rentabilidad '!C10</f>
        <v>0.11</v>
      </c>
    </row>
    <row r="5" spans="2:8" x14ac:dyDescent="0.3">
      <c r="B5" s="6" t="s">
        <v>228</v>
      </c>
      <c r="C5" s="10">
        <f>+'Inversión y Activos Fijos'!E12</f>
        <v>29500000</v>
      </c>
    </row>
    <row r="6" spans="2:8" x14ac:dyDescent="0.3">
      <c r="B6" s="6" t="s">
        <v>229</v>
      </c>
      <c r="C6" s="10">
        <f>+'Definición de Precio  '!E32</f>
        <v>1201200000</v>
      </c>
    </row>
    <row r="7" spans="2:8" x14ac:dyDescent="0.3">
      <c r="B7" s="299" t="s">
        <v>230</v>
      </c>
      <c r="C7" s="299"/>
      <c r="D7" s="222" t="s">
        <v>239</v>
      </c>
    </row>
    <row r="8" spans="2:8" x14ac:dyDescent="0.3">
      <c r="B8" s="228" t="s">
        <v>231</v>
      </c>
      <c r="C8" s="10">
        <f>+C9-500000</f>
        <v>1200700000</v>
      </c>
      <c r="D8" s="229">
        <v>0.2</v>
      </c>
    </row>
    <row r="9" spans="2:8" x14ac:dyDescent="0.3">
      <c r="B9" s="228" t="s">
        <v>232</v>
      </c>
      <c r="C9" s="10">
        <f>+C6</f>
        <v>1201200000</v>
      </c>
      <c r="D9" s="229">
        <v>0.55000000000000004</v>
      </c>
    </row>
    <row r="10" spans="2:8" x14ac:dyDescent="0.3">
      <c r="B10" s="228" t="s">
        <v>233</v>
      </c>
      <c r="C10" s="10">
        <f>+C9+500000</f>
        <v>1201700000</v>
      </c>
      <c r="D10" s="229">
        <v>0.25</v>
      </c>
    </row>
    <row r="13" spans="2:8" x14ac:dyDescent="0.3">
      <c r="B13" s="51"/>
      <c r="C13" s="224">
        <v>0</v>
      </c>
      <c r="D13" s="224">
        <v>1</v>
      </c>
      <c r="E13" s="224">
        <v>2</v>
      </c>
      <c r="F13" s="224">
        <v>3</v>
      </c>
      <c r="G13" s="224">
        <v>4</v>
      </c>
      <c r="H13" s="224">
        <v>5</v>
      </c>
    </row>
    <row r="14" spans="2:8" x14ac:dyDescent="0.3">
      <c r="B14" s="31"/>
      <c r="C14" s="155">
        <f>-$C$5</f>
        <v>-29500000</v>
      </c>
      <c r="D14" s="11">
        <f>+$C$8</f>
        <v>1200700000</v>
      </c>
      <c r="E14" s="11">
        <f t="shared" ref="E14:H14" si="0">+$C$8</f>
        <v>1200700000</v>
      </c>
      <c r="F14" s="11">
        <f t="shared" si="0"/>
        <v>1200700000</v>
      </c>
      <c r="G14" s="11">
        <f t="shared" si="0"/>
        <v>1200700000</v>
      </c>
      <c r="H14" s="11">
        <f t="shared" si="0"/>
        <v>1200700000</v>
      </c>
    </row>
    <row r="15" spans="2:8" x14ac:dyDescent="0.3">
      <c r="C15" s="155">
        <f t="shared" ref="C15:C16" si="1">-$C$5</f>
        <v>-29500000</v>
      </c>
      <c r="D15" s="11">
        <f>+$C$9</f>
        <v>1201200000</v>
      </c>
      <c r="E15" s="11">
        <f t="shared" ref="E15:H15" si="2">+$C$9</f>
        <v>1201200000</v>
      </c>
      <c r="F15" s="11">
        <f t="shared" si="2"/>
        <v>1201200000</v>
      </c>
      <c r="G15" s="11">
        <f t="shared" si="2"/>
        <v>1201200000</v>
      </c>
      <c r="H15" s="11">
        <f t="shared" si="2"/>
        <v>1201200000</v>
      </c>
    </row>
    <row r="16" spans="2:8" x14ac:dyDescent="0.3">
      <c r="C16" s="155">
        <f t="shared" si="1"/>
        <v>-29500000</v>
      </c>
      <c r="D16" s="11">
        <f>+$C$10</f>
        <v>1201700000</v>
      </c>
      <c r="E16" s="11">
        <f t="shared" ref="E16:H16" si="3">+$C$10</f>
        <v>1201700000</v>
      </c>
      <c r="F16" s="11">
        <f t="shared" si="3"/>
        <v>1201700000</v>
      </c>
      <c r="G16" s="11">
        <f t="shared" si="3"/>
        <v>1201700000</v>
      </c>
      <c r="H16" s="11">
        <f t="shared" si="3"/>
        <v>1201700000</v>
      </c>
    </row>
    <row r="18" spans="2:3" x14ac:dyDescent="0.3">
      <c r="B18" s="94" t="s">
        <v>240</v>
      </c>
    </row>
    <row r="19" spans="2:3" x14ac:dyDescent="0.3">
      <c r="B19" s="155">
        <f>+NPV($C$4,D14:H14)+C14</f>
        <v>4408163549.091712</v>
      </c>
      <c r="C19" s="10">
        <f>+(B19-$C$23)^2*D8</f>
        <v>752988468924.58948</v>
      </c>
    </row>
    <row r="20" spans="2:3" x14ac:dyDescent="0.3">
      <c r="B20" s="155">
        <f>+NPV($C$4,D15:H15)+C15</f>
        <v>4410011497.6005363</v>
      </c>
      <c r="C20" s="10">
        <f t="shared" ref="C20:C21" si="4">+(B20-$C$23)^2*D9</f>
        <v>4695506325.5442438</v>
      </c>
    </row>
    <row r="21" spans="2:3" x14ac:dyDescent="0.3">
      <c r="B21" s="155">
        <f>+NPV($C$4,D16:H16)+C16</f>
        <v>4411859446.1093616</v>
      </c>
      <c r="C21" s="10">
        <f t="shared" si="4"/>
        <v>770489901592.29797</v>
      </c>
    </row>
    <row r="23" spans="2:3" x14ac:dyDescent="0.3">
      <c r="B23" s="86" t="s">
        <v>241</v>
      </c>
      <c r="C23" s="230">
        <f>+SUMPRODUCT(B19:B21,D8:D10)</f>
        <v>4410103895.0259781</v>
      </c>
    </row>
    <row r="24" spans="2:3" x14ac:dyDescent="0.3">
      <c r="B24" s="86" t="s">
        <v>242</v>
      </c>
      <c r="C24" s="230">
        <f>+SQRT(SUM(C19:C21))</f>
        <v>1236193.3007594047</v>
      </c>
    </row>
    <row r="25" spans="2:3" x14ac:dyDescent="0.3">
      <c r="B25" s="86" t="s">
        <v>66</v>
      </c>
      <c r="C25" s="231">
        <f>+C24/C23</f>
        <v>2.8030933741802989E-4</v>
      </c>
    </row>
    <row r="26" spans="2:3" x14ac:dyDescent="0.3">
      <c r="B26" s="86" t="s">
        <v>67</v>
      </c>
      <c r="C26" s="232">
        <f>+_xlfn.NORM.DIST(0,C23,C24,TRUE)</f>
        <v>0</v>
      </c>
    </row>
  </sheetData>
  <mergeCells count="2">
    <mergeCell ref="B2:H2"/>
    <mergeCell ref="B7:C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31BB-9EFE-44B4-8E22-9C18CBF7C132}">
  <sheetPr>
    <tabColor theme="5" tint="0.59999389629810485"/>
  </sheetPr>
  <dimension ref="B2:M35"/>
  <sheetViews>
    <sheetView showGridLines="0" tabSelected="1" zoomScaleNormal="100" workbookViewId="0">
      <selection activeCell="I28" sqref="I28"/>
    </sheetView>
  </sheetViews>
  <sheetFormatPr baseColWidth="10" defaultColWidth="11.54296875" defaultRowHeight="14" x14ac:dyDescent="0.3"/>
  <cols>
    <col min="1" max="1" width="11.54296875" style="6"/>
    <col min="2" max="2" width="18.08984375" style="6" bestFit="1" customWidth="1"/>
    <col min="3" max="3" width="14" style="6" bestFit="1" customWidth="1"/>
    <col min="4" max="4" width="12" style="6" bestFit="1" customWidth="1"/>
    <col min="5" max="5" width="14" style="6" bestFit="1" customWidth="1"/>
    <col min="6" max="6" width="11.1796875" style="6" bestFit="1" customWidth="1"/>
    <col min="7" max="7" width="11.36328125" style="6" bestFit="1" customWidth="1"/>
    <col min="8" max="8" width="20.1796875" style="6" customWidth="1"/>
    <col min="9" max="16384" width="11.54296875" style="6"/>
  </cols>
  <sheetData>
    <row r="2" spans="2:13" ht="17.5" x14ac:dyDescent="0.3">
      <c r="B2" s="298" t="s">
        <v>246</v>
      </c>
      <c r="C2" s="298"/>
      <c r="D2" s="298"/>
      <c r="E2" s="298"/>
      <c r="F2" s="298"/>
      <c r="G2" s="298"/>
      <c r="H2" s="298"/>
    </row>
    <row r="4" spans="2:13" x14ac:dyDescent="0.3">
      <c r="B4" s="78" t="s">
        <v>247</v>
      </c>
      <c r="C4" s="235">
        <v>0</v>
      </c>
    </row>
    <row r="5" spans="2:13" x14ac:dyDescent="0.3">
      <c r="B5" s="78" t="s">
        <v>248</v>
      </c>
      <c r="C5" s="235">
        <v>0</v>
      </c>
      <c r="M5" s="246">
        <f>+D11</f>
        <v>20.339600106484014</v>
      </c>
    </row>
    <row r="6" spans="2:13" x14ac:dyDescent="0.3">
      <c r="B6" s="78" t="s">
        <v>249</v>
      </c>
      <c r="C6" s="235">
        <v>0</v>
      </c>
    </row>
    <row r="8" spans="2:13" x14ac:dyDescent="0.3">
      <c r="B8" s="239" t="s">
        <v>250</v>
      </c>
      <c r="C8" s="240">
        <f>+'Definición de Precio  '!I10</f>
        <v>257000</v>
      </c>
      <c r="D8" s="240">
        <f>+C8*(1+C4)</f>
        <v>257000</v>
      </c>
    </row>
    <row r="9" spans="2:13" x14ac:dyDescent="0.3">
      <c r="B9" s="239" t="s">
        <v>251</v>
      </c>
      <c r="C9" s="240">
        <f>+Costos!C30</f>
        <v>2654.708520179372</v>
      </c>
      <c r="D9" s="240">
        <f t="shared" ref="D9:D10" si="0">+C9*(1+C5)</f>
        <v>2654.708520179372</v>
      </c>
    </row>
    <row r="10" spans="2:13" x14ac:dyDescent="0.3">
      <c r="B10" s="239" t="s">
        <v>192</v>
      </c>
      <c r="C10" s="240">
        <f>+Costos!D10</f>
        <v>5173281.5176666668</v>
      </c>
      <c r="D10" s="240">
        <f t="shared" si="0"/>
        <v>5173281.5176666668</v>
      </c>
    </row>
    <row r="11" spans="2:13" x14ac:dyDescent="0.3">
      <c r="B11" s="237" t="s">
        <v>91</v>
      </c>
      <c r="C11" s="238">
        <f>+'Definición de Precio  '!E10</f>
        <v>1115</v>
      </c>
      <c r="D11" s="238">
        <f>+D10/(D8-D9)</f>
        <v>20.339600106484014</v>
      </c>
      <c r="E11" s="242"/>
    </row>
    <row r="13" spans="2:13" x14ac:dyDescent="0.3">
      <c r="B13" s="93" t="s">
        <v>182</v>
      </c>
      <c r="C13" s="105">
        <f>+C11*C8</f>
        <v>286555000</v>
      </c>
      <c r="D13" s="105">
        <f>+D11*D8</f>
        <v>5227277.2273663916</v>
      </c>
    </row>
    <row r="14" spans="2:13" ht="14.5" thickBot="1" x14ac:dyDescent="0.35">
      <c r="B14" s="93" t="s">
        <v>254</v>
      </c>
      <c r="C14" s="241">
        <f>+C10+C11*C9</f>
        <v>8133281.5176666668</v>
      </c>
      <c r="D14" s="241">
        <f>+D10+D11*D9</f>
        <v>5227277.2273663916</v>
      </c>
    </row>
    <row r="15" spans="2:13" x14ac:dyDescent="0.3">
      <c r="B15" s="93" t="s">
        <v>255</v>
      </c>
      <c r="C15" s="105">
        <f>+C13-C14</f>
        <v>278421718.48233336</v>
      </c>
      <c r="D15" s="105">
        <f>+D13-D14</f>
        <v>0</v>
      </c>
    </row>
    <row r="17" spans="2:11" x14ac:dyDescent="0.3">
      <c r="C17" s="234"/>
    </row>
    <row r="18" spans="2:11" x14ac:dyDescent="0.3">
      <c r="B18" s="222" t="s">
        <v>91</v>
      </c>
      <c r="C18" s="98" t="s">
        <v>182</v>
      </c>
      <c r="D18" s="222" t="s">
        <v>256</v>
      </c>
      <c r="E18" s="222" t="s">
        <v>257</v>
      </c>
      <c r="F18" s="222" t="s">
        <v>70</v>
      </c>
      <c r="G18" s="222" t="s">
        <v>255</v>
      </c>
    </row>
    <row r="19" spans="2:11" x14ac:dyDescent="0.3">
      <c r="B19" s="233">
        <v>0</v>
      </c>
      <c r="C19" s="155">
        <f>++B19*$D$8</f>
        <v>0</v>
      </c>
      <c r="D19" s="155">
        <f>+$D$10</f>
        <v>5173281.5176666668</v>
      </c>
      <c r="E19" s="155">
        <f>+B19*$D$9</f>
        <v>0</v>
      </c>
      <c r="F19" s="155">
        <f>SUM(D19:E19)</f>
        <v>5173281.5176666668</v>
      </c>
      <c r="G19" s="155">
        <f>+C19-F19</f>
        <v>-5173281.5176666668</v>
      </c>
    </row>
    <row r="20" spans="2:11" x14ac:dyDescent="0.3">
      <c r="B20" s="201">
        <f t="shared" ref="B20:B22" si="1">+B21-4</f>
        <v>4.3396001064840135</v>
      </c>
      <c r="C20" s="155">
        <f t="shared" ref="C20:C28" si="2">++B20*$D$8</f>
        <v>1115277.2273663916</v>
      </c>
      <c r="D20" s="155">
        <f t="shared" ref="D20:D27" si="3">+$D$10</f>
        <v>5173281.5176666668</v>
      </c>
      <c r="E20" s="155">
        <f t="shared" ref="E20:E28" si="4">+B20*$D$9</f>
        <v>11520.373376854421</v>
      </c>
      <c r="F20" s="155">
        <f t="shared" ref="F20:F27" si="5">SUM(D20:E20)</f>
        <v>5184801.8910435215</v>
      </c>
      <c r="G20" s="155">
        <f t="shared" ref="G20:G27" si="6">+C20-F20</f>
        <v>-4069524.6636771299</v>
      </c>
    </row>
    <row r="21" spans="2:11" x14ac:dyDescent="0.3">
      <c r="B21" s="201">
        <f t="shared" si="1"/>
        <v>8.3396001064840135</v>
      </c>
      <c r="C21" s="155">
        <f t="shared" si="2"/>
        <v>2143277.2273663916</v>
      </c>
      <c r="D21" s="155">
        <f t="shared" si="3"/>
        <v>5173281.5176666668</v>
      </c>
      <c r="E21" s="155">
        <f t="shared" si="4"/>
        <v>22139.207457571909</v>
      </c>
      <c r="F21" s="155">
        <f t="shared" si="5"/>
        <v>5195420.725124239</v>
      </c>
      <c r="G21" s="155">
        <f t="shared" si="6"/>
        <v>-3052143.4977578474</v>
      </c>
    </row>
    <row r="22" spans="2:11" x14ac:dyDescent="0.3">
      <c r="B22" s="201">
        <f t="shared" si="1"/>
        <v>12.339600106484014</v>
      </c>
      <c r="C22" s="155">
        <f t="shared" si="2"/>
        <v>3171277.2273663916</v>
      </c>
      <c r="D22" s="155">
        <f t="shared" si="3"/>
        <v>5173281.5176666668</v>
      </c>
      <c r="E22" s="155">
        <f t="shared" si="4"/>
        <v>32758.041538289399</v>
      </c>
      <c r="F22" s="155">
        <f t="shared" si="5"/>
        <v>5206039.5592049565</v>
      </c>
      <c r="G22" s="155">
        <f t="shared" si="6"/>
        <v>-2034762.3318385649</v>
      </c>
    </row>
    <row r="23" spans="2:11" x14ac:dyDescent="0.3">
      <c r="B23" s="201">
        <f>+B24-4</f>
        <v>16.339600106484014</v>
      </c>
      <c r="C23" s="155">
        <f t="shared" si="2"/>
        <v>4199277.2273663916</v>
      </c>
      <c r="D23" s="155">
        <f t="shared" si="3"/>
        <v>5173281.5176666668</v>
      </c>
      <c r="E23" s="155">
        <f t="shared" si="4"/>
        <v>43376.875619006889</v>
      </c>
      <c r="F23" s="155">
        <f t="shared" si="5"/>
        <v>5216658.393285674</v>
      </c>
      <c r="G23" s="155">
        <f t="shared" si="6"/>
        <v>-1017381.1659192825</v>
      </c>
    </row>
    <row r="24" spans="2:11" x14ac:dyDescent="0.3">
      <c r="B24" s="203">
        <f>+D11</f>
        <v>20.339600106484014</v>
      </c>
      <c r="C24" s="245">
        <f t="shared" si="2"/>
        <v>5227277.2273663916</v>
      </c>
      <c r="D24" s="245">
        <f t="shared" si="3"/>
        <v>5173281.5176666668</v>
      </c>
      <c r="E24" s="245">
        <f t="shared" si="4"/>
        <v>53995.709699724372</v>
      </c>
      <c r="F24" s="245">
        <f t="shared" si="5"/>
        <v>5227277.2273663916</v>
      </c>
      <c r="G24" s="245">
        <f t="shared" si="6"/>
        <v>0</v>
      </c>
    </row>
    <row r="25" spans="2:11" x14ac:dyDescent="0.3">
      <c r="B25" s="201">
        <f>+B24+4</f>
        <v>24.339600106484014</v>
      </c>
      <c r="C25" s="155">
        <f t="shared" si="2"/>
        <v>6255277.2273663916</v>
      </c>
      <c r="D25" s="155">
        <f t="shared" si="3"/>
        <v>5173281.5176666668</v>
      </c>
      <c r="E25" s="155">
        <f t="shared" si="4"/>
        <v>64614.543780441862</v>
      </c>
      <c r="F25" s="155">
        <f t="shared" si="5"/>
        <v>5237896.0614471082</v>
      </c>
      <c r="G25" s="155">
        <f t="shared" si="6"/>
        <v>1017381.1659192834</v>
      </c>
    </row>
    <row r="26" spans="2:11" x14ac:dyDescent="0.3">
      <c r="B26" s="201">
        <f t="shared" ref="B26:B28" si="7">+B25+4</f>
        <v>28.339600106484014</v>
      </c>
      <c r="C26" s="155">
        <f t="shared" si="2"/>
        <v>7283277.2273663916</v>
      </c>
      <c r="D26" s="155">
        <f t="shared" si="3"/>
        <v>5173281.5176666668</v>
      </c>
      <c r="E26" s="155">
        <f t="shared" si="4"/>
        <v>75233.377861159344</v>
      </c>
      <c r="F26" s="155">
        <f t="shared" si="5"/>
        <v>5248514.8955278257</v>
      </c>
      <c r="G26" s="155">
        <f t="shared" si="6"/>
        <v>2034762.3318385659</v>
      </c>
      <c r="H26" s="233"/>
      <c r="I26" s="233"/>
      <c r="J26" s="233"/>
      <c r="K26" s="233"/>
    </row>
    <row r="27" spans="2:11" x14ac:dyDescent="0.3">
      <c r="B27" s="201">
        <f t="shared" si="7"/>
        <v>32.339600106484014</v>
      </c>
      <c r="C27" s="155">
        <f t="shared" si="2"/>
        <v>8311277.2273663916</v>
      </c>
      <c r="D27" s="155">
        <f t="shared" si="3"/>
        <v>5173281.5176666668</v>
      </c>
      <c r="E27" s="155">
        <f t="shared" si="4"/>
        <v>85852.211941876842</v>
      </c>
      <c r="F27" s="155">
        <f t="shared" si="5"/>
        <v>5259133.7296085432</v>
      </c>
      <c r="G27" s="155">
        <f t="shared" si="6"/>
        <v>3052143.4977578484</v>
      </c>
    </row>
    <row r="28" spans="2:11" x14ac:dyDescent="0.3">
      <c r="B28" s="201">
        <f t="shared" si="7"/>
        <v>36.339600106484014</v>
      </c>
      <c r="C28" s="155">
        <f t="shared" si="2"/>
        <v>9339277.2273663916</v>
      </c>
      <c r="D28" s="155">
        <f>+$D$10</f>
        <v>5173281.5176666668</v>
      </c>
      <c r="E28" s="155">
        <f t="shared" si="4"/>
        <v>96471.046022594324</v>
      </c>
      <c r="F28" s="155">
        <f>SUM(D28:E28)</f>
        <v>5269752.5636892607</v>
      </c>
      <c r="G28" s="155">
        <f>+C28-F28</f>
        <v>4069524.6636771308</v>
      </c>
    </row>
    <row r="29" spans="2:11" x14ac:dyDescent="0.3">
      <c r="B29" s="201"/>
      <c r="C29" s="155"/>
      <c r="D29" s="155"/>
      <c r="E29" s="155"/>
      <c r="F29" s="155"/>
      <c r="G29" s="155"/>
    </row>
    <row r="30" spans="2:11" x14ac:dyDescent="0.3">
      <c r="B30" s="201"/>
      <c r="C30" s="155"/>
      <c r="D30" s="155"/>
      <c r="E30" s="155"/>
      <c r="F30" s="155"/>
      <c r="G30" s="155"/>
    </row>
    <row r="31" spans="2:11" x14ac:dyDescent="0.3">
      <c r="B31" s="201"/>
      <c r="C31" s="155"/>
      <c r="D31" s="155"/>
      <c r="E31" s="155"/>
      <c r="G31" s="155"/>
    </row>
    <row r="32" spans="2:11" x14ac:dyDescent="0.3">
      <c r="B32" s="201"/>
      <c r="C32" s="155"/>
      <c r="D32" s="155"/>
      <c r="E32" s="155"/>
      <c r="F32" s="155"/>
      <c r="G32" s="155"/>
    </row>
    <row r="33" spans="2:3" x14ac:dyDescent="0.3">
      <c r="C33" s="8"/>
    </row>
    <row r="35" spans="2:3" x14ac:dyDescent="0.3">
      <c r="B35" s="244"/>
    </row>
  </sheetData>
  <mergeCells count="1">
    <mergeCell ref="B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B2:L32"/>
  <sheetViews>
    <sheetView showGridLines="0" zoomScaleNormal="100" workbookViewId="0">
      <selection activeCell="B12" sqref="B12:F12"/>
    </sheetView>
  </sheetViews>
  <sheetFormatPr baseColWidth="10" defaultColWidth="10.90625" defaultRowHeight="14.5" x14ac:dyDescent="0.35"/>
  <cols>
    <col min="2" max="2" width="37" style="101" customWidth="1"/>
    <col min="3" max="3" width="16.453125" customWidth="1"/>
    <col min="4" max="4" width="22.453125" customWidth="1"/>
    <col min="5" max="5" width="19.453125" customWidth="1"/>
    <col min="6" max="6" width="17.90625" customWidth="1"/>
    <col min="7" max="7" width="15.453125" bestFit="1" customWidth="1"/>
    <col min="8" max="8" width="19.6328125" customWidth="1"/>
    <col min="9" max="9" width="13" bestFit="1" customWidth="1"/>
    <col min="10" max="10" width="15.90625" bestFit="1" customWidth="1"/>
    <col min="11" max="11" width="16.6328125" bestFit="1" customWidth="1"/>
    <col min="12" max="12" width="18" bestFit="1" customWidth="1"/>
  </cols>
  <sheetData>
    <row r="2" spans="2:12" ht="17.5" x14ac:dyDescent="0.35">
      <c r="B2" s="257" t="s">
        <v>24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</row>
    <row r="3" spans="2:12" x14ac:dyDescent="0.35">
      <c r="B3" s="103"/>
      <c r="C3" s="6"/>
      <c r="D3" s="6"/>
      <c r="E3" s="6"/>
      <c r="F3" s="6"/>
      <c r="G3" s="6"/>
      <c r="H3" s="6"/>
      <c r="I3" s="6"/>
      <c r="J3" s="6"/>
      <c r="K3" s="6"/>
      <c r="L3" s="6"/>
    </row>
    <row r="4" spans="2:12" x14ac:dyDescent="0.35">
      <c r="B4" s="103"/>
      <c r="C4" s="6"/>
      <c r="D4" s="6"/>
      <c r="E4" s="6"/>
      <c r="F4" s="6"/>
      <c r="G4" s="6"/>
      <c r="H4" s="6"/>
      <c r="I4" s="6"/>
      <c r="J4" s="6"/>
      <c r="K4" s="6"/>
      <c r="L4" s="6"/>
    </row>
    <row r="5" spans="2:12" ht="28.5" thickBot="1" x14ac:dyDescent="0.4">
      <c r="B5" s="218" t="s">
        <v>17</v>
      </c>
      <c r="C5" s="218" t="s">
        <v>15</v>
      </c>
      <c r="D5" s="218" t="s">
        <v>23</v>
      </c>
      <c r="E5" s="218" t="s">
        <v>22</v>
      </c>
      <c r="F5" s="218" t="s">
        <v>69</v>
      </c>
      <c r="G5" s="218" t="s">
        <v>0</v>
      </c>
      <c r="H5" s="218" t="s">
        <v>71</v>
      </c>
      <c r="I5" s="218" t="s">
        <v>72</v>
      </c>
      <c r="J5" s="218" t="s">
        <v>110</v>
      </c>
    </row>
    <row r="6" spans="2:12" x14ac:dyDescent="0.35">
      <c r="B6" s="104" t="s">
        <v>111</v>
      </c>
      <c r="C6" s="6" t="s">
        <v>114</v>
      </c>
      <c r="D6" s="14">
        <f>+E6/30</f>
        <v>10</v>
      </c>
      <c r="E6" s="15">
        <v>300</v>
      </c>
      <c r="F6" s="11">
        <f>+Costos!$D$28/'Definición de Precio  '!$E$10</f>
        <v>7294.4228857997014</v>
      </c>
      <c r="G6" s="11">
        <f>Gastos!$C$25/('Definición de Precio  '!$E$10)</f>
        <v>5097.1971757847532</v>
      </c>
      <c r="H6" s="11">
        <f>+F6+G6</f>
        <v>12391.620061584454</v>
      </c>
      <c r="I6" s="11">
        <v>67000</v>
      </c>
      <c r="J6" s="55">
        <f>+(I6-H6)/I6</f>
        <v>0.81505044684202299</v>
      </c>
    </row>
    <row r="7" spans="2:12" x14ac:dyDescent="0.35">
      <c r="B7" s="104" t="s">
        <v>112</v>
      </c>
      <c r="C7" s="6" t="s">
        <v>115</v>
      </c>
      <c r="D7" s="14">
        <f>+E7/30</f>
        <v>13.333333333333334</v>
      </c>
      <c r="E7" s="15">
        <v>400</v>
      </c>
      <c r="F7" s="11">
        <f>+Costos!$D$28/'Definición de Precio  '!$E$10</f>
        <v>7294.4228857997014</v>
      </c>
      <c r="G7" s="11">
        <f>Gastos!$C$25/('Definición de Precio  '!$E$10)</f>
        <v>5097.1971757847532</v>
      </c>
      <c r="H7" s="11">
        <f>+F7+G7</f>
        <v>12391.620061584454</v>
      </c>
      <c r="I7" s="11">
        <v>60000</v>
      </c>
      <c r="J7" s="55">
        <f>+(I7-H7)/I7</f>
        <v>0.79347299897359236</v>
      </c>
    </row>
    <row r="8" spans="2:12" x14ac:dyDescent="0.35">
      <c r="B8" s="104" t="s">
        <v>113</v>
      </c>
      <c r="C8" s="6" t="s">
        <v>116</v>
      </c>
      <c r="D8" s="14">
        <f>+E8/30</f>
        <v>13.333333333333334</v>
      </c>
      <c r="E8" s="15">
        <v>400</v>
      </c>
      <c r="F8" s="11">
        <f>+Costos!$D$28/'Definición de Precio  '!$E$10</f>
        <v>7294.4228857997014</v>
      </c>
      <c r="G8" s="11">
        <f>Gastos!$C$25/('Definición de Precio  '!$E$10)</f>
        <v>5097.1971757847532</v>
      </c>
      <c r="H8" s="11">
        <f>+F8+G8</f>
        <v>12391.620061584454</v>
      </c>
      <c r="I8" s="11">
        <v>50000</v>
      </c>
      <c r="J8" s="55">
        <f>+(I8-H8)/I8</f>
        <v>0.75216759876831085</v>
      </c>
    </row>
    <row r="9" spans="2:12" x14ac:dyDescent="0.35">
      <c r="B9" s="104" t="s">
        <v>243</v>
      </c>
      <c r="C9" s="6" t="s">
        <v>245</v>
      </c>
      <c r="D9" s="226" t="s">
        <v>244</v>
      </c>
      <c r="E9" s="15">
        <v>15</v>
      </c>
      <c r="F9" s="11">
        <f>+Costos!$D$28/'Definición de Precio  '!$E$10</f>
        <v>7294.4228857997014</v>
      </c>
      <c r="G9" s="11">
        <f>Gastos!$C$25/('Definición de Precio  '!$E$10)</f>
        <v>5097.1971757847532</v>
      </c>
      <c r="H9" s="11">
        <f>+F9+G9</f>
        <v>12391.620061584454</v>
      </c>
      <c r="I9" s="11">
        <v>80000</v>
      </c>
      <c r="J9" s="55">
        <f>+(I9-H9)/I9</f>
        <v>0.8451047492301943</v>
      </c>
    </row>
    <row r="10" spans="2:12" x14ac:dyDescent="0.35">
      <c r="B10" s="103"/>
      <c r="C10" s="6"/>
      <c r="D10" s="6"/>
      <c r="E10" s="223">
        <f>+SUM(E6:E9)</f>
        <v>1115</v>
      </c>
      <c r="F10" s="6"/>
      <c r="G10" s="6"/>
      <c r="H10" s="6"/>
      <c r="I10" s="39">
        <f>SUM(I6:I9)</f>
        <v>257000</v>
      </c>
      <c r="J10" s="6"/>
      <c r="K10" s="6"/>
      <c r="L10" s="6"/>
    </row>
    <row r="11" spans="2:12" x14ac:dyDescent="0.35">
      <c r="B11" s="103"/>
      <c r="C11" s="6"/>
      <c r="D11" s="6"/>
      <c r="E11" s="15"/>
      <c r="F11" s="6"/>
      <c r="G11" s="6"/>
      <c r="H11" s="6"/>
      <c r="J11" s="6"/>
      <c r="K11" s="6"/>
      <c r="L11" s="6"/>
    </row>
    <row r="12" spans="2:12" x14ac:dyDescent="0.35">
      <c r="B12" s="258" t="s">
        <v>235</v>
      </c>
      <c r="C12" s="258"/>
      <c r="D12" s="258"/>
      <c r="E12" s="258"/>
      <c r="F12" s="258"/>
      <c r="G12" s="63"/>
      <c r="H12" s="63"/>
      <c r="I12" s="63"/>
      <c r="J12" s="63"/>
      <c r="K12" s="63"/>
      <c r="L12" s="63"/>
    </row>
    <row r="13" spans="2:12" x14ac:dyDescent="0.35">
      <c r="B13" s="103"/>
      <c r="C13" s="6"/>
      <c r="D13" s="8"/>
      <c r="E13" s="6"/>
      <c r="F13" s="6"/>
      <c r="G13" s="6"/>
      <c r="H13" s="6"/>
    </row>
    <row r="14" spans="2:12" ht="28" x14ac:dyDescent="0.35">
      <c r="B14" s="92" t="s">
        <v>17</v>
      </c>
      <c r="C14" s="92" t="s">
        <v>73</v>
      </c>
      <c r="D14" s="92" t="str">
        <f>+H5</f>
        <v>Total Costos+ Gastos</v>
      </c>
      <c r="E14" s="92" t="s">
        <v>19</v>
      </c>
      <c r="F14" s="92" t="s">
        <v>74</v>
      </c>
      <c r="G14" s="6"/>
    </row>
    <row r="15" spans="2:12" ht="28.5" x14ac:dyDescent="0.35">
      <c r="B15" s="104" t="str">
        <f>+$C$6</f>
        <v xml:space="preserve"> Aceite especial para cabello elaborado naturalmente </v>
      </c>
      <c r="C15" s="9">
        <f>+D6</f>
        <v>10</v>
      </c>
      <c r="D15" s="10">
        <f>+H6</f>
        <v>12391.620061584454</v>
      </c>
      <c r="E15" s="12">
        <f>+I6</f>
        <v>67000</v>
      </c>
      <c r="F15" s="13">
        <f>E15*C15</f>
        <v>670000</v>
      </c>
      <c r="G15" s="6"/>
    </row>
    <row r="16" spans="2:12" ht="28.5" x14ac:dyDescent="0.35">
      <c r="B16" s="104" t="str">
        <f>+$C$7</f>
        <v xml:space="preserve">Shampoo especial para cabello elaborado naturalmente </v>
      </c>
      <c r="C16" s="9">
        <f>+D7</f>
        <v>13.333333333333334</v>
      </c>
      <c r="D16" s="10">
        <f>+H7</f>
        <v>12391.620061584454</v>
      </c>
      <c r="E16" s="12">
        <f>+I7</f>
        <v>60000</v>
      </c>
      <c r="F16" s="13">
        <f>E16*C16</f>
        <v>800000</v>
      </c>
      <c r="G16" s="6"/>
      <c r="I16" s="56"/>
      <c r="J16" s="54"/>
    </row>
    <row r="17" spans="2:10" ht="28.5" x14ac:dyDescent="0.35">
      <c r="B17" s="104" t="str">
        <f>+$C$8</f>
        <v xml:space="preserve">Acondicionador especial para cabello elaborado naturalmente </v>
      </c>
      <c r="C17" s="9">
        <f>+D8</f>
        <v>13.333333333333334</v>
      </c>
      <c r="D17" s="10">
        <f>+H8</f>
        <v>12391.620061584454</v>
      </c>
      <c r="E17" s="12">
        <f>+I8</f>
        <v>50000</v>
      </c>
      <c r="F17" s="13">
        <f>E17*C17</f>
        <v>666666.66666666674</v>
      </c>
      <c r="G17" s="6"/>
    </row>
    <row r="18" spans="2:10" x14ac:dyDescent="0.35">
      <c r="B18" s="256" t="s">
        <v>234</v>
      </c>
      <c r="C18" s="256"/>
      <c r="D18" s="256"/>
      <c r="E18" s="256"/>
      <c r="F18" s="102">
        <f>SUM(F15:F17)</f>
        <v>2136666.666666667</v>
      </c>
      <c r="J18" s="40"/>
    </row>
    <row r="20" spans="2:10" ht="28" x14ac:dyDescent="0.35">
      <c r="B20" s="92" t="s">
        <v>17</v>
      </c>
      <c r="C20" s="92" t="s">
        <v>18</v>
      </c>
      <c r="D20" s="92" t="s">
        <v>20</v>
      </c>
      <c r="E20" s="92" t="s">
        <v>21</v>
      </c>
    </row>
    <row r="21" spans="2:10" ht="28.5" x14ac:dyDescent="0.35">
      <c r="B21" s="104" t="str">
        <f>+$C$6</f>
        <v xml:space="preserve"> Aceite especial para cabello elaborado naturalmente </v>
      </c>
      <c r="C21" s="9">
        <f>+C15*D21</f>
        <v>300</v>
      </c>
      <c r="D21">
        <v>30</v>
      </c>
      <c r="E21" s="16">
        <f>F15*D21</f>
        <v>20100000</v>
      </c>
    </row>
    <row r="22" spans="2:10" ht="28.5" x14ac:dyDescent="0.35">
      <c r="B22" s="104" t="str">
        <f>+$C$7</f>
        <v xml:space="preserve">Shampoo especial para cabello elaborado naturalmente </v>
      </c>
      <c r="C22" s="9">
        <f>+C16*D22</f>
        <v>400</v>
      </c>
      <c r="D22">
        <v>30</v>
      </c>
      <c r="E22" s="16">
        <f>F16*D22</f>
        <v>24000000</v>
      </c>
    </row>
    <row r="23" spans="2:10" ht="28.5" x14ac:dyDescent="0.35">
      <c r="B23" s="104" t="str">
        <f>+$C$8</f>
        <v xml:space="preserve">Acondicionador especial para cabello elaborado naturalmente </v>
      </c>
      <c r="C23" s="9">
        <f>+C17*D23</f>
        <v>400</v>
      </c>
      <c r="D23">
        <v>30</v>
      </c>
      <c r="E23" s="16">
        <f>F17*D23</f>
        <v>20000000.000000004</v>
      </c>
    </row>
    <row r="24" spans="2:10" ht="28.5" x14ac:dyDescent="0.35">
      <c r="B24" s="104" t="str">
        <f>+C9</f>
        <v>Clases de asesoria para definir el tipo de riso</v>
      </c>
      <c r="C24" s="227">
        <f>+E9</f>
        <v>15</v>
      </c>
      <c r="D24">
        <v>30</v>
      </c>
      <c r="E24" s="3">
        <f>+(C24*I9)*D24</f>
        <v>36000000</v>
      </c>
    </row>
    <row r="25" spans="2:10" x14ac:dyDescent="0.35">
      <c r="B25" s="256" t="s">
        <v>25</v>
      </c>
      <c r="C25" s="256"/>
      <c r="D25" s="256"/>
      <c r="E25" s="102">
        <f>SUM(E21:E24)</f>
        <v>100100000</v>
      </c>
      <c r="F25" s="63"/>
    </row>
    <row r="27" spans="2:10" ht="28" x14ac:dyDescent="0.35">
      <c r="B27" s="92" t="s">
        <v>17</v>
      </c>
      <c r="C27" s="92" t="s">
        <v>18</v>
      </c>
      <c r="D27" s="92" t="s">
        <v>236</v>
      </c>
      <c r="E27" s="92" t="s">
        <v>238</v>
      </c>
    </row>
    <row r="28" spans="2:10" ht="28.5" x14ac:dyDescent="0.35">
      <c r="B28" s="104" t="str">
        <f>+$C$6</f>
        <v xml:space="preserve"> Aceite especial para cabello elaborado naturalmente </v>
      </c>
      <c r="C28" s="9">
        <f>+C21*D28</f>
        <v>3600</v>
      </c>
      <c r="D28">
        <v>12</v>
      </c>
      <c r="E28" s="16">
        <f>E21*D28</f>
        <v>241200000</v>
      </c>
    </row>
    <row r="29" spans="2:10" ht="28.5" x14ac:dyDescent="0.35">
      <c r="B29" s="104" t="str">
        <f>+$C$7</f>
        <v xml:space="preserve">Shampoo especial para cabello elaborado naturalmente </v>
      </c>
      <c r="C29" s="9">
        <f t="shared" ref="C29:C31" si="0">+C22*D29</f>
        <v>4800</v>
      </c>
      <c r="D29">
        <v>12</v>
      </c>
      <c r="E29" s="16">
        <f t="shared" ref="E29:E31" si="1">E22*D29</f>
        <v>288000000</v>
      </c>
    </row>
    <row r="30" spans="2:10" ht="28.5" x14ac:dyDescent="0.35">
      <c r="B30" s="104" t="str">
        <f>+$C$8</f>
        <v xml:space="preserve">Acondicionador especial para cabello elaborado naturalmente </v>
      </c>
      <c r="C30" s="9">
        <f t="shared" si="0"/>
        <v>4800</v>
      </c>
      <c r="D30">
        <v>12</v>
      </c>
      <c r="E30" s="16">
        <f t="shared" si="1"/>
        <v>240000000.00000006</v>
      </c>
    </row>
    <row r="31" spans="2:10" ht="28.5" x14ac:dyDescent="0.35">
      <c r="B31" s="104" t="str">
        <f>+C9</f>
        <v>Clases de asesoria para definir el tipo de riso</v>
      </c>
      <c r="C31" s="9">
        <f t="shared" si="0"/>
        <v>180</v>
      </c>
      <c r="D31">
        <v>12</v>
      </c>
      <c r="E31" s="16">
        <f t="shared" si="1"/>
        <v>432000000</v>
      </c>
    </row>
    <row r="32" spans="2:10" x14ac:dyDescent="0.35">
      <c r="B32" s="256" t="s">
        <v>237</v>
      </c>
      <c r="C32" s="256"/>
      <c r="D32" s="256"/>
      <c r="E32" s="102">
        <f>SUM(E28:E31)</f>
        <v>1201200000</v>
      </c>
    </row>
  </sheetData>
  <mergeCells count="5">
    <mergeCell ref="B32:D32"/>
    <mergeCell ref="B2:L2"/>
    <mergeCell ref="B25:D25"/>
    <mergeCell ref="B12:F12"/>
    <mergeCell ref="B18:E1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B1:S120"/>
  <sheetViews>
    <sheetView showGridLines="0" zoomScale="80" zoomScaleNormal="80" workbookViewId="0">
      <pane ySplit="1" topLeftCell="A2" activePane="bottomLeft" state="frozen"/>
      <selection pane="bottomLeft" activeCell="I5" sqref="I5"/>
    </sheetView>
  </sheetViews>
  <sheetFormatPr baseColWidth="10" defaultColWidth="12.453125" defaultRowHeight="15" customHeight="1" x14ac:dyDescent="0.35"/>
  <cols>
    <col min="1" max="1" width="12.453125" style="17"/>
    <col min="2" max="2" width="23.6328125" style="106" bestFit="1" customWidth="1"/>
    <col min="3" max="3" width="16.453125" style="17" bestFit="1" customWidth="1"/>
    <col min="4" max="4" width="14.6328125" style="17" bestFit="1" customWidth="1"/>
    <col min="5" max="5" width="16.08984375" style="17" bestFit="1" customWidth="1"/>
    <col min="6" max="6" width="15.90625" style="17" bestFit="1" customWidth="1"/>
    <col min="7" max="7" width="13.6328125" style="17" bestFit="1" customWidth="1"/>
    <col min="8" max="8" width="18.81640625" style="17" customWidth="1"/>
    <col min="9" max="9" width="30.81640625" style="111" customWidth="1"/>
    <col min="10" max="10" width="13.6328125" style="17" bestFit="1" customWidth="1"/>
    <col min="11" max="11" width="23.1796875" style="17" customWidth="1"/>
    <col min="12" max="12" width="8.6328125" style="17" bestFit="1" customWidth="1"/>
    <col min="13" max="13" width="13.6328125" style="17" bestFit="1" customWidth="1"/>
    <col min="14" max="14" width="13.36328125" style="17" bestFit="1" customWidth="1"/>
    <col min="15" max="15" width="8.6328125" style="17" bestFit="1" customWidth="1"/>
    <col min="16" max="16" width="13.6328125" style="17" bestFit="1" customWidth="1"/>
    <col min="17" max="17" width="13.36328125" style="17" bestFit="1" customWidth="1"/>
    <col min="18" max="18" width="8.6328125" style="17" bestFit="1" customWidth="1"/>
    <col min="19" max="19" width="13.36328125" style="17" bestFit="1" customWidth="1"/>
    <col min="20" max="16384" width="12.453125" style="17"/>
  </cols>
  <sheetData>
    <row r="1" spans="2:18" s="219" customFormat="1" ht="32" customHeight="1" x14ac:dyDescent="0.3">
      <c r="B1" s="275" t="s">
        <v>53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20"/>
      <c r="P1" s="220"/>
    </row>
    <row r="2" spans="2:18" ht="15" customHeight="1" thickBot="1" x14ac:dyDescent="0.4">
      <c r="C2" s="18"/>
    </row>
    <row r="3" spans="2:18" ht="15" customHeight="1" thickBot="1" x14ac:dyDescent="0.4">
      <c r="B3" s="267" t="s">
        <v>226</v>
      </c>
      <c r="C3" s="268"/>
      <c r="D3" s="268"/>
      <c r="E3" s="268"/>
      <c r="F3" s="269"/>
      <c r="G3" s="23" t="s">
        <v>39</v>
      </c>
      <c r="H3" s="264" t="s">
        <v>78</v>
      </c>
      <c r="I3" s="265"/>
      <c r="J3" s="265"/>
      <c r="K3" s="265"/>
      <c r="L3" s="23"/>
      <c r="M3" s="23"/>
      <c r="N3" s="23"/>
      <c r="O3" s="23"/>
      <c r="P3" s="23"/>
      <c r="Q3" s="23"/>
      <c r="R3" s="23"/>
    </row>
    <row r="4" spans="2:18" ht="24" customHeight="1" x14ac:dyDescent="0.35">
      <c r="B4" s="117" t="s">
        <v>17</v>
      </c>
      <c r="C4" s="118" t="s">
        <v>27</v>
      </c>
      <c r="D4" s="118" t="s">
        <v>28</v>
      </c>
      <c r="E4" s="118" t="s">
        <v>29</v>
      </c>
      <c r="F4" s="119" t="s">
        <v>30</v>
      </c>
      <c r="H4" s="120" t="s">
        <v>44</v>
      </c>
      <c r="I4" s="121" t="s">
        <v>75</v>
      </c>
      <c r="J4" s="120" t="s">
        <v>77</v>
      </c>
      <c r="K4" s="120" t="s">
        <v>43</v>
      </c>
    </row>
    <row r="5" spans="2:18" ht="42.5" x14ac:dyDescent="0.35">
      <c r="B5" s="107" t="str">
        <f>+'Definición de Precio  '!B15</f>
        <v xml:space="preserve"> Aceite especial para cabello elaborado naturalmente </v>
      </c>
      <c r="C5" s="62">
        <f>+'Definición de Precio  '!I6</f>
        <v>67000</v>
      </c>
      <c r="D5" s="41">
        <f>+K5</f>
        <v>3600</v>
      </c>
      <c r="E5" s="42">
        <f>+'Definición de Precio  '!F6</f>
        <v>7294.4228857997014</v>
      </c>
      <c r="F5" s="43">
        <f>+'Definición de Precio  '!G6</f>
        <v>5097.1971757847532</v>
      </c>
      <c r="H5" s="259">
        <v>1</v>
      </c>
      <c r="I5" s="177" t="str">
        <f>+$B$5</f>
        <v xml:space="preserve"> Aceite especial para cabello elaborado naturalmente </v>
      </c>
      <c r="J5" s="178">
        <f>+'Definición de Precio  '!E6</f>
        <v>300</v>
      </c>
      <c r="K5" s="57">
        <f>+J5*12</f>
        <v>3600</v>
      </c>
    </row>
    <row r="6" spans="2:18" ht="42.5" x14ac:dyDescent="0.35">
      <c r="B6" s="107" t="str">
        <f>+'Definición de Precio  '!B16</f>
        <v xml:space="preserve">Shampoo especial para cabello elaborado naturalmente </v>
      </c>
      <c r="C6" s="62">
        <f>+'Definición de Precio  '!I7</f>
        <v>60000</v>
      </c>
      <c r="D6" s="41">
        <f>+K6</f>
        <v>4800</v>
      </c>
      <c r="E6" s="42">
        <f>+'Definición de Precio  '!F7</f>
        <v>7294.4228857997014</v>
      </c>
      <c r="F6" s="43">
        <f>+'Definición de Precio  '!G7</f>
        <v>5097.1971757847532</v>
      </c>
      <c r="H6" s="260"/>
      <c r="I6" s="177" t="str">
        <f>+$B$6</f>
        <v xml:space="preserve">Shampoo especial para cabello elaborado naturalmente </v>
      </c>
      <c r="J6" s="178">
        <f>+'Definición de Precio  '!E7</f>
        <v>400</v>
      </c>
      <c r="K6" s="57">
        <f t="shared" ref="K6:K23" si="0">+J6*12</f>
        <v>4800</v>
      </c>
    </row>
    <row r="7" spans="2:18" ht="42.5" x14ac:dyDescent="0.35">
      <c r="B7" s="107" t="str">
        <f>+'Definición de Precio  '!B17</f>
        <v xml:space="preserve">Acondicionador especial para cabello elaborado naturalmente </v>
      </c>
      <c r="C7" s="62">
        <f>+'Definición de Precio  '!I8</f>
        <v>50000</v>
      </c>
      <c r="D7" s="41">
        <f>+K7</f>
        <v>4800</v>
      </c>
      <c r="E7" s="42">
        <f>+'Definición de Precio  '!F8</f>
        <v>7294.4228857997014</v>
      </c>
      <c r="F7" s="43">
        <f>+'Definición de Precio  '!G8</f>
        <v>5097.1971757847532</v>
      </c>
      <c r="H7" s="261"/>
      <c r="I7" s="177" t="str">
        <f>+$B$7</f>
        <v xml:space="preserve">Acondicionador especial para cabello elaborado naturalmente </v>
      </c>
      <c r="J7" s="178">
        <f>+'Definición de Precio  '!E8</f>
        <v>400</v>
      </c>
      <c r="K7" s="57">
        <f t="shared" si="0"/>
        <v>4800</v>
      </c>
    </row>
    <row r="8" spans="2:18" ht="16" thickBot="1" x14ac:dyDescent="0.4">
      <c r="B8" s="122" t="s">
        <v>37</v>
      </c>
      <c r="C8" s="123">
        <f>SUM(C5:C7)</f>
        <v>177000</v>
      </c>
      <c r="D8" s="124">
        <f>SUM(D5:D7)</f>
        <v>13200</v>
      </c>
      <c r="E8" s="123">
        <f>AVERAGE(E5:E7)</f>
        <v>7294.4228857997014</v>
      </c>
      <c r="F8" s="125">
        <f>AVERAGE(F5:F7)</f>
        <v>5097.1971757847532</v>
      </c>
      <c r="H8" s="262" t="s">
        <v>76</v>
      </c>
      <c r="I8" s="263"/>
      <c r="J8" s="179">
        <f>+SUM(J5:J7)</f>
        <v>1100</v>
      </c>
      <c r="K8" s="182">
        <f>+SUM(K5:K7)</f>
        <v>13200</v>
      </c>
    </row>
    <row r="9" spans="2:18" ht="31" x14ac:dyDescent="0.35">
      <c r="B9" s="108"/>
      <c r="C9" s="36"/>
      <c r="D9" s="44"/>
      <c r="E9" s="44"/>
      <c r="F9" s="45"/>
      <c r="H9" s="259">
        <v>2</v>
      </c>
      <c r="I9" s="180" t="str">
        <f>+$B$5</f>
        <v xml:space="preserve"> Aceite especial para cabello elaborado naturalmente </v>
      </c>
      <c r="J9" s="181">
        <f>+(J5*2%)+J5</f>
        <v>306</v>
      </c>
      <c r="K9" s="58">
        <f>+J9*12</f>
        <v>3672</v>
      </c>
    </row>
    <row r="10" spans="2:18" ht="31.5" thickBot="1" x14ac:dyDescent="0.4">
      <c r="B10" s="108"/>
      <c r="C10" s="46"/>
      <c r="D10" s="44"/>
      <c r="E10" s="36"/>
      <c r="F10" s="46"/>
      <c r="H10" s="260"/>
      <c r="I10" s="177" t="str">
        <f>+$B$6</f>
        <v xml:space="preserve">Shampoo especial para cabello elaborado naturalmente </v>
      </c>
      <c r="J10" s="178">
        <f>+(J6*2%)+J6</f>
        <v>408</v>
      </c>
      <c r="K10" s="58">
        <f>+J10*12</f>
        <v>4896</v>
      </c>
    </row>
    <row r="11" spans="2:18" ht="31" x14ac:dyDescent="0.35">
      <c r="B11" s="270" t="s">
        <v>40</v>
      </c>
      <c r="C11" s="271"/>
      <c r="D11" s="271"/>
      <c r="E11" s="271"/>
      <c r="F11" s="272"/>
      <c r="G11" s="20"/>
      <c r="H11" s="261"/>
      <c r="I11" s="177" t="str">
        <f>+$B$7</f>
        <v xml:space="preserve">Acondicionador especial para cabello elaborado naturalmente </v>
      </c>
      <c r="J11" s="178">
        <f>+(J7*2%)+J7</f>
        <v>408</v>
      </c>
      <c r="K11" s="58">
        <f>+J11*12</f>
        <v>4896</v>
      </c>
      <c r="N11" s="20"/>
    </row>
    <row r="12" spans="2:18" ht="16" thickBot="1" x14ac:dyDescent="0.4">
      <c r="B12" s="133" t="s">
        <v>17</v>
      </c>
      <c r="C12" s="130" t="s">
        <v>31</v>
      </c>
      <c r="D12" s="131" t="s">
        <v>32</v>
      </c>
      <c r="E12" s="131" t="s">
        <v>29</v>
      </c>
      <c r="F12" s="132" t="s">
        <v>30</v>
      </c>
      <c r="H12" s="262" t="s">
        <v>76</v>
      </c>
      <c r="I12" s="263"/>
      <c r="J12" s="182">
        <f>+SUM(J9:J11)</f>
        <v>1122</v>
      </c>
      <c r="K12" s="182">
        <f>+SUM(K9:K11)</f>
        <v>13464</v>
      </c>
    </row>
    <row r="13" spans="2:18" ht="42.5" x14ac:dyDescent="0.35">
      <c r="B13" s="107" t="str">
        <f>+B5</f>
        <v xml:space="preserve"> Aceite especial para cabello elaborado naturalmente </v>
      </c>
      <c r="C13" s="60">
        <f>+C5*1.12</f>
        <v>75040</v>
      </c>
      <c r="D13" s="47">
        <f>+K9</f>
        <v>3672</v>
      </c>
      <c r="E13" s="41">
        <f t="shared" ref="E13:F15" si="1">+E5*1.1</f>
        <v>8023.8651743796718</v>
      </c>
      <c r="F13" s="48">
        <f t="shared" si="1"/>
        <v>5606.9168933632291</v>
      </c>
      <c r="G13" s="19"/>
      <c r="H13" s="259">
        <v>3</v>
      </c>
      <c r="I13" s="180" t="str">
        <f>+$B$5</f>
        <v xml:space="preserve"> Aceite especial para cabello elaborado naturalmente </v>
      </c>
      <c r="J13" s="181">
        <f>+(J9*2%)+J9</f>
        <v>312.12</v>
      </c>
      <c r="K13" s="58">
        <f>+J13*12</f>
        <v>3745.44</v>
      </c>
    </row>
    <row r="14" spans="2:18" ht="29.5" customHeight="1" x14ac:dyDescent="0.35">
      <c r="B14" s="107" t="str">
        <f>+B6</f>
        <v xml:space="preserve">Shampoo especial para cabello elaborado naturalmente </v>
      </c>
      <c r="C14" s="61">
        <f>+C6*1.12</f>
        <v>67200</v>
      </c>
      <c r="D14" s="47">
        <f>+K10</f>
        <v>4896</v>
      </c>
      <c r="E14" s="41">
        <f t="shared" si="1"/>
        <v>8023.8651743796718</v>
      </c>
      <c r="F14" s="48">
        <f t="shared" si="1"/>
        <v>5606.9168933632291</v>
      </c>
      <c r="G14" s="19"/>
      <c r="H14" s="260"/>
      <c r="I14" s="177" t="str">
        <f>+$B$6</f>
        <v xml:space="preserve">Shampoo especial para cabello elaborado naturalmente </v>
      </c>
      <c r="J14" s="178">
        <f>+(J10*2%)+J10</f>
        <v>416.16</v>
      </c>
      <c r="K14" s="58">
        <f t="shared" si="0"/>
        <v>4993.92</v>
      </c>
    </row>
    <row r="15" spans="2:18" ht="42.5" x14ac:dyDescent="0.35">
      <c r="B15" s="107" t="str">
        <f>+B7</f>
        <v xml:space="preserve">Acondicionador especial para cabello elaborado naturalmente </v>
      </c>
      <c r="C15" s="61">
        <f>+C7*1.12</f>
        <v>56000.000000000007</v>
      </c>
      <c r="D15" s="47">
        <f>+K11</f>
        <v>4896</v>
      </c>
      <c r="E15" s="41">
        <f t="shared" si="1"/>
        <v>8023.8651743796718</v>
      </c>
      <c r="F15" s="48">
        <f t="shared" si="1"/>
        <v>5606.9168933632291</v>
      </c>
      <c r="G15" s="19"/>
      <c r="H15" s="261"/>
      <c r="I15" s="177" t="str">
        <f>+$B$7</f>
        <v xml:space="preserve">Acondicionador especial para cabello elaborado naturalmente </v>
      </c>
      <c r="J15" s="178">
        <f>+(J11*2%)+J11</f>
        <v>416.16</v>
      </c>
      <c r="K15" s="58">
        <f t="shared" si="0"/>
        <v>4993.92</v>
      </c>
    </row>
    <row r="16" spans="2:18" ht="16" thickBot="1" x14ac:dyDescent="0.4">
      <c r="B16" s="126" t="s">
        <v>37</v>
      </c>
      <c r="C16" s="125">
        <f>SUM(C13:C15)</f>
        <v>198240</v>
      </c>
      <c r="D16" s="127">
        <f>SUM(D13:D15)</f>
        <v>13464</v>
      </c>
      <c r="E16" s="127">
        <f>AVERAGE(E13:E15)</f>
        <v>8023.8651743796718</v>
      </c>
      <c r="F16" s="128">
        <f>AVERAGE(F13:F15)</f>
        <v>5606.9168933632291</v>
      </c>
      <c r="G16" s="19"/>
      <c r="H16" s="262" t="s">
        <v>76</v>
      </c>
      <c r="I16" s="263"/>
      <c r="J16" s="182">
        <f>+SUM(J13:J15)</f>
        <v>1144.44</v>
      </c>
      <c r="K16" s="182">
        <f>+SUM(K13:K15)</f>
        <v>13733.28</v>
      </c>
    </row>
    <row r="17" spans="2:11" ht="31" x14ac:dyDescent="0.35">
      <c r="B17" s="108"/>
      <c r="C17" s="46"/>
      <c r="D17" s="36"/>
      <c r="E17" s="44"/>
      <c r="F17" s="46"/>
      <c r="G17" s="19"/>
      <c r="H17" s="259">
        <v>4</v>
      </c>
      <c r="I17" s="180" t="str">
        <f>+$B$5</f>
        <v xml:space="preserve"> Aceite especial para cabello elaborado naturalmente </v>
      </c>
      <c r="J17" s="181">
        <f>+(J13*2%)+J13</f>
        <v>318.36239999999998</v>
      </c>
      <c r="K17" s="58">
        <f>+J17*12</f>
        <v>3820.3487999999998</v>
      </c>
    </row>
    <row r="18" spans="2:11" ht="31.5" thickBot="1" x14ac:dyDescent="0.4">
      <c r="B18" s="108"/>
      <c r="C18" s="46"/>
      <c r="D18" s="36"/>
      <c r="E18" s="36"/>
      <c r="F18" s="46"/>
      <c r="G18" s="19"/>
      <c r="H18" s="260"/>
      <c r="I18" s="177" t="str">
        <f>+$B$6</f>
        <v xml:space="preserve">Shampoo especial para cabello elaborado naturalmente </v>
      </c>
      <c r="J18" s="178">
        <f>+(J14*2%)+J14</f>
        <v>424.48320000000001</v>
      </c>
      <c r="K18" s="58">
        <f t="shared" si="0"/>
        <v>5093.7983999999997</v>
      </c>
    </row>
    <row r="19" spans="2:11" ht="31" x14ac:dyDescent="0.35">
      <c r="B19" s="270" t="s">
        <v>41</v>
      </c>
      <c r="C19" s="271"/>
      <c r="D19" s="271"/>
      <c r="E19" s="271"/>
      <c r="F19" s="272"/>
      <c r="G19" s="19"/>
      <c r="H19" s="261"/>
      <c r="I19" s="177" t="str">
        <f>+$B$7</f>
        <v xml:space="preserve">Acondicionador especial para cabello elaborado naturalmente </v>
      </c>
      <c r="J19" s="178">
        <f>+(J15*2%)+J15</f>
        <v>424.48320000000001</v>
      </c>
      <c r="K19" s="58">
        <f t="shared" si="0"/>
        <v>5093.7983999999997</v>
      </c>
    </row>
    <row r="20" spans="2:11" ht="15.5" x14ac:dyDescent="0.35">
      <c r="B20" s="129" t="s">
        <v>17</v>
      </c>
      <c r="C20" s="131" t="s">
        <v>33</v>
      </c>
      <c r="D20" s="131" t="s">
        <v>34</v>
      </c>
      <c r="E20" s="131" t="s">
        <v>29</v>
      </c>
      <c r="F20" s="132" t="s">
        <v>30</v>
      </c>
      <c r="G20" s="19"/>
      <c r="H20" s="262" t="s">
        <v>76</v>
      </c>
      <c r="I20" s="263"/>
      <c r="J20" s="182">
        <f>+SUM(J17:J19)</f>
        <v>1167.3288</v>
      </c>
      <c r="K20" s="182">
        <f>+SUM(K17:K19)</f>
        <v>14007.945599999999</v>
      </c>
    </row>
    <row r="21" spans="2:11" ht="42.5" x14ac:dyDescent="0.35">
      <c r="B21" s="107" t="str">
        <f>+'Definición de Precio  '!B21</f>
        <v xml:space="preserve"> Aceite especial para cabello elaborado naturalmente </v>
      </c>
      <c r="C21" s="59">
        <f>+C13*1.14</f>
        <v>85545.599999999991</v>
      </c>
      <c r="D21" s="41">
        <f>+K13</f>
        <v>3745.44</v>
      </c>
      <c r="E21" s="41">
        <f t="shared" ref="E21:F23" si="2">+E13*1.2</f>
        <v>9628.638209255605</v>
      </c>
      <c r="F21" s="49">
        <f t="shared" si="2"/>
        <v>6728.3002720358745</v>
      </c>
      <c r="G21" s="19"/>
      <c r="H21" s="259">
        <v>5</v>
      </c>
      <c r="I21" s="180" t="str">
        <f>+$B$5</f>
        <v xml:space="preserve"> Aceite especial para cabello elaborado naturalmente </v>
      </c>
      <c r="J21" s="181">
        <f>+(J17*2%)+J17</f>
        <v>324.729648</v>
      </c>
      <c r="K21" s="58">
        <f>+J21*12</f>
        <v>3896.755776</v>
      </c>
    </row>
    <row r="22" spans="2:11" ht="42.5" x14ac:dyDescent="0.35">
      <c r="B22" s="107" t="str">
        <f>+'Definición de Precio  '!B22</f>
        <v xml:space="preserve">Shampoo especial para cabello elaborado naturalmente </v>
      </c>
      <c r="C22" s="59">
        <f>+C14*1.14</f>
        <v>76608</v>
      </c>
      <c r="D22" s="41">
        <f>+K14</f>
        <v>4993.92</v>
      </c>
      <c r="E22" s="41">
        <f t="shared" si="2"/>
        <v>9628.638209255605</v>
      </c>
      <c r="F22" s="49">
        <f t="shared" si="2"/>
        <v>6728.3002720358745</v>
      </c>
      <c r="G22" s="19"/>
      <c r="H22" s="260"/>
      <c r="I22" s="177" t="str">
        <f>+$B$6</f>
        <v xml:space="preserve">Shampoo especial para cabello elaborado naturalmente </v>
      </c>
      <c r="J22" s="178">
        <f>+(J18*2%)+J18</f>
        <v>432.97286400000002</v>
      </c>
      <c r="K22" s="58">
        <f t="shared" si="0"/>
        <v>5195.674368</v>
      </c>
    </row>
    <row r="23" spans="2:11" ht="42.5" x14ac:dyDescent="0.35">
      <c r="B23" s="107" t="str">
        <f>+'Definición de Precio  '!B23</f>
        <v xml:space="preserve">Acondicionador especial para cabello elaborado naturalmente </v>
      </c>
      <c r="C23" s="59">
        <f>+C15*1.14</f>
        <v>63840</v>
      </c>
      <c r="D23" s="41">
        <f>+K15</f>
        <v>4993.92</v>
      </c>
      <c r="E23" s="41">
        <f t="shared" si="2"/>
        <v>9628.638209255605</v>
      </c>
      <c r="F23" s="49">
        <f t="shared" si="2"/>
        <v>6728.3002720358745</v>
      </c>
      <c r="G23" s="19"/>
      <c r="H23" s="261"/>
      <c r="I23" s="177" t="str">
        <f>+$B$7</f>
        <v xml:space="preserve">Acondicionador especial para cabello elaborado naturalmente </v>
      </c>
      <c r="J23" s="178">
        <f>+(J19*2%)+J19</f>
        <v>432.97286400000002</v>
      </c>
      <c r="K23" s="58">
        <f t="shared" si="0"/>
        <v>5195.674368</v>
      </c>
    </row>
    <row r="24" spans="2:11" ht="32.5" customHeight="1" thickBot="1" x14ac:dyDescent="0.4">
      <c r="B24" s="126" t="s">
        <v>37</v>
      </c>
      <c r="C24" s="123">
        <f>SUM(C21:C23)</f>
        <v>225993.59999999998</v>
      </c>
      <c r="D24" s="124">
        <f>SUM(D21:D23)</f>
        <v>13733.28</v>
      </c>
      <c r="E24" s="124">
        <f>AVERAGE(E21:E23)</f>
        <v>9628.638209255605</v>
      </c>
      <c r="F24" s="190">
        <f>AVERAGE(F21:F23)</f>
        <v>6728.3002720358745</v>
      </c>
      <c r="G24" s="19"/>
      <c r="H24" s="262" t="s">
        <v>76</v>
      </c>
      <c r="I24" s="263"/>
      <c r="J24" s="182">
        <f>+SUM(J21:J23)</f>
        <v>1190.6753760000001</v>
      </c>
      <c r="K24" s="182">
        <f>+SUM(K21:K23)</f>
        <v>14288.104512</v>
      </c>
    </row>
    <row r="25" spans="2:11" ht="14.5" x14ac:dyDescent="0.35">
      <c r="B25" s="108"/>
      <c r="C25" s="46"/>
      <c r="D25" s="36"/>
      <c r="E25" s="36"/>
      <c r="F25" s="46"/>
      <c r="G25" s="19"/>
    </row>
    <row r="26" spans="2:11" ht="14.5" x14ac:dyDescent="0.35">
      <c r="B26" s="108"/>
      <c r="C26" s="46"/>
      <c r="D26" s="36"/>
      <c r="E26" s="36"/>
      <c r="F26" s="46"/>
      <c r="G26" s="19"/>
    </row>
    <row r="27" spans="2:11" thickBot="1" x14ac:dyDescent="0.4">
      <c r="B27" s="273" t="s">
        <v>42</v>
      </c>
      <c r="C27" s="273"/>
      <c r="D27" s="273"/>
      <c r="E27" s="273"/>
      <c r="F27" s="273"/>
      <c r="G27" s="19"/>
    </row>
    <row r="28" spans="2:11" ht="15.5" thickBot="1" x14ac:dyDescent="0.4">
      <c r="B28" s="192" t="s">
        <v>17</v>
      </c>
      <c r="C28" s="131" t="s">
        <v>35</v>
      </c>
      <c r="D28" s="131" t="s">
        <v>36</v>
      </c>
      <c r="E28" s="131" t="s">
        <v>29</v>
      </c>
      <c r="F28" s="131" t="s">
        <v>30</v>
      </c>
      <c r="G28" s="19"/>
      <c r="H28" s="264" t="s">
        <v>45</v>
      </c>
      <c r="I28" s="265"/>
      <c r="J28" s="265"/>
      <c r="K28" s="274"/>
    </row>
    <row r="29" spans="2:11" ht="42.5" x14ac:dyDescent="0.35">
      <c r="B29" s="107" t="str">
        <f>+B21</f>
        <v xml:space="preserve"> Aceite especial para cabello elaborado naturalmente </v>
      </c>
      <c r="C29" s="59">
        <f>+C21*1.16</f>
        <v>99232.895999999979</v>
      </c>
      <c r="D29" s="41">
        <f>+K17</f>
        <v>3820.3487999999998</v>
      </c>
      <c r="E29" s="41">
        <f t="shared" ref="E29:F31" si="3">+E21*1.2</f>
        <v>11554.365851106726</v>
      </c>
      <c r="F29" s="49">
        <f t="shared" si="3"/>
        <v>8073.9603264430489</v>
      </c>
      <c r="G29" s="19"/>
      <c r="H29" s="194" t="s">
        <v>44</v>
      </c>
      <c r="I29" s="195" t="s">
        <v>79</v>
      </c>
      <c r="J29" s="194" t="s">
        <v>77</v>
      </c>
      <c r="K29" s="194" t="s">
        <v>80</v>
      </c>
    </row>
    <row r="30" spans="2:11" ht="42.5" x14ac:dyDescent="0.35">
      <c r="B30" s="107" t="str">
        <f>+B22</f>
        <v xml:space="preserve">Shampoo especial para cabello elaborado naturalmente </v>
      </c>
      <c r="C30" s="59">
        <f>+C22*1.16</f>
        <v>88865.279999999999</v>
      </c>
      <c r="D30" s="41">
        <f>+K18</f>
        <v>5093.7983999999997</v>
      </c>
      <c r="E30" s="41">
        <f t="shared" si="3"/>
        <v>11554.365851106726</v>
      </c>
      <c r="F30" s="49">
        <f t="shared" si="3"/>
        <v>8073.9603264430489</v>
      </c>
      <c r="G30" s="19"/>
      <c r="H30" s="196">
        <v>1</v>
      </c>
      <c r="I30" s="112">
        <f>+K8</f>
        <v>13200</v>
      </c>
      <c r="J30" s="57">
        <f>I30/12</f>
        <v>1100</v>
      </c>
      <c r="K30" s="57">
        <f>+J30/30</f>
        <v>36.666666666666664</v>
      </c>
    </row>
    <row r="31" spans="2:11" ht="42.5" x14ac:dyDescent="0.35">
      <c r="B31" s="107" t="str">
        <f>+B23</f>
        <v xml:space="preserve">Acondicionador especial para cabello elaborado naturalmente </v>
      </c>
      <c r="C31" s="59">
        <f>+C23*1.16</f>
        <v>74054.399999999994</v>
      </c>
      <c r="D31" s="41">
        <f>+K19</f>
        <v>5093.7983999999997</v>
      </c>
      <c r="E31" s="41">
        <f t="shared" si="3"/>
        <v>11554.365851106726</v>
      </c>
      <c r="F31" s="49">
        <f t="shared" si="3"/>
        <v>8073.9603264430489</v>
      </c>
      <c r="G31" s="19"/>
      <c r="H31" s="196">
        <v>2</v>
      </c>
      <c r="I31" s="112">
        <f>+K12</f>
        <v>13464</v>
      </c>
      <c r="J31" s="57">
        <f>I31/12</f>
        <v>1122</v>
      </c>
      <c r="K31" s="57">
        <f>+J31/30</f>
        <v>37.4</v>
      </c>
    </row>
    <row r="32" spans="2:11" ht="16" thickBot="1" x14ac:dyDescent="0.4">
      <c r="B32" s="191" t="s">
        <v>37</v>
      </c>
      <c r="C32" s="123">
        <f>SUM(C29:C31)</f>
        <v>262152.576</v>
      </c>
      <c r="D32" s="124">
        <f>SUM(D29:D31)</f>
        <v>14007.945599999999</v>
      </c>
      <c r="E32" s="124">
        <f>AVERAGE(E29:E31)</f>
        <v>11554.365851106726</v>
      </c>
      <c r="F32" s="124">
        <f>AVERAGE(F29:F30)</f>
        <v>8073.9603264430489</v>
      </c>
      <c r="G32" s="19"/>
      <c r="H32" s="196">
        <v>3</v>
      </c>
      <c r="I32" s="112">
        <f>+K16</f>
        <v>13733.28</v>
      </c>
      <c r="J32" s="57">
        <f>I32/12</f>
        <v>1144.44</v>
      </c>
      <c r="K32" s="57">
        <f>+J32/30</f>
        <v>38.148000000000003</v>
      </c>
    </row>
    <row r="33" spans="2:11" ht="15.5" x14ac:dyDescent="0.35">
      <c r="B33" s="108"/>
      <c r="C33" s="46"/>
      <c r="D33" s="36"/>
      <c r="E33" s="36"/>
      <c r="F33" s="46"/>
      <c r="G33" s="19"/>
      <c r="H33" s="196">
        <v>4</v>
      </c>
      <c r="I33" s="112">
        <f>+K20</f>
        <v>14007.945599999999</v>
      </c>
      <c r="J33" s="57">
        <f>I33/12</f>
        <v>1167.3288</v>
      </c>
      <c r="K33" s="57">
        <f>+J33/30</f>
        <v>38.910960000000003</v>
      </c>
    </row>
    <row r="34" spans="2:11" ht="38" customHeight="1" x14ac:dyDescent="0.35">
      <c r="B34" s="108"/>
      <c r="C34" s="46"/>
      <c r="D34" s="36"/>
      <c r="E34" s="36"/>
      <c r="F34" s="46"/>
      <c r="G34" s="19"/>
      <c r="H34" s="196">
        <v>5</v>
      </c>
      <c r="I34" s="112">
        <f>+K24</f>
        <v>14288.104512</v>
      </c>
      <c r="J34" s="57">
        <f>I34/12</f>
        <v>1190.6753759999999</v>
      </c>
      <c r="K34" s="57">
        <f>+J34/30</f>
        <v>39.689179199999998</v>
      </c>
    </row>
    <row r="35" spans="2:11" ht="14.5" x14ac:dyDescent="0.35">
      <c r="B35" s="266" t="s">
        <v>46</v>
      </c>
      <c r="C35" s="266"/>
      <c r="D35" s="266"/>
      <c r="E35" s="266"/>
      <c r="F35" s="266"/>
      <c r="G35" s="19"/>
    </row>
    <row r="36" spans="2:11" ht="15.5" customHeight="1" x14ac:dyDescent="0.35">
      <c r="B36" s="193" t="s">
        <v>17</v>
      </c>
      <c r="C36" s="131" t="s">
        <v>35</v>
      </c>
      <c r="D36" s="131" t="s">
        <v>36</v>
      </c>
      <c r="E36" s="131" t="s">
        <v>29</v>
      </c>
      <c r="F36" s="131" t="s">
        <v>30</v>
      </c>
      <c r="G36" s="19"/>
    </row>
    <row r="37" spans="2:11" ht="42.5" x14ac:dyDescent="0.35">
      <c r="B37" s="107" t="str">
        <f>+B29</f>
        <v xml:space="preserve"> Aceite especial para cabello elaborado naturalmente </v>
      </c>
      <c r="C37" s="59">
        <f>+C29*1.18</f>
        <v>117094.81727999997</v>
      </c>
      <c r="D37" s="41">
        <f>+K21</f>
        <v>3896.755776</v>
      </c>
      <c r="E37" s="41">
        <f t="shared" ref="E37:F39" si="4">+E29*1.2</f>
        <v>13865.239021328071</v>
      </c>
      <c r="F37" s="49">
        <f t="shared" si="4"/>
        <v>9688.7523917316576</v>
      </c>
      <c r="G37" s="19"/>
    </row>
    <row r="38" spans="2:11" ht="15.5" customHeight="1" x14ac:dyDescent="0.35">
      <c r="B38" s="107" t="str">
        <f>+B30</f>
        <v xml:space="preserve">Shampoo especial para cabello elaborado naturalmente </v>
      </c>
      <c r="C38" s="59">
        <f>+C30*1.18</f>
        <v>104861.03039999999</v>
      </c>
      <c r="D38" s="41">
        <f t="shared" ref="D38:D39" si="5">+K22</f>
        <v>5195.674368</v>
      </c>
      <c r="E38" s="41">
        <f t="shared" si="4"/>
        <v>13865.239021328071</v>
      </c>
      <c r="F38" s="49">
        <f t="shared" si="4"/>
        <v>9688.7523917316576</v>
      </c>
      <c r="G38" s="19"/>
    </row>
    <row r="39" spans="2:11" ht="42.5" x14ac:dyDescent="0.35">
      <c r="B39" s="107" t="str">
        <f>+B31</f>
        <v xml:space="preserve">Acondicionador especial para cabello elaborado naturalmente </v>
      </c>
      <c r="C39" s="59">
        <f>+C31*1.18</f>
        <v>87384.191999999995</v>
      </c>
      <c r="D39" s="41">
        <f t="shared" si="5"/>
        <v>5195.674368</v>
      </c>
      <c r="E39" s="41">
        <f t="shared" si="4"/>
        <v>13865.239021328071</v>
      </c>
      <c r="F39" s="49">
        <f t="shared" si="4"/>
        <v>9688.7523917316576</v>
      </c>
      <c r="G39" s="19"/>
    </row>
    <row r="40" spans="2:11" thickBot="1" x14ac:dyDescent="0.4">
      <c r="B40" s="191" t="s">
        <v>37</v>
      </c>
      <c r="C40" s="123">
        <f>SUM(C37:C39)</f>
        <v>309340.03967999993</v>
      </c>
      <c r="D40" s="124">
        <f>SUM(D37:D39)</f>
        <v>14288.104512</v>
      </c>
      <c r="E40" s="124">
        <f>AVERAGE(E37:E39)</f>
        <v>13865.239021328069</v>
      </c>
      <c r="F40" s="124">
        <f>AVERAGE(F37:F38)</f>
        <v>9688.7523917316576</v>
      </c>
      <c r="G40" s="19"/>
    </row>
    <row r="41" spans="2:11" ht="14.5" x14ac:dyDescent="0.35">
      <c r="G41" s="19"/>
    </row>
    <row r="42" spans="2:11" ht="14.5" x14ac:dyDescent="0.35">
      <c r="C42" s="21"/>
      <c r="D42" s="24"/>
      <c r="F42" s="18"/>
      <c r="G42" s="19"/>
    </row>
    <row r="43" spans="2:11" ht="14.5" x14ac:dyDescent="0.35">
      <c r="C43" s="22"/>
      <c r="D43" s="22"/>
      <c r="E43" s="22"/>
      <c r="F43" s="22"/>
      <c r="G43" s="19"/>
    </row>
    <row r="44" spans="2:11" ht="39" customHeight="1" x14ac:dyDescent="0.35">
      <c r="C44" s="22"/>
      <c r="D44" s="22"/>
      <c r="E44" s="22"/>
      <c r="F44" s="22"/>
      <c r="G44" s="19"/>
    </row>
    <row r="45" spans="2:11" ht="14.5" x14ac:dyDescent="0.35">
      <c r="C45" s="22"/>
      <c r="D45" s="22"/>
      <c r="E45" s="22"/>
      <c r="F45" s="22"/>
      <c r="G45" s="19"/>
    </row>
    <row r="46" spans="2:11" ht="14.5" x14ac:dyDescent="0.35">
      <c r="C46" s="22"/>
      <c r="D46" s="22"/>
      <c r="E46" s="25"/>
      <c r="F46" s="22"/>
      <c r="G46" s="19"/>
    </row>
    <row r="47" spans="2:11" ht="14.5" x14ac:dyDescent="0.35">
      <c r="C47" s="22"/>
      <c r="D47" s="22"/>
      <c r="E47" s="26"/>
      <c r="F47" s="22"/>
      <c r="G47" s="19"/>
    </row>
    <row r="48" spans="2:11" ht="15" customHeight="1" x14ac:dyDescent="0.35">
      <c r="C48" s="22"/>
      <c r="D48" s="22"/>
      <c r="E48" s="26"/>
      <c r="F48" s="22"/>
    </row>
    <row r="49" spans="2:11" ht="15" customHeight="1" x14ac:dyDescent="0.35">
      <c r="C49" s="22"/>
      <c r="D49" s="22"/>
      <c r="E49" s="26"/>
      <c r="F49" s="22"/>
    </row>
    <row r="50" spans="2:11" ht="15" customHeight="1" x14ac:dyDescent="0.35">
      <c r="C50" s="22"/>
      <c r="D50" s="22"/>
      <c r="E50" s="25"/>
      <c r="F50" s="22"/>
      <c r="G50" s="22"/>
    </row>
    <row r="51" spans="2:11" ht="15" customHeight="1" x14ac:dyDescent="0.35">
      <c r="C51" s="22"/>
      <c r="D51" s="22"/>
      <c r="E51" s="26"/>
      <c r="F51" s="22"/>
      <c r="G51" s="22"/>
    </row>
    <row r="52" spans="2:11" ht="15" customHeight="1" x14ac:dyDescent="0.35">
      <c r="C52" s="22"/>
      <c r="D52" s="22"/>
      <c r="E52" s="26"/>
      <c r="F52" s="22"/>
      <c r="G52" s="22"/>
    </row>
    <row r="53" spans="2:11" ht="15" customHeight="1" x14ac:dyDescent="0.35">
      <c r="C53" s="22"/>
      <c r="D53" s="22"/>
      <c r="E53" s="26"/>
      <c r="F53" s="22"/>
      <c r="G53" s="25"/>
    </row>
    <row r="54" spans="2:11" ht="15" customHeight="1" x14ac:dyDescent="0.35">
      <c r="C54" s="22"/>
      <c r="D54" s="22"/>
      <c r="E54" s="26"/>
      <c r="F54" s="22"/>
      <c r="G54" s="25"/>
    </row>
    <row r="55" spans="2:11" ht="15" customHeight="1" x14ac:dyDescent="0.35">
      <c r="C55" s="22"/>
      <c r="D55" s="22"/>
      <c r="E55" s="26"/>
      <c r="F55" s="22"/>
    </row>
    <row r="56" spans="2:11" ht="15" customHeight="1" x14ac:dyDescent="0.35">
      <c r="C56" s="22"/>
      <c r="D56" s="22"/>
      <c r="E56" s="28"/>
      <c r="F56" s="22"/>
      <c r="G56" s="27"/>
    </row>
    <row r="57" spans="2:11" ht="15" customHeight="1" x14ac:dyDescent="0.35">
      <c r="C57" s="22"/>
      <c r="D57" s="22"/>
      <c r="E57" s="26"/>
      <c r="F57" s="22"/>
      <c r="G57" s="27"/>
    </row>
    <row r="58" spans="2:11" ht="15" customHeight="1" x14ac:dyDescent="0.35">
      <c r="C58" s="22"/>
      <c r="D58" s="22"/>
      <c r="E58" s="25"/>
      <c r="F58" s="25"/>
      <c r="G58" s="27"/>
    </row>
    <row r="59" spans="2:11" ht="15" customHeight="1" thickBot="1" x14ac:dyDescent="0.4">
      <c r="B59" s="197" t="s">
        <v>173</v>
      </c>
      <c r="C59" s="197"/>
      <c r="D59" s="197"/>
      <c r="E59" s="197"/>
      <c r="F59" s="197"/>
      <c r="G59" s="197"/>
      <c r="H59" s="197"/>
      <c r="I59" s="197"/>
      <c r="J59" s="197"/>
      <c r="K59" s="197"/>
    </row>
    <row r="60" spans="2:11" ht="15" customHeight="1" thickTop="1" thickBot="1" x14ac:dyDescent="0.4">
      <c r="B60" s="255" t="s">
        <v>87</v>
      </c>
      <c r="C60" s="187"/>
      <c r="D60" s="188"/>
      <c r="E60" s="189"/>
      <c r="F60" s="187" t="s">
        <v>88</v>
      </c>
      <c r="G60" s="188"/>
      <c r="H60" s="189"/>
      <c r="I60" s="187" t="s">
        <v>89</v>
      </c>
      <c r="J60" s="188"/>
      <c r="K60" s="189"/>
    </row>
    <row r="61" spans="2:11" ht="15" customHeight="1" thickTop="1" thickBot="1" x14ac:dyDescent="0.4">
      <c r="B61" s="198" t="s">
        <v>90</v>
      </c>
      <c r="C61" s="69" t="s">
        <v>91</v>
      </c>
      <c r="D61" s="70" t="s">
        <v>92</v>
      </c>
      <c r="E61" s="69" t="s">
        <v>2</v>
      </c>
      <c r="F61" s="69" t="s">
        <v>91</v>
      </c>
      <c r="G61" s="70" t="s">
        <v>92</v>
      </c>
      <c r="H61" s="69" t="s">
        <v>2</v>
      </c>
      <c r="I61" s="113" t="s">
        <v>91</v>
      </c>
      <c r="J61" s="70" t="s">
        <v>92</v>
      </c>
      <c r="K61" s="69" t="s">
        <v>2</v>
      </c>
    </row>
    <row r="62" spans="2:11" ht="15" customHeight="1" thickTop="1" thickBot="1" x14ac:dyDescent="0.4">
      <c r="B62" s="199" t="s">
        <v>161</v>
      </c>
      <c r="C62" s="71">
        <v>300</v>
      </c>
      <c r="D62" s="72">
        <v>67000</v>
      </c>
      <c r="E62" s="73">
        <f>+C62*D62</f>
        <v>20100000</v>
      </c>
      <c r="F62" s="71">
        <f>C62*6</f>
        <v>1800</v>
      </c>
      <c r="G62" s="72">
        <f>270000/6</f>
        <v>45000</v>
      </c>
      <c r="H62" s="73">
        <f t="shared" ref="H62:H73" si="6">+F62*G62</f>
        <v>81000000</v>
      </c>
      <c r="I62" s="114">
        <f t="shared" ref="I62:I73" si="7">+C62*12</f>
        <v>3600</v>
      </c>
      <c r="J62" s="72">
        <f>67000/12</f>
        <v>5583.333333333333</v>
      </c>
      <c r="K62" s="73">
        <f>+I62*J62</f>
        <v>20100000</v>
      </c>
    </row>
    <row r="63" spans="2:11" ht="15" customHeight="1" thickBot="1" x14ac:dyDescent="0.4">
      <c r="B63" s="199" t="s">
        <v>162</v>
      </c>
      <c r="C63" s="71">
        <v>300</v>
      </c>
      <c r="D63" s="72">
        <v>67000</v>
      </c>
      <c r="E63" s="73">
        <f>+C63*D63</f>
        <v>20100000</v>
      </c>
      <c r="F63" s="71">
        <f t="shared" ref="F63:F73" si="8">C63*6</f>
        <v>1800</v>
      </c>
      <c r="G63" s="72">
        <f t="shared" ref="G63:G73" si="9">270000/6</f>
        <v>45000</v>
      </c>
      <c r="H63" s="73">
        <f t="shared" si="6"/>
        <v>81000000</v>
      </c>
      <c r="I63" s="114">
        <f t="shared" si="7"/>
        <v>3600</v>
      </c>
      <c r="J63" s="72">
        <f t="shared" ref="J63:J73" si="10">+D63/12</f>
        <v>5583.333333333333</v>
      </c>
      <c r="K63" s="73">
        <f t="shared" ref="K63:K73" si="11">+I63*J63</f>
        <v>20100000</v>
      </c>
    </row>
    <row r="64" spans="2:11" ht="15" customHeight="1" thickBot="1" x14ac:dyDescent="0.4">
      <c r="B64" s="199" t="s">
        <v>163</v>
      </c>
      <c r="C64" s="71">
        <v>300</v>
      </c>
      <c r="D64" s="72">
        <v>67000</v>
      </c>
      <c r="E64" s="73">
        <f t="shared" ref="E64:E73" si="12">+C64*D64</f>
        <v>20100000</v>
      </c>
      <c r="F64" s="71">
        <f t="shared" si="8"/>
        <v>1800</v>
      </c>
      <c r="G64" s="72">
        <f t="shared" si="9"/>
        <v>45000</v>
      </c>
      <c r="H64" s="73">
        <f t="shared" si="6"/>
        <v>81000000</v>
      </c>
      <c r="I64" s="114">
        <f t="shared" si="7"/>
        <v>3600</v>
      </c>
      <c r="J64" s="72">
        <f t="shared" si="10"/>
        <v>5583.333333333333</v>
      </c>
      <c r="K64" s="73">
        <f t="shared" si="11"/>
        <v>20100000</v>
      </c>
    </row>
    <row r="65" spans="2:19" ht="15" customHeight="1" thickBot="1" x14ac:dyDescent="0.4">
      <c r="B65" s="199" t="s">
        <v>164</v>
      </c>
      <c r="C65" s="71">
        <v>300</v>
      </c>
      <c r="D65" s="72">
        <v>67000</v>
      </c>
      <c r="E65" s="73">
        <f t="shared" si="12"/>
        <v>20100000</v>
      </c>
      <c r="F65" s="71">
        <f t="shared" si="8"/>
        <v>1800</v>
      </c>
      <c r="G65" s="72">
        <f t="shared" si="9"/>
        <v>45000</v>
      </c>
      <c r="H65" s="73">
        <f t="shared" si="6"/>
        <v>81000000</v>
      </c>
      <c r="I65" s="114">
        <f t="shared" si="7"/>
        <v>3600</v>
      </c>
      <c r="J65" s="72">
        <f t="shared" si="10"/>
        <v>5583.333333333333</v>
      </c>
      <c r="K65" s="73">
        <f t="shared" si="11"/>
        <v>20100000</v>
      </c>
    </row>
    <row r="66" spans="2:19" ht="15" customHeight="1" thickBot="1" x14ac:dyDescent="0.4">
      <c r="B66" s="199" t="s">
        <v>165</v>
      </c>
      <c r="C66" s="71">
        <v>300</v>
      </c>
      <c r="D66" s="72">
        <v>67000</v>
      </c>
      <c r="E66" s="73">
        <f t="shared" si="12"/>
        <v>20100000</v>
      </c>
      <c r="F66" s="71">
        <f t="shared" si="8"/>
        <v>1800</v>
      </c>
      <c r="G66" s="72">
        <f t="shared" si="9"/>
        <v>45000</v>
      </c>
      <c r="H66" s="73">
        <f t="shared" si="6"/>
        <v>81000000</v>
      </c>
      <c r="I66" s="114">
        <f t="shared" si="7"/>
        <v>3600</v>
      </c>
      <c r="J66" s="72">
        <f t="shared" si="10"/>
        <v>5583.333333333333</v>
      </c>
      <c r="K66" s="73">
        <f t="shared" si="11"/>
        <v>20100000</v>
      </c>
    </row>
    <row r="67" spans="2:19" ht="15" customHeight="1" thickBot="1" x14ac:dyDescent="0.4">
      <c r="B67" s="199" t="s">
        <v>166</v>
      </c>
      <c r="C67" s="71">
        <v>300</v>
      </c>
      <c r="D67" s="72">
        <v>67000</v>
      </c>
      <c r="E67" s="73">
        <f t="shared" si="12"/>
        <v>20100000</v>
      </c>
      <c r="F67" s="71">
        <f t="shared" si="8"/>
        <v>1800</v>
      </c>
      <c r="G67" s="72">
        <f t="shared" si="9"/>
        <v>45000</v>
      </c>
      <c r="H67" s="73">
        <f t="shared" si="6"/>
        <v>81000000</v>
      </c>
      <c r="I67" s="114">
        <f t="shared" si="7"/>
        <v>3600</v>
      </c>
      <c r="J67" s="72">
        <f t="shared" si="10"/>
        <v>5583.333333333333</v>
      </c>
      <c r="K67" s="73">
        <f t="shared" si="11"/>
        <v>20100000</v>
      </c>
    </row>
    <row r="68" spans="2:19" ht="15" customHeight="1" thickBot="1" x14ac:dyDescent="0.4">
      <c r="B68" s="199" t="s">
        <v>167</v>
      </c>
      <c r="C68" s="71">
        <v>300</v>
      </c>
      <c r="D68" s="72">
        <v>67000</v>
      </c>
      <c r="E68" s="73">
        <f t="shared" si="12"/>
        <v>20100000</v>
      </c>
      <c r="F68" s="71">
        <f t="shared" si="8"/>
        <v>1800</v>
      </c>
      <c r="G68" s="72">
        <f t="shared" si="9"/>
        <v>45000</v>
      </c>
      <c r="H68" s="73">
        <f t="shared" si="6"/>
        <v>81000000</v>
      </c>
      <c r="I68" s="114">
        <f t="shared" si="7"/>
        <v>3600</v>
      </c>
      <c r="J68" s="72">
        <f t="shared" si="10"/>
        <v>5583.333333333333</v>
      </c>
      <c r="K68" s="73">
        <f t="shared" si="11"/>
        <v>20100000</v>
      </c>
    </row>
    <row r="69" spans="2:19" ht="15" customHeight="1" thickBot="1" x14ac:dyDescent="0.4">
      <c r="B69" s="199" t="s">
        <v>168</v>
      </c>
      <c r="C69" s="71">
        <v>300</v>
      </c>
      <c r="D69" s="72">
        <v>67000</v>
      </c>
      <c r="E69" s="73">
        <f t="shared" si="12"/>
        <v>20100000</v>
      </c>
      <c r="F69" s="71">
        <f t="shared" si="8"/>
        <v>1800</v>
      </c>
      <c r="G69" s="72">
        <f t="shared" si="9"/>
        <v>45000</v>
      </c>
      <c r="H69" s="73">
        <f t="shared" si="6"/>
        <v>81000000</v>
      </c>
      <c r="I69" s="114">
        <f t="shared" si="7"/>
        <v>3600</v>
      </c>
      <c r="J69" s="72">
        <f t="shared" si="10"/>
        <v>5583.333333333333</v>
      </c>
      <c r="K69" s="73">
        <f t="shared" si="11"/>
        <v>20100000</v>
      </c>
    </row>
    <row r="70" spans="2:19" ht="15" customHeight="1" thickBot="1" x14ac:dyDescent="0.4">
      <c r="B70" s="199" t="s">
        <v>169</v>
      </c>
      <c r="C70" s="71">
        <v>300</v>
      </c>
      <c r="D70" s="72">
        <v>67000</v>
      </c>
      <c r="E70" s="73">
        <f t="shared" si="12"/>
        <v>20100000</v>
      </c>
      <c r="F70" s="71">
        <f t="shared" si="8"/>
        <v>1800</v>
      </c>
      <c r="G70" s="72">
        <f t="shared" si="9"/>
        <v>45000</v>
      </c>
      <c r="H70" s="73">
        <f t="shared" si="6"/>
        <v>81000000</v>
      </c>
      <c r="I70" s="114">
        <f t="shared" si="7"/>
        <v>3600</v>
      </c>
      <c r="J70" s="72">
        <f t="shared" si="10"/>
        <v>5583.333333333333</v>
      </c>
      <c r="K70" s="73">
        <f t="shared" si="11"/>
        <v>20100000</v>
      </c>
      <c r="L70"/>
      <c r="M70"/>
      <c r="N70"/>
      <c r="O70"/>
      <c r="P70"/>
      <c r="Q70"/>
      <c r="R70"/>
      <c r="S70"/>
    </row>
    <row r="71" spans="2:19" ht="15" customHeight="1" thickBot="1" x14ac:dyDescent="0.4">
      <c r="B71" s="199" t="s">
        <v>170</v>
      </c>
      <c r="C71" s="71">
        <v>300</v>
      </c>
      <c r="D71" s="72">
        <v>67000</v>
      </c>
      <c r="E71" s="73">
        <f t="shared" si="12"/>
        <v>20100000</v>
      </c>
      <c r="F71" s="71">
        <f t="shared" si="8"/>
        <v>1800</v>
      </c>
      <c r="G71" s="72">
        <f t="shared" si="9"/>
        <v>45000</v>
      </c>
      <c r="H71" s="73">
        <f t="shared" si="6"/>
        <v>81000000</v>
      </c>
      <c r="I71" s="114">
        <f t="shared" si="7"/>
        <v>3600</v>
      </c>
      <c r="J71" s="72">
        <f t="shared" si="10"/>
        <v>5583.333333333333</v>
      </c>
      <c r="K71" s="73">
        <f t="shared" si="11"/>
        <v>20100000</v>
      </c>
      <c r="L71"/>
      <c r="M71"/>
      <c r="N71"/>
      <c r="O71"/>
      <c r="P71"/>
      <c r="Q71"/>
      <c r="R71"/>
      <c r="S71"/>
    </row>
    <row r="72" spans="2:19" ht="15" customHeight="1" thickBot="1" x14ac:dyDescent="0.4">
      <c r="B72" s="199" t="s">
        <v>171</v>
      </c>
      <c r="C72" s="71">
        <v>300</v>
      </c>
      <c r="D72" s="72">
        <v>67000</v>
      </c>
      <c r="E72" s="73">
        <f t="shared" si="12"/>
        <v>20100000</v>
      </c>
      <c r="F72" s="71">
        <f t="shared" si="8"/>
        <v>1800</v>
      </c>
      <c r="G72" s="72">
        <f t="shared" si="9"/>
        <v>45000</v>
      </c>
      <c r="H72" s="73">
        <f t="shared" si="6"/>
        <v>81000000</v>
      </c>
      <c r="I72" s="114">
        <f t="shared" si="7"/>
        <v>3600</v>
      </c>
      <c r="J72" s="72">
        <f t="shared" si="10"/>
        <v>5583.333333333333</v>
      </c>
      <c r="K72" s="73">
        <f t="shared" si="11"/>
        <v>20100000</v>
      </c>
      <c r="L72"/>
      <c r="M72"/>
      <c r="N72"/>
      <c r="O72"/>
      <c r="P72"/>
      <c r="Q72"/>
      <c r="R72"/>
      <c r="S72"/>
    </row>
    <row r="73" spans="2:19" ht="15" customHeight="1" thickBot="1" x14ac:dyDescent="0.4">
      <c r="B73" s="199" t="s">
        <v>172</v>
      </c>
      <c r="C73" s="71">
        <v>300</v>
      </c>
      <c r="D73" s="72">
        <v>67000</v>
      </c>
      <c r="E73" s="73">
        <f t="shared" si="12"/>
        <v>20100000</v>
      </c>
      <c r="F73" s="71">
        <f t="shared" si="8"/>
        <v>1800</v>
      </c>
      <c r="G73" s="72">
        <f t="shared" si="9"/>
        <v>45000</v>
      </c>
      <c r="H73" s="73">
        <f t="shared" si="6"/>
        <v>81000000</v>
      </c>
      <c r="I73" s="114">
        <f t="shared" si="7"/>
        <v>3600</v>
      </c>
      <c r="J73" s="72">
        <f t="shared" si="10"/>
        <v>5583.333333333333</v>
      </c>
      <c r="K73" s="73">
        <f t="shared" si="11"/>
        <v>20100000</v>
      </c>
      <c r="L73"/>
      <c r="M73"/>
      <c r="N73"/>
      <c r="O73"/>
      <c r="P73"/>
      <c r="Q73"/>
      <c r="R73"/>
      <c r="S73"/>
    </row>
    <row r="74" spans="2:19" ht="15" customHeight="1" thickBot="1" x14ac:dyDescent="0.4">
      <c r="B74" s="110"/>
      <c r="C74" s="73">
        <f>+AVERAGE(C62:C73)</f>
        <v>300</v>
      </c>
      <c r="D74" s="74"/>
      <c r="E74" s="73">
        <f>+SUM(E61:E73)</f>
        <v>241200000</v>
      </c>
      <c r="F74" s="200">
        <f>+AVERAGE(F62:F73)</f>
        <v>1800</v>
      </c>
      <c r="H74" s="73">
        <f>+SUM(H61:H73)</f>
        <v>972000000</v>
      </c>
      <c r="I74" s="115">
        <f>+AVERAGE(I62:I73)</f>
        <v>3600</v>
      </c>
      <c r="J74" s="74" t="s">
        <v>93</v>
      </c>
      <c r="K74" s="73">
        <f>+SUM(K61:K73)</f>
        <v>241200000</v>
      </c>
      <c r="L74"/>
      <c r="M74"/>
      <c r="N74"/>
      <c r="O74"/>
      <c r="P74"/>
      <c r="Q74"/>
      <c r="R74"/>
      <c r="S74"/>
    </row>
    <row r="75" spans="2:19" ht="15" customHeight="1" x14ac:dyDescent="0.35">
      <c r="B75" s="109"/>
      <c r="C75" s="67"/>
      <c r="D75" s="67"/>
      <c r="E75" s="67"/>
      <c r="F75" s="67"/>
      <c r="L75"/>
      <c r="M75"/>
      <c r="N75"/>
      <c r="O75"/>
      <c r="P75"/>
      <c r="Q75"/>
      <c r="R75"/>
      <c r="S75"/>
    </row>
    <row r="76" spans="2:19" ht="15" customHeight="1" x14ac:dyDescent="0.35">
      <c r="L76"/>
      <c r="M76"/>
      <c r="N76"/>
      <c r="O76"/>
      <c r="P76"/>
      <c r="Q76"/>
      <c r="R76"/>
      <c r="S76"/>
    </row>
    <row r="77" spans="2:19" ht="15" customHeight="1" thickBot="1" x14ac:dyDescent="0.4">
      <c r="B77" s="197" t="s">
        <v>112</v>
      </c>
      <c r="C77" s="197"/>
      <c r="D77" s="197"/>
      <c r="E77" s="197"/>
      <c r="F77" s="197"/>
      <c r="G77" s="197"/>
      <c r="H77" s="197"/>
      <c r="I77" s="197"/>
      <c r="J77" s="197"/>
      <c r="K77" s="197"/>
      <c r="L77"/>
      <c r="M77"/>
      <c r="N77"/>
      <c r="O77"/>
      <c r="P77"/>
      <c r="Q77"/>
      <c r="R77"/>
      <c r="S77"/>
    </row>
    <row r="78" spans="2:19" ht="15" customHeight="1" thickTop="1" thickBot="1" x14ac:dyDescent="0.4">
      <c r="B78" s="255" t="s">
        <v>87</v>
      </c>
      <c r="C78" s="187"/>
      <c r="D78" s="188"/>
      <c r="E78" s="189"/>
      <c r="F78" s="187" t="s">
        <v>88</v>
      </c>
      <c r="G78" s="188"/>
      <c r="H78" s="189"/>
      <c r="I78" s="187" t="s">
        <v>89</v>
      </c>
      <c r="J78" s="188"/>
      <c r="K78" s="189"/>
      <c r="L78"/>
      <c r="M78"/>
      <c r="N78"/>
      <c r="O78"/>
      <c r="P78"/>
      <c r="Q78"/>
      <c r="R78"/>
      <c r="S78"/>
    </row>
    <row r="79" spans="2:19" ht="15" customHeight="1" thickTop="1" thickBot="1" x14ac:dyDescent="0.4">
      <c r="B79" s="198" t="s">
        <v>90</v>
      </c>
      <c r="C79" s="69" t="s">
        <v>91</v>
      </c>
      <c r="D79" s="70" t="s">
        <v>92</v>
      </c>
      <c r="E79" s="69" t="s">
        <v>2</v>
      </c>
      <c r="F79" s="69" t="s">
        <v>91</v>
      </c>
      <c r="G79" s="70" t="s">
        <v>92</v>
      </c>
      <c r="H79" s="69" t="s">
        <v>2</v>
      </c>
      <c r="I79" s="113" t="s">
        <v>91</v>
      </c>
      <c r="J79" s="70" t="s">
        <v>92</v>
      </c>
      <c r="K79" s="69" t="s">
        <v>2</v>
      </c>
      <c r="L79"/>
      <c r="M79"/>
      <c r="N79"/>
      <c r="O79"/>
      <c r="P79"/>
      <c r="Q79"/>
      <c r="R79"/>
      <c r="S79"/>
    </row>
    <row r="80" spans="2:19" ht="15" customHeight="1" thickTop="1" thickBot="1" x14ac:dyDescent="0.4">
      <c r="B80" s="199" t="s">
        <v>161</v>
      </c>
      <c r="C80" s="71">
        <v>400</v>
      </c>
      <c r="D80" s="72">
        <v>60000</v>
      </c>
      <c r="E80" s="73">
        <f>+C80*D80</f>
        <v>24000000</v>
      </c>
      <c r="F80" s="71">
        <f>C80*6</f>
        <v>2400</v>
      </c>
      <c r="G80" s="72">
        <f>270000/6</f>
        <v>45000</v>
      </c>
      <c r="H80" s="73">
        <f t="shared" ref="H80:H91" si="13">+F80*G80</f>
        <v>108000000</v>
      </c>
      <c r="I80" s="114">
        <f t="shared" ref="I80:I91" si="14">+C80*12</f>
        <v>4800</v>
      </c>
      <c r="J80" s="72">
        <f>600000/12</f>
        <v>50000</v>
      </c>
      <c r="K80" s="73">
        <f>+I80*J80</f>
        <v>240000000</v>
      </c>
      <c r="L80"/>
      <c r="M80"/>
      <c r="N80"/>
      <c r="O80"/>
      <c r="P80"/>
      <c r="Q80"/>
      <c r="R80"/>
      <c r="S80"/>
    </row>
    <row r="81" spans="2:19" ht="15" customHeight="1" thickBot="1" x14ac:dyDescent="0.4">
      <c r="B81" s="199" t="s">
        <v>162</v>
      </c>
      <c r="C81" s="71">
        <v>400</v>
      </c>
      <c r="D81" s="72">
        <v>60000</v>
      </c>
      <c r="E81" s="73">
        <f>+C81*D81</f>
        <v>24000000</v>
      </c>
      <c r="F81" s="71">
        <f t="shared" ref="F81:F91" si="15">C81*6</f>
        <v>2400</v>
      </c>
      <c r="G81" s="72">
        <f t="shared" ref="G81:G91" si="16">270000/6</f>
        <v>45000</v>
      </c>
      <c r="H81" s="73">
        <f t="shared" si="13"/>
        <v>108000000</v>
      </c>
      <c r="I81" s="114">
        <f t="shared" si="14"/>
        <v>4800</v>
      </c>
      <c r="J81" s="72">
        <f t="shared" ref="J81:J91" si="17">600000/12</f>
        <v>50000</v>
      </c>
      <c r="K81" s="73">
        <f t="shared" ref="K81:K91" si="18">+I81*J81</f>
        <v>240000000</v>
      </c>
      <c r="L81"/>
      <c r="M81"/>
      <c r="N81"/>
      <c r="O81"/>
      <c r="P81"/>
      <c r="Q81"/>
      <c r="R81"/>
      <c r="S81"/>
    </row>
    <row r="82" spans="2:19" ht="15" customHeight="1" thickBot="1" x14ac:dyDescent="0.4">
      <c r="B82" s="199" t="s">
        <v>163</v>
      </c>
      <c r="C82" s="71">
        <v>400</v>
      </c>
      <c r="D82" s="72">
        <v>60000</v>
      </c>
      <c r="E82" s="73">
        <f t="shared" ref="E82:E91" si="19">+C82*D82</f>
        <v>24000000</v>
      </c>
      <c r="F82" s="71">
        <f t="shared" si="15"/>
        <v>2400</v>
      </c>
      <c r="G82" s="72">
        <f t="shared" si="16"/>
        <v>45000</v>
      </c>
      <c r="H82" s="73">
        <f t="shared" si="13"/>
        <v>108000000</v>
      </c>
      <c r="I82" s="114">
        <f t="shared" si="14"/>
        <v>4800</v>
      </c>
      <c r="J82" s="72">
        <f t="shared" si="17"/>
        <v>50000</v>
      </c>
      <c r="K82" s="73">
        <f t="shared" si="18"/>
        <v>240000000</v>
      </c>
      <c r="L82"/>
      <c r="M82"/>
      <c r="N82"/>
      <c r="O82"/>
      <c r="P82"/>
      <c r="Q82"/>
      <c r="R82"/>
      <c r="S82"/>
    </row>
    <row r="83" spans="2:19" ht="15" customHeight="1" thickBot="1" x14ac:dyDescent="0.4">
      <c r="B83" s="199" t="s">
        <v>164</v>
      </c>
      <c r="C83" s="71">
        <v>400</v>
      </c>
      <c r="D83" s="72">
        <v>60000</v>
      </c>
      <c r="E83" s="73">
        <f t="shared" si="19"/>
        <v>24000000</v>
      </c>
      <c r="F83" s="71">
        <f t="shared" si="15"/>
        <v>2400</v>
      </c>
      <c r="G83" s="72">
        <f t="shared" si="16"/>
        <v>45000</v>
      </c>
      <c r="H83" s="73">
        <f t="shared" si="13"/>
        <v>108000000</v>
      </c>
      <c r="I83" s="114">
        <f t="shared" si="14"/>
        <v>4800</v>
      </c>
      <c r="J83" s="72">
        <f t="shared" si="17"/>
        <v>50000</v>
      </c>
      <c r="K83" s="73">
        <f t="shared" si="18"/>
        <v>240000000</v>
      </c>
      <c r="L83"/>
      <c r="M83"/>
      <c r="N83"/>
      <c r="O83"/>
      <c r="P83"/>
      <c r="Q83"/>
      <c r="R83"/>
      <c r="S83"/>
    </row>
    <row r="84" spans="2:19" ht="15" customHeight="1" thickBot="1" x14ac:dyDescent="0.4">
      <c r="B84" s="199" t="s">
        <v>165</v>
      </c>
      <c r="C84" s="71">
        <v>400</v>
      </c>
      <c r="D84" s="72">
        <v>60000</v>
      </c>
      <c r="E84" s="73">
        <f t="shared" si="19"/>
        <v>24000000</v>
      </c>
      <c r="F84" s="71">
        <f t="shared" si="15"/>
        <v>2400</v>
      </c>
      <c r="G84" s="72">
        <f t="shared" si="16"/>
        <v>45000</v>
      </c>
      <c r="H84" s="73">
        <f t="shared" si="13"/>
        <v>108000000</v>
      </c>
      <c r="I84" s="114">
        <f t="shared" si="14"/>
        <v>4800</v>
      </c>
      <c r="J84" s="72">
        <f t="shared" si="17"/>
        <v>50000</v>
      </c>
      <c r="K84" s="73">
        <f t="shared" si="18"/>
        <v>240000000</v>
      </c>
      <c r="L84"/>
      <c r="M84"/>
      <c r="N84"/>
      <c r="O84"/>
      <c r="P84"/>
      <c r="Q84"/>
      <c r="R84"/>
      <c r="S84"/>
    </row>
    <row r="85" spans="2:19" ht="15" customHeight="1" thickBot="1" x14ac:dyDescent="0.4">
      <c r="B85" s="199" t="s">
        <v>166</v>
      </c>
      <c r="C85" s="71">
        <v>400</v>
      </c>
      <c r="D85" s="72">
        <v>60000</v>
      </c>
      <c r="E85" s="73">
        <f t="shared" si="19"/>
        <v>24000000</v>
      </c>
      <c r="F85" s="71">
        <f t="shared" si="15"/>
        <v>2400</v>
      </c>
      <c r="G85" s="72">
        <f t="shared" si="16"/>
        <v>45000</v>
      </c>
      <c r="H85" s="73">
        <f t="shared" si="13"/>
        <v>108000000</v>
      </c>
      <c r="I85" s="114">
        <f t="shared" si="14"/>
        <v>4800</v>
      </c>
      <c r="J85" s="72">
        <f t="shared" si="17"/>
        <v>50000</v>
      </c>
      <c r="K85" s="73">
        <f t="shared" si="18"/>
        <v>240000000</v>
      </c>
      <c r="L85"/>
      <c r="M85"/>
      <c r="N85"/>
      <c r="O85"/>
      <c r="P85"/>
      <c r="Q85"/>
      <c r="R85"/>
      <c r="S85"/>
    </row>
    <row r="86" spans="2:19" ht="15" customHeight="1" thickBot="1" x14ac:dyDescent="0.4">
      <c r="B86" s="199" t="s">
        <v>167</v>
      </c>
      <c r="C86" s="71">
        <v>400</v>
      </c>
      <c r="D86" s="72">
        <v>60000</v>
      </c>
      <c r="E86" s="73">
        <f t="shared" si="19"/>
        <v>24000000</v>
      </c>
      <c r="F86" s="71">
        <f t="shared" si="15"/>
        <v>2400</v>
      </c>
      <c r="G86" s="72">
        <f t="shared" si="16"/>
        <v>45000</v>
      </c>
      <c r="H86" s="73">
        <f t="shared" si="13"/>
        <v>108000000</v>
      </c>
      <c r="I86" s="114">
        <f t="shared" si="14"/>
        <v>4800</v>
      </c>
      <c r="J86" s="72">
        <f t="shared" si="17"/>
        <v>50000</v>
      </c>
      <c r="K86" s="73">
        <f t="shared" si="18"/>
        <v>240000000</v>
      </c>
    </row>
    <row r="87" spans="2:19" ht="15" customHeight="1" thickBot="1" x14ac:dyDescent="0.4">
      <c r="B87" s="199" t="s">
        <v>168</v>
      </c>
      <c r="C87" s="71">
        <v>400</v>
      </c>
      <c r="D87" s="72">
        <v>60000</v>
      </c>
      <c r="E87" s="73">
        <f t="shared" si="19"/>
        <v>24000000</v>
      </c>
      <c r="F87" s="71">
        <f t="shared" si="15"/>
        <v>2400</v>
      </c>
      <c r="G87" s="72">
        <f t="shared" si="16"/>
        <v>45000</v>
      </c>
      <c r="H87" s="73">
        <f t="shared" si="13"/>
        <v>108000000</v>
      </c>
      <c r="I87" s="114">
        <f t="shared" si="14"/>
        <v>4800</v>
      </c>
      <c r="J87" s="72">
        <f t="shared" si="17"/>
        <v>50000</v>
      </c>
      <c r="K87" s="73">
        <f t="shared" si="18"/>
        <v>240000000</v>
      </c>
    </row>
    <row r="88" spans="2:19" ht="15" customHeight="1" thickBot="1" x14ac:dyDescent="0.4">
      <c r="B88" s="199" t="s">
        <v>169</v>
      </c>
      <c r="C88" s="71">
        <v>400</v>
      </c>
      <c r="D88" s="72">
        <v>60000</v>
      </c>
      <c r="E88" s="73">
        <f t="shared" si="19"/>
        <v>24000000</v>
      </c>
      <c r="F88" s="71">
        <f t="shared" si="15"/>
        <v>2400</v>
      </c>
      <c r="G88" s="72">
        <f t="shared" si="16"/>
        <v>45000</v>
      </c>
      <c r="H88" s="73">
        <f t="shared" si="13"/>
        <v>108000000</v>
      </c>
      <c r="I88" s="114">
        <f t="shared" si="14"/>
        <v>4800</v>
      </c>
      <c r="J88" s="72">
        <f t="shared" si="17"/>
        <v>50000</v>
      </c>
      <c r="K88" s="73">
        <f t="shared" si="18"/>
        <v>240000000</v>
      </c>
    </row>
    <row r="89" spans="2:19" ht="15" customHeight="1" thickBot="1" x14ac:dyDescent="0.4">
      <c r="B89" s="199" t="s">
        <v>170</v>
      </c>
      <c r="C89" s="71">
        <v>400</v>
      </c>
      <c r="D89" s="72">
        <v>60000</v>
      </c>
      <c r="E89" s="73">
        <f t="shared" si="19"/>
        <v>24000000</v>
      </c>
      <c r="F89" s="71">
        <f t="shared" si="15"/>
        <v>2400</v>
      </c>
      <c r="G89" s="72">
        <f t="shared" si="16"/>
        <v>45000</v>
      </c>
      <c r="H89" s="73">
        <f t="shared" si="13"/>
        <v>108000000</v>
      </c>
      <c r="I89" s="114">
        <f t="shared" si="14"/>
        <v>4800</v>
      </c>
      <c r="J89" s="72">
        <f t="shared" si="17"/>
        <v>50000</v>
      </c>
      <c r="K89" s="73">
        <f t="shared" si="18"/>
        <v>240000000</v>
      </c>
    </row>
    <row r="90" spans="2:19" ht="15" customHeight="1" thickBot="1" x14ac:dyDescent="0.4">
      <c r="B90" s="199" t="s">
        <v>171</v>
      </c>
      <c r="C90" s="71">
        <v>400</v>
      </c>
      <c r="D90" s="72">
        <v>60000</v>
      </c>
      <c r="E90" s="73">
        <f t="shared" si="19"/>
        <v>24000000</v>
      </c>
      <c r="F90" s="71">
        <f t="shared" si="15"/>
        <v>2400</v>
      </c>
      <c r="G90" s="72">
        <f t="shared" si="16"/>
        <v>45000</v>
      </c>
      <c r="H90" s="73">
        <f t="shared" si="13"/>
        <v>108000000</v>
      </c>
      <c r="I90" s="114">
        <f t="shared" si="14"/>
        <v>4800</v>
      </c>
      <c r="J90" s="72">
        <f t="shared" si="17"/>
        <v>50000</v>
      </c>
      <c r="K90" s="73">
        <f t="shared" si="18"/>
        <v>240000000</v>
      </c>
    </row>
    <row r="91" spans="2:19" ht="15" customHeight="1" thickBot="1" x14ac:dyDescent="0.4">
      <c r="B91" s="199" t="s">
        <v>172</v>
      </c>
      <c r="C91" s="71">
        <v>400</v>
      </c>
      <c r="D91" s="72">
        <v>60000</v>
      </c>
      <c r="E91" s="73">
        <f t="shared" si="19"/>
        <v>24000000</v>
      </c>
      <c r="F91" s="71">
        <f t="shared" si="15"/>
        <v>2400</v>
      </c>
      <c r="G91" s="72">
        <f t="shared" si="16"/>
        <v>45000</v>
      </c>
      <c r="H91" s="73">
        <f t="shared" si="13"/>
        <v>108000000</v>
      </c>
      <c r="I91" s="114">
        <f t="shared" si="14"/>
        <v>4800</v>
      </c>
      <c r="J91" s="72">
        <f t="shared" si="17"/>
        <v>50000</v>
      </c>
      <c r="K91" s="73">
        <f t="shared" si="18"/>
        <v>240000000</v>
      </c>
      <c r="L91" s="67"/>
      <c r="M91" s="67"/>
      <c r="N91" s="67"/>
      <c r="O91" s="67"/>
      <c r="P91" s="67"/>
      <c r="Q91" s="67"/>
      <c r="R91" s="68"/>
      <c r="S91" s="68"/>
    </row>
    <row r="92" spans="2:19" ht="15" customHeight="1" thickBot="1" x14ac:dyDescent="0.4">
      <c r="B92" s="110"/>
      <c r="C92" s="73">
        <f>+AVERAGE(C80:C91)</f>
        <v>400</v>
      </c>
      <c r="D92" s="74"/>
      <c r="E92" s="73">
        <f>+SUM(E79:E91)</f>
        <v>288000000</v>
      </c>
      <c r="F92" s="75">
        <f>+AVERAGE(F80:F91)</f>
        <v>2400</v>
      </c>
      <c r="H92" s="73">
        <f>+SUM(H79:H91)</f>
        <v>1296000000</v>
      </c>
      <c r="I92" s="115">
        <f>+AVERAGE(I80:I91)</f>
        <v>4800</v>
      </c>
      <c r="J92" s="74" t="s">
        <v>93</v>
      </c>
      <c r="K92" s="73">
        <f>+SUM(K79:K91)</f>
        <v>2880000000</v>
      </c>
      <c r="L92" s="67"/>
      <c r="M92" s="67"/>
      <c r="N92" s="67"/>
      <c r="O92" s="67"/>
      <c r="P92" s="67"/>
      <c r="Q92" s="67"/>
      <c r="R92" s="68"/>
      <c r="S92" s="68"/>
    </row>
    <row r="93" spans="2:19" ht="15" customHeight="1" x14ac:dyDescent="0.35">
      <c r="H93" s="27"/>
      <c r="I93" s="116"/>
      <c r="J93" s="27"/>
      <c r="K93" s="27"/>
      <c r="L93" s="67"/>
      <c r="M93" s="67"/>
      <c r="N93" s="67"/>
      <c r="O93" s="67"/>
      <c r="P93" s="67"/>
      <c r="Q93" s="67"/>
      <c r="R93" s="68"/>
      <c r="S93" s="68"/>
    </row>
    <row r="94" spans="2:19" ht="15" customHeight="1" x14ac:dyDescent="0.35">
      <c r="H94" s="27"/>
      <c r="I94" s="116"/>
      <c r="J94" s="27"/>
      <c r="K94" s="27"/>
    </row>
    <row r="95" spans="2:19" ht="15" customHeight="1" thickBot="1" x14ac:dyDescent="0.4">
      <c r="B95" s="197" t="s">
        <v>113</v>
      </c>
      <c r="C95" s="197"/>
      <c r="D95" s="197"/>
      <c r="E95" s="197"/>
      <c r="F95" s="197"/>
      <c r="G95" s="197"/>
      <c r="H95" s="197"/>
      <c r="I95" s="197"/>
      <c r="J95" s="197"/>
      <c r="K95" s="197"/>
    </row>
    <row r="96" spans="2:19" ht="15" customHeight="1" thickTop="1" thickBot="1" x14ac:dyDescent="0.4">
      <c r="B96" s="255" t="s">
        <v>87</v>
      </c>
      <c r="C96" s="187"/>
      <c r="D96" s="188"/>
      <c r="E96" s="189"/>
      <c r="F96" s="187" t="s">
        <v>88</v>
      </c>
      <c r="G96" s="188"/>
      <c r="H96" s="189"/>
      <c r="I96" s="187" t="s">
        <v>89</v>
      </c>
      <c r="J96" s="188"/>
      <c r="K96" s="189"/>
    </row>
    <row r="97" spans="2:19" ht="15" customHeight="1" thickTop="1" thickBot="1" x14ac:dyDescent="0.4">
      <c r="B97" s="198" t="s">
        <v>90</v>
      </c>
      <c r="C97" s="69" t="s">
        <v>91</v>
      </c>
      <c r="D97" s="70" t="s">
        <v>92</v>
      </c>
      <c r="E97" s="69" t="s">
        <v>2</v>
      </c>
      <c r="F97" s="69" t="s">
        <v>91</v>
      </c>
      <c r="G97" s="70" t="s">
        <v>92</v>
      </c>
      <c r="H97" s="69" t="s">
        <v>2</v>
      </c>
      <c r="I97" s="113" t="s">
        <v>91</v>
      </c>
      <c r="J97" s="70" t="s">
        <v>92</v>
      </c>
      <c r="K97" s="69" t="s">
        <v>2</v>
      </c>
    </row>
    <row r="98" spans="2:19" ht="15" customHeight="1" thickTop="1" thickBot="1" x14ac:dyDescent="0.4">
      <c r="B98" s="199" t="s">
        <v>161</v>
      </c>
      <c r="C98" s="71">
        <v>400</v>
      </c>
      <c r="D98" s="72">
        <v>50000</v>
      </c>
      <c r="E98" s="73">
        <f>+C98*D98</f>
        <v>20000000</v>
      </c>
      <c r="F98" s="71">
        <f>C98*6</f>
        <v>2400</v>
      </c>
      <c r="G98" s="72">
        <f>270000/6</f>
        <v>45000</v>
      </c>
      <c r="H98" s="73">
        <f t="shared" ref="H98:H109" si="20">+F98*G98</f>
        <v>108000000</v>
      </c>
      <c r="I98" s="114">
        <f t="shared" ref="I98:I109" si="21">+C98*12</f>
        <v>4800</v>
      </c>
      <c r="J98" s="72">
        <f>500000/12</f>
        <v>41666.666666666664</v>
      </c>
      <c r="K98" s="73">
        <f>+I98*J98</f>
        <v>200000000</v>
      </c>
    </row>
    <row r="99" spans="2:19" ht="15" customHeight="1" thickBot="1" x14ac:dyDescent="0.4">
      <c r="B99" s="199" t="s">
        <v>162</v>
      </c>
      <c r="C99" s="71">
        <v>400</v>
      </c>
      <c r="D99" s="72">
        <v>50000</v>
      </c>
      <c r="E99" s="73">
        <f>+C99*D99</f>
        <v>20000000</v>
      </c>
      <c r="F99" s="71">
        <f t="shared" ref="F99:F109" si="22">C99*6</f>
        <v>2400</v>
      </c>
      <c r="G99" s="72">
        <f t="shared" ref="G99:G109" si="23">270000/6</f>
        <v>45000</v>
      </c>
      <c r="H99" s="73">
        <f t="shared" si="20"/>
        <v>108000000</v>
      </c>
      <c r="I99" s="114">
        <f t="shared" si="21"/>
        <v>4800</v>
      </c>
      <c r="J99" s="72">
        <f t="shared" ref="J99:J109" si="24">500000/12</f>
        <v>41666.666666666664</v>
      </c>
      <c r="K99" s="73">
        <f t="shared" ref="K99:K109" si="25">+I99*J99</f>
        <v>200000000</v>
      </c>
    </row>
    <row r="100" spans="2:19" ht="15" customHeight="1" thickBot="1" x14ac:dyDescent="0.4">
      <c r="B100" s="199" t="s">
        <v>163</v>
      </c>
      <c r="C100" s="71">
        <v>400</v>
      </c>
      <c r="D100" s="72">
        <v>50000</v>
      </c>
      <c r="E100" s="73">
        <f t="shared" ref="E100:E109" si="26">+C100*D100</f>
        <v>20000000</v>
      </c>
      <c r="F100" s="71">
        <f t="shared" si="22"/>
        <v>2400</v>
      </c>
      <c r="G100" s="72">
        <f t="shared" si="23"/>
        <v>45000</v>
      </c>
      <c r="H100" s="73">
        <f t="shared" si="20"/>
        <v>108000000</v>
      </c>
      <c r="I100" s="114">
        <f t="shared" si="21"/>
        <v>4800</v>
      </c>
      <c r="J100" s="72">
        <f t="shared" si="24"/>
        <v>41666.666666666664</v>
      </c>
      <c r="K100" s="73">
        <f t="shared" si="25"/>
        <v>200000000</v>
      </c>
    </row>
    <row r="101" spans="2:19" ht="15" customHeight="1" thickBot="1" x14ac:dyDescent="0.4">
      <c r="B101" s="199" t="s">
        <v>164</v>
      </c>
      <c r="C101" s="71">
        <v>400</v>
      </c>
      <c r="D101" s="72">
        <v>50000</v>
      </c>
      <c r="E101" s="73">
        <f t="shared" si="26"/>
        <v>20000000</v>
      </c>
      <c r="F101" s="71">
        <f t="shared" si="22"/>
        <v>2400</v>
      </c>
      <c r="G101" s="72">
        <f t="shared" si="23"/>
        <v>45000</v>
      </c>
      <c r="H101" s="73">
        <f t="shared" si="20"/>
        <v>108000000</v>
      </c>
      <c r="I101" s="114">
        <f t="shared" si="21"/>
        <v>4800</v>
      </c>
      <c r="J101" s="72">
        <f t="shared" si="24"/>
        <v>41666.666666666664</v>
      </c>
      <c r="K101" s="73">
        <f t="shared" si="25"/>
        <v>200000000</v>
      </c>
    </row>
    <row r="102" spans="2:19" ht="15" customHeight="1" thickBot="1" x14ac:dyDescent="0.4">
      <c r="B102" s="199" t="s">
        <v>165</v>
      </c>
      <c r="C102" s="71">
        <v>400</v>
      </c>
      <c r="D102" s="72">
        <v>50000</v>
      </c>
      <c r="E102" s="73">
        <f t="shared" si="26"/>
        <v>20000000</v>
      </c>
      <c r="F102" s="71">
        <f t="shared" si="22"/>
        <v>2400</v>
      </c>
      <c r="G102" s="72">
        <f t="shared" si="23"/>
        <v>45000</v>
      </c>
      <c r="H102" s="73">
        <f t="shared" si="20"/>
        <v>108000000</v>
      </c>
      <c r="I102" s="114">
        <f t="shared" si="21"/>
        <v>4800</v>
      </c>
      <c r="J102" s="72">
        <f t="shared" si="24"/>
        <v>41666.666666666664</v>
      </c>
      <c r="K102" s="73">
        <f t="shared" si="25"/>
        <v>200000000</v>
      </c>
    </row>
    <row r="103" spans="2:19" ht="15" customHeight="1" thickBot="1" x14ac:dyDescent="0.4">
      <c r="B103" s="199" t="s">
        <v>166</v>
      </c>
      <c r="C103" s="71">
        <v>400</v>
      </c>
      <c r="D103" s="72">
        <v>50000</v>
      </c>
      <c r="E103" s="73">
        <f t="shared" si="26"/>
        <v>20000000</v>
      </c>
      <c r="F103" s="71">
        <f t="shared" si="22"/>
        <v>2400</v>
      </c>
      <c r="G103" s="72">
        <f t="shared" si="23"/>
        <v>45000</v>
      </c>
      <c r="H103" s="73">
        <f t="shared" si="20"/>
        <v>108000000</v>
      </c>
      <c r="I103" s="114">
        <f t="shared" si="21"/>
        <v>4800</v>
      </c>
      <c r="J103" s="72">
        <f t="shared" si="24"/>
        <v>41666.666666666664</v>
      </c>
      <c r="K103" s="73">
        <f t="shared" si="25"/>
        <v>200000000</v>
      </c>
    </row>
    <row r="104" spans="2:19" ht="15" customHeight="1" thickBot="1" x14ac:dyDescent="0.4">
      <c r="B104" s="199" t="s">
        <v>167</v>
      </c>
      <c r="C104" s="71">
        <v>400</v>
      </c>
      <c r="D104" s="72">
        <v>50000</v>
      </c>
      <c r="E104" s="73">
        <f t="shared" si="26"/>
        <v>20000000</v>
      </c>
      <c r="F104" s="71">
        <f t="shared" si="22"/>
        <v>2400</v>
      </c>
      <c r="G104" s="72">
        <f t="shared" si="23"/>
        <v>45000</v>
      </c>
      <c r="H104" s="73">
        <f t="shared" si="20"/>
        <v>108000000</v>
      </c>
      <c r="I104" s="114">
        <f t="shared" si="21"/>
        <v>4800</v>
      </c>
      <c r="J104" s="72">
        <f t="shared" si="24"/>
        <v>41666.666666666664</v>
      </c>
      <c r="K104" s="73">
        <f t="shared" si="25"/>
        <v>200000000</v>
      </c>
    </row>
    <row r="105" spans="2:19" ht="15" customHeight="1" thickBot="1" x14ac:dyDescent="0.4">
      <c r="B105" s="199" t="s">
        <v>168</v>
      </c>
      <c r="C105" s="71">
        <v>400</v>
      </c>
      <c r="D105" s="72">
        <v>50000</v>
      </c>
      <c r="E105" s="73">
        <f t="shared" si="26"/>
        <v>20000000</v>
      </c>
      <c r="F105" s="71">
        <f t="shared" si="22"/>
        <v>2400</v>
      </c>
      <c r="G105" s="72">
        <f t="shared" si="23"/>
        <v>45000</v>
      </c>
      <c r="H105" s="73">
        <f t="shared" si="20"/>
        <v>108000000</v>
      </c>
      <c r="I105" s="114">
        <f t="shared" si="21"/>
        <v>4800</v>
      </c>
      <c r="J105" s="72">
        <f t="shared" si="24"/>
        <v>41666.666666666664</v>
      </c>
      <c r="K105" s="73">
        <f t="shared" si="25"/>
        <v>200000000</v>
      </c>
    </row>
    <row r="106" spans="2:19" ht="15" customHeight="1" thickBot="1" x14ac:dyDescent="0.4">
      <c r="B106" s="199" t="s">
        <v>169</v>
      </c>
      <c r="C106" s="71">
        <v>400</v>
      </c>
      <c r="D106" s="72">
        <v>50000</v>
      </c>
      <c r="E106" s="73">
        <f t="shared" si="26"/>
        <v>20000000</v>
      </c>
      <c r="F106" s="71">
        <f t="shared" si="22"/>
        <v>2400</v>
      </c>
      <c r="G106" s="72">
        <f t="shared" si="23"/>
        <v>45000</v>
      </c>
      <c r="H106" s="73">
        <f t="shared" si="20"/>
        <v>108000000</v>
      </c>
      <c r="I106" s="114">
        <f t="shared" si="21"/>
        <v>4800</v>
      </c>
      <c r="J106" s="72">
        <f t="shared" si="24"/>
        <v>41666.666666666664</v>
      </c>
      <c r="K106" s="73">
        <f t="shared" si="25"/>
        <v>200000000</v>
      </c>
    </row>
    <row r="107" spans="2:19" ht="15" customHeight="1" thickBot="1" x14ac:dyDescent="0.4">
      <c r="B107" s="199" t="s">
        <v>170</v>
      </c>
      <c r="C107" s="71">
        <v>400</v>
      </c>
      <c r="D107" s="72">
        <v>50000</v>
      </c>
      <c r="E107" s="73">
        <f t="shared" si="26"/>
        <v>20000000</v>
      </c>
      <c r="F107" s="71">
        <f t="shared" si="22"/>
        <v>2400</v>
      </c>
      <c r="G107" s="72">
        <f t="shared" si="23"/>
        <v>45000</v>
      </c>
      <c r="H107" s="73">
        <f t="shared" si="20"/>
        <v>108000000</v>
      </c>
      <c r="I107" s="114">
        <f t="shared" si="21"/>
        <v>4800</v>
      </c>
      <c r="J107" s="72">
        <f t="shared" si="24"/>
        <v>41666.666666666664</v>
      </c>
      <c r="K107" s="73">
        <f t="shared" si="25"/>
        <v>200000000</v>
      </c>
    </row>
    <row r="108" spans="2:19" ht="15" customHeight="1" thickBot="1" x14ac:dyDescent="0.4">
      <c r="B108" s="199" t="s">
        <v>171</v>
      </c>
      <c r="C108" s="71">
        <v>400</v>
      </c>
      <c r="D108" s="72">
        <v>50000</v>
      </c>
      <c r="E108" s="73">
        <f t="shared" si="26"/>
        <v>20000000</v>
      </c>
      <c r="F108" s="71">
        <f t="shared" si="22"/>
        <v>2400</v>
      </c>
      <c r="G108" s="72">
        <f t="shared" si="23"/>
        <v>45000</v>
      </c>
      <c r="H108" s="73">
        <f t="shared" si="20"/>
        <v>108000000</v>
      </c>
      <c r="I108" s="114">
        <f t="shared" si="21"/>
        <v>4800</v>
      </c>
      <c r="J108" s="72">
        <f t="shared" si="24"/>
        <v>41666.666666666664</v>
      </c>
      <c r="K108" s="73">
        <f t="shared" si="25"/>
        <v>200000000</v>
      </c>
    </row>
    <row r="109" spans="2:19" ht="15" customHeight="1" thickBot="1" x14ac:dyDescent="0.4">
      <c r="B109" s="199" t="s">
        <v>172</v>
      </c>
      <c r="C109" s="71">
        <v>400</v>
      </c>
      <c r="D109" s="72">
        <v>50000</v>
      </c>
      <c r="E109" s="73">
        <f t="shared" si="26"/>
        <v>20000000</v>
      </c>
      <c r="F109" s="71">
        <f t="shared" si="22"/>
        <v>2400</v>
      </c>
      <c r="G109" s="72">
        <f t="shared" si="23"/>
        <v>45000</v>
      </c>
      <c r="H109" s="73">
        <f t="shared" si="20"/>
        <v>108000000</v>
      </c>
      <c r="I109" s="114">
        <f t="shared" si="21"/>
        <v>4800</v>
      </c>
      <c r="J109" s="72">
        <f t="shared" si="24"/>
        <v>41666.666666666664</v>
      </c>
      <c r="K109" s="73">
        <f t="shared" si="25"/>
        <v>200000000</v>
      </c>
      <c r="L109" s="67"/>
      <c r="M109" s="67"/>
      <c r="N109" s="67"/>
      <c r="O109" s="67"/>
      <c r="P109" s="67"/>
      <c r="Q109" s="67"/>
      <c r="R109" s="68"/>
      <c r="S109" s="68"/>
    </row>
    <row r="110" spans="2:19" ht="15" customHeight="1" thickBot="1" x14ac:dyDescent="0.4">
      <c r="B110" s="110"/>
      <c r="C110" s="73">
        <f>+AVERAGE(C98:C109)</f>
        <v>400</v>
      </c>
      <c r="D110" s="74"/>
      <c r="E110" s="73">
        <f>+SUM(E97:E109)</f>
        <v>240000000</v>
      </c>
      <c r="F110" s="75">
        <f>+AVERAGE(F98:F109)</f>
        <v>2400</v>
      </c>
      <c r="H110" s="73">
        <f>+SUM(H97:H109)</f>
        <v>1296000000</v>
      </c>
      <c r="I110" s="115">
        <f>+AVERAGE(I98:I109)</f>
        <v>4800</v>
      </c>
      <c r="J110" s="74" t="s">
        <v>93</v>
      </c>
      <c r="K110" s="73">
        <f>+SUM(K97:K109)</f>
        <v>2400000000</v>
      </c>
      <c r="L110" s="67"/>
      <c r="M110" s="67"/>
      <c r="N110" s="67"/>
      <c r="O110" s="67"/>
      <c r="P110" s="67"/>
      <c r="Q110" s="67"/>
      <c r="R110" s="68"/>
      <c r="S110" s="68"/>
    </row>
    <row r="111" spans="2:19" ht="15" customHeight="1" x14ac:dyDescent="0.35">
      <c r="L111" s="67"/>
      <c r="M111" s="67"/>
      <c r="N111" s="67"/>
      <c r="O111" s="67"/>
      <c r="P111" s="67"/>
      <c r="Q111" s="67"/>
      <c r="R111" s="68"/>
      <c r="S111" s="68"/>
    </row>
    <row r="120" spans="7:7" ht="15" customHeight="1" x14ac:dyDescent="0.35">
      <c r="G120" s="74"/>
    </row>
  </sheetData>
  <mergeCells count="18">
    <mergeCell ref="B1:N1"/>
    <mergeCell ref="H5:H7"/>
    <mergeCell ref="H9:H11"/>
    <mergeCell ref="H13:H15"/>
    <mergeCell ref="H17:H19"/>
    <mergeCell ref="H21:H23"/>
    <mergeCell ref="H8:I8"/>
    <mergeCell ref="H3:K3"/>
    <mergeCell ref="B35:F35"/>
    <mergeCell ref="B3:F3"/>
    <mergeCell ref="B11:F11"/>
    <mergeCell ref="B19:F19"/>
    <mergeCell ref="B27:F27"/>
    <mergeCell ref="H24:I24"/>
    <mergeCell ref="H20:I20"/>
    <mergeCell ref="H16:I16"/>
    <mergeCell ref="H12:I12"/>
    <mergeCell ref="H28:K28"/>
  </mergeCells>
  <pageMargins left="0.7" right="0.7" top="0.75" bottom="0.75" header="0" footer="0"/>
  <pageSetup orientation="landscape" r:id="rId1"/>
  <ignoredErrors>
    <ignoredError sqref="K8 J12:K12 J20:K20 J16:K1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B2:L17"/>
  <sheetViews>
    <sheetView showGridLines="0" zoomScale="90" zoomScaleNormal="90" workbookViewId="0">
      <selection activeCell="C17" sqref="C17"/>
    </sheetView>
  </sheetViews>
  <sheetFormatPr baseColWidth="10" defaultColWidth="10.90625" defaultRowHeight="14.5" x14ac:dyDescent="0.35"/>
  <cols>
    <col min="2" max="2" width="36.08984375" bestFit="1" customWidth="1"/>
    <col min="3" max="3" width="19.36328125" bestFit="1" customWidth="1"/>
    <col min="4" max="4" width="12" bestFit="1" customWidth="1"/>
    <col min="5" max="6" width="10.6328125" bestFit="1" customWidth="1"/>
    <col min="7" max="7" width="15.08984375" bestFit="1" customWidth="1"/>
    <col min="8" max="8" width="15.81640625" bestFit="1" customWidth="1"/>
    <col min="9" max="9" width="13.6328125" bestFit="1" customWidth="1"/>
    <col min="10" max="10" width="15.81640625" bestFit="1" customWidth="1"/>
    <col min="11" max="11" width="17.08984375" bestFit="1" customWidth="1"/>
    <col min="12" max="12" width="12.36328125" bestFit="1" customWidth="1"/>
    <col min="13" max="13" width="11.81640625" bestFit="1" customWidth="1"/>
  </cols>
  <sheetData>
    <row r="2" spans="2:12" ht="15" x14ac:dyDescent="0.35">
      <c r="B2" s="277" t="s">
        <v>194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2:12" x14ac:dyDescent="0.35">
      <c r="C3" s="29"/>
      <c r="D3" s="29"/>
      <c r="E3" s="29"/>
      <c r="F3" s="29"/>
      <c r="G3" s="29"/>
      <c r="H3" s="6"/>
      <c r="I3" s="6"/>
    </row>
    <row r="4" spans="2:12" x14ac:dyDescent="0.35">
      <c r="B4" s="281" t="s">
        <v>195</v>
      </c>
      <c r="C4" s="276" t="s">
        <v>5</v>
      </c>
      <c r="D4" s="276" t="s">
        <v>193</v>
      </c>
      <c r="E4" s="276" t="s">
        <v>214</v>
      </c>
      <c r="F4" s="279" t="s">
        <v>201</v>
      </c>
      <c r="G4" s="279"/>
      <c r="H4" s="279"/>
      <c r="I4" s="279" t="s">
        <v>212</v>
      </c>
      <c r="J4" s="279"/>
      <c r="K4" s="279"/>
      <c r="L4" s="276" t="s">
        <v>205</v>
      </c>
    </row>
    <row r="5" spans="2:12" x14ac:dyDescent="0.35">
      <c r="B5" s="281"/>
      <c r="C5" s="276"/>
      <c r="D5" s="276"/>
      <c r="E5" s="276"/>
      <c r="F5" s="94" t="s">
        <v>198</v>
      </c>
      <c r="G5" s="94" t="s">
        <v>199</v>
      </c>
      <c r="H5" s="94" t="s">
        <v>200</v>
      </c>
      <c r="I5" s="94" t="s">
        <v>202</v>
      </c>
      <c r="J5" s="94" t="s">
        <v>203</v>
      </c>
      <c r="K5" s="94" t="s">
        <v>204</v>
      </c>
      <c r="L5" s="276"/>
    </row>
    <row r="6" spans="2:12" x14ac:dyDescent="0.35">
      <c r="B6" s="202" t="s">
        <v>196</v>
      </c>
      <c r="C6" s="6" t="s">
        <v>96</v>
      </c>
      <c r="D6" s="10">
        <v>1423500</v>
      </c>
      <c r="E6" s="6">
        <v>30</v>
      </c>
      <c r="F6" s="201">
        <f>+(D6/30)*E6</f>
        <v>1423500</v>
      </c>
      <c r="G6" s="10">
        <v>200000</v>
      </c>
      <c r="H6" s="11">
        <f>+F6+G6</f>
        <v>1623500</v>
      </c>
      <c r="I6" s="89">
        <f>+F6*4%</f>
        <v>56940</v>
      </c>
      <c r="J6" s="89">
        <f>+F6*4%</f>
        <v>56940</v>
      </c>
      <c r="K6" s="11">
        <f>+I6+J6</f>
        <v>113880</v>
      </c>
      <c r="L6" s="2">
        <f>+H6-K6</f>
        <v>1509620</v>
      </c>
    </row>
    <row r="7" spans="2:12" x14ac:dyDescent="0.35">
      <c r="B7" s="202" t="s">
        <v>197</v>
      </c>
      <c r="C7" s="6" t="s">
        <v>4</v>
      </c>
      <c r="D7" s="10">
        <v>1423500</v>
      </c>
      <c r="E7" s="6">
        <v>30</v>
      </c>
      <c r="F7" s="201">
        <f>+(D7/30)*E7</f>
        <v>1423500</v>
      </c>
      <c r="G7" s="10">
        <v>200000</v>
      </c>
      <c r="H7" s="11">
        <f>+F7+G7</f>
        <v>1623500</v>
      </c>
      <c r="I7" s="89">
        <f>+F7*4%</f>
        <v>56940</v>
      </c>
      <c r="J7" s="89">
        <f>+F7*4%</f>
        <v>56940</v>
      </c>
      <c r="K7" s="11">
        <f>+I7+J7</f>
        <v>113880</v>
      </c>
      <c r="L7" s="2">
        <f>+H7-K7</f>
        <v>1509620</v>
      </c>
    </row>
    <row r="8" spans="2:12" x14ac:dyDescent="0.35">
      <c r="B8" s="280" t="s">
        <v>206</v>
      </c>
      <c r="C8" s="280"/>
      <c r="D8" s="280"/>
      <c r="E8" s="280"/>
      <c r="F8" s="203">
        <f>+SUM(F6:F7)</f>
        <v>2847000</v>
      </c>
      <c r="G8" s="161">
        <f>SUM(G6:G7)</f>
        <v>400000</v>
      </c>
      <c r="H8" s="161">
        <f>+SUM(H6:H7)</f>
        <v>3247000</v>
      </c>
      <c r="I8" s="161">
        <f>+SUM(I6:I7)</f>
        <v>113880</v>
      </c>
      <c r="J8" s="161">
        <f>+SUM(J6:J7)</f>
        <v>113880</v>
      </c>
      <c r="K8" s="161">
        <f>+SUM(K6:K7)</f>
        <v>227760</v>
      </c>
      <c r="L8" s="161">
        <f>+SUM(L6:L7)</f>
        <v>3019240</v>
      </c>
    </row>
    <row r="9" spans="2:12" x14ac:dyDescent="0.35">
      <c r="C9" s="6"/>
      <c r="D9" s="6"/>
      <c r="E9" s="6"/>
      <c r="F9" s="201"/>
      <c r="G9" s="6"/>
      <c r="H9" s="6"/>
      <c r="I9" s="6"/>
      <c r="J9" s="6"/>
    </row>
    <row r="10" spans="2:12" x14ac:dyDescent="0.35">
      <c r="B10" s="278" t="s">
        <v>207</v>
      </c>
      <c r="C10" s="278"/>
      <c r="E10" s="11"/>
      <c r="F10" s="11"/>
      <c r="G10" s="6"/>
      <c r="H10" s="6"/>
    </row>
    <row r="11" spans="2:12" x14ac:dyDescent="0.35">
      <c r="B11" s="37" t="s">
        <v>208</v>
      </c>
      <c r="C11" s="2">
        <f>($H$6*D11)+($H$7*D11)</f>
        <v>270475.09999999998</v>
      </c>
      <c r="D11" s="53">
        <v>8.3299999999999999E-2</v>
      </c>
      <c r="E11" s="205"/>
      <c r="G11" s="11"/>
      <c r="H11" s="11"/>
      <c r="I11" s="6"/>
      <c r="J11" s="6"/>
    </row>
    <row r="12" spans="2:12" x14ac:dyDescent="0.35">
      <c r="B12" s="206" t="s">
        <v>209</v>
      </c>
      <c r="C12" s="2">
        <f>($H$6*D12)+($H$7*D12)</f>
        <v>270475.09999999998</v>
      </c>
      <c r="D12" s="52">
        <v>8.3299999999999999E-2</v>
      </c>
      <c r="E12" s="205"/>
      <c r="F12" s="11"/>
      <c r="G12" s="11"/>
      <c r="H12" s="6"/>
      <c r="I12" s="6"/>
    </row>
    <row r="13" spans="2:12" x14ac:dyDescent="0.35">
      <c r="B13" s="207" t="s">
        <v>210</v>
      </c>
      <c r="C13" s="3">
        <f>+C11*D13</f>
        <v>2704.7509999999997</v>
      </c>
      <c r="D13" s="5">
        <v>0.01</v>
      </c>
      <c r="E13" s="205"/>
      <c r="G13" s="11"/>
      <c r="H13" s="11"/>
      <c r="I13" s="6"/>
      <c r="J13" s="6"/>
    </row>
    <row r="14" spans="2:12" x14ac:dyDescent="0.35">
      <c r="B14" s="207" t="s">
        <v>211</v>
      </c>
      <c r="C14" s="3">
        <f>(F6*D14)+(F7*D14)</f>
        <v>118719.90000000001</v>
      </c>
      <c r="D14" s="204">
        <v>4.1700000000000001E-2</v>
      </c>
      <c r="E14" s="205"/>
      <c r="G14" s="11"/>
      <c r="H14" s="11"/>
      <c r="I14" s="6"/>
      <c r="J14" s="6"/>
    </row>
    <row r="15" spans="2:12" x14ac:dyDescent="0.35">
      <c r="B15" s="97" t="s">
        <v>213</v>
      </c>
      <c r="C15" s="161">
        <f>SUM(C11:C14)</f>
        <v>662374.85100000002</v>
      </c>
      <c r="D15" s="204"/>
      <c r="E15" s="29"/>
      <c r="G15" s="11"/>
      <c r="H15" s="11"/>
      <c r="I15" s="6"/>
      <c r="J15" s="6"/>
    </row>
    <row r="16" spans="2:12" x14ac:dyDescent="0.35">
      <c r="C16" s="3"/>
      <c r="D16" s="204"/>
      <c r="E16" s="29"/>
      <c r="G16" s="11"/>
      <c r="H16" s="11"/>
      <c r="I16" s="6"/>
      <c r="J16" s="6"/>
    </row>
    <row r="17" spans="2:9" x14ac:dyDescent="0.35">
      <c r="B17" s="98" t="s">
        <v>117</v>
      </c>
      <c r="C17" s="99">
        <f>+L8+C15</f>
        <v>3681614.8509999998</v>
      </c>
      <c r="G17" s="11"/>
      <c r="H17" s="6"/>
      <c r="I17" s="6"/>
    </row>
  </sheetData>
  <mergeCells count="10">
    <mergeCell ref="L4:L5"/>
    <mergeCell ref="B2:L2"/>
    <mergeCell ref="B10:C10"/>
    <mergeCell ref="I4:K4"/>
    <mergeCell ref="B8:E8"/>
    <mergeCell ref="C4:C5"/>
    <mergeCell ref="D4:D5"/>
    <mergeCell ref="E4:E5"/>
    <mergeCell ref="B4:B5"/>
    <mergeCell ref="F4:H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B2:E38"/>
  <sheetViews>
    <sheetView showGridLines="0" topLeftCell="A28" zoomScale="99" zoomScaleNormal="100" workbookViewId="0">
      <selection activeCell="D37" sqref="D37"/>
    </sheetView>
  </sheetViews>
  <sheetFormatPr baseColWidth="10" defaultColWidth="10.90625" defaultRowHeight="14.5" x14ac:dyDescent="0.35"/>
  <cols>
    <col min="2" max="2" width="29.453125" bestFit="1" customWidth="1"/>
    <col min="3" max="3" width="50.36328125" style="54" bestFit="1" customWidth="1"/>
    <col min="4" max="4" width="20.453125" style="54" bestFit="1" customWidth="1"/>
    <col min="5" max="5" width="17.36328125" bestFit="1" customWidth="1"/>
  </cols>
  <sheetData>
    <row r="2" spans="2:4" ht="17.5" x14ac:dyDescent="0.35">
      <c r="B2" s="283" t="s">
        <v>9</v>
      </c>
      <c r="C2" s="283"/>
      <c r="D2" s="283"/>
    </row>
    <row r="3" spans="2:4" x14ac:dyDescent="0.35">
      <c r="B3" s="6"/>
      <c r="C3" s="65"/>
      <c r="D3" s="65"/>
    </row>
    <row r="4" spans="2:4" x14ac:dyDescent="0.35">
      <c r="B4" s="282" t="s">
        <v>10</v>
      </c>
      <c r="C4" s="282"/>
      <c r="D4" s="282"/>
    </row>
    <row r="5" spans="2:4" x14ac:dyDescent="0.35">
      <c r="B5" s="6"/>
      <c r="C5" s="65"/>
      <c r="D5" s="65"/>
    </row>
    <row r="6" spans="2:4" x14ac:dyDescent="0.35">
      <c r="B6" s="6" t="s">
        <v>215</v>
      </c>
      <c r="C6" s="10">
        <f>+Nómina!H8</f>
        <v>3247000</v>
      </c>
      <c r="D6" s="10"/>
    </row>
    <row r="7" spans="2:4" x14ac:dyDescent="0.35">
      <c r="B7" s="6" t="s">
        <v>216</v>
      </c>
      <c r="C7" s="10">
        <f>+Nómina!C15</f>
        <v>662374.85100000002</v>
      </c>
      <c r="D7" s="10"/>
    </row>
    <row r="8" spans="2:4" x14ac:dyDescent="0.35">
      <c r="B8" t="s">
        <v>120</v>
      </c>
      <c r="C8" s="3">
        <v>300000</v>
      </c>
      <c r="D8" s="10"/>
    </row>
    <row r="9" spans="2:4" x14ac:dyDescent="0.35">
      <c r="B9" s="86" t="s">
        <v>222</v>
      </c>
      <c r="C9" s="209">
        <f>+SUM(C6:C7)</f>
        <v>3909374.8509999998</v>
      </c>
      <c r="D9" s="100">
        <f>+C9*12</f>
        <v>46912498.211999997</v>
      </c>
    </row>
    <row r="10" spans="2:4" x14ac:dyDescent="0.35">
      <c r="B10" s="6"/>
      <c r="C10" s="65"/>
      <c r="D10" s="65"/>
    </row>
    <row r="11" spans="2:4" x14ac:dyDescent="0.35">
      <c r="B11" s="86" t="s">
        <v>11</v>
      </c>
      <c r="C11" s="87"/>
      <c r="D11" s="87"/>
    </row>
    <row r="12" spans="2:4" x14ac:dyDescent="0.35">
      <c r="B12" s="6"/>
      <c r="C12" s="65"/>
      <c r="D12" s="65"/>
    </row>
    <row r="13" spans="2:4" x14ac:dyDescent="0.35">
      <c r="B13" s="29" t="s">
        <v>105</v>
      </c>
      <c r="D13" s="10"/>
    </row>
    <row r="14" spans="2:4" x14ac:dyDescent="0.35">
      <c r="B14" t="s">
        <v>98</v>
      </c>
      <c r="C14" s="208">
        <v>30000</v>
      </c>
      <c r="D14" s="3"/>
    </row>
    <row r="15" spans="2:4" x14ac:dyDescent="0.35">
      <c r="B15" t="s">
        <v>103</v>
      </c>
      <c r="C15" s="208">
        <v>32000</v>
      </c>
      <c r="D15" s="3"/>
    </row>
    <row r="16" spans="2:4" x14ac:dyDescent="0.35">
      <c r="B16" s="91" t="s">
        <v>97</v>
      </c>
      <c r="C16" s="208">
        <v>25000</v>
      </c>
      <c r="D16" s="3"/>
    </row>
    <row r="17" spans="2:5" x14ac:dyDescent="0.35">
      <c r="B17" t="s">
        <v>99</v>
      </c>
      <c r="C17" s="208">
        <v>150000</v>
      </c>
      <c r="D17" s="3"/>
    </row>
    <row r="18" spans="2:5" x14ac:dyDescent="0.35">
      <c r="B18" s="29" t="s">
        <v>217</v>
      </c>
      <c r="C18" s="210">
        <f>SUM(C14:C17)</f>
        <v>237000</v>
      </c>
      <c r="D18" s="10"/>
    </row>
    <row r="19" spans="2:5" x14ac:dyDescent="0.35">
      <c r="B19" s="6"/>
      <c r="C19" s="10"/>
      <c r="D19" s="10"/>
    </row>
    <row r="20" spans="2:5" x14ac:dyDescent="0.35">
      <c r="B20" s="6" t="s">
        <v>84</v>
      </c>
      <c r="C20" s="10">
        <v>700000</v>
      </c>
      <c r="D20" s="10"/>
    </row>
    <row r="21" spans="2:5" x14ac:dyDescent="0.35">
      <c r="B21" s="6" t="s">
        <v>85</v>
      </c>
      <c r="C21" s="10">
        <v>600000</v>
      </c>
      <c r="D21" s="10"/>
    </row>
    <row r="22" spans="2:5" x14ac:dyDescent="0.35">
      <c r="B22" s="6"/>
      <c r="C22" s="10"/>
      <c r="D22" s="10"/>
    </row>
    <row r="23" spans="2:5" x14ac:dyDescent="0.35">
      <c r="B23" s="86" t="s">
        <v>12</v>
      </c>
      <c r="C23" s="209">
        <f>+SUM(C14:C21)</f>
        <v>1774000</v>
      </c>
      <c r="D23" s="100">
        <f>+C23*12</f>
        <v>21288000</v>
      </c>
    </row>
    <row r="24" spans="2:5" x14ac:dyDescent="0.35">
      <c r="B24" s="6"/>
      <c r="C24" s="10"/>
      <c r="D24" s="10"/>
    </row>
    <row r="25" spans="2:5" x14ac:dyDescent="0.35">
      <c r="B25" s="86" t="s">
        <v>13</v>
      </c>
      <c r="C25" s="209">
        <f>SUM(C9,C23)</f>
        <v>5683374.8509999998</v>
      </c>
      <c r="D25" s="100"/>
      <c r="E25" s="2"/>
    </row>
    <row r="28" spans="2:5" x14ac:dyDescent="0.35">
      <c r="B28" s="6"/>
      <c r="C28" s="65"/>
      <c r="D28" s="65"/>
    </row>
    <row r="29" spans="2:5" x14ac:dyDescent="0.35">
      <c r="B29" s="6"/>
      <c r="C29" s="65"/>
      <c r="D29" s="65"/>
    </row>
    <row r="30" spans="2:5" x14ac:dyDescent="0.35">
      <c r="B30" s="86" t="s">
        <v>81</v>
      </c>
      <c r="C30" s="88" t="s">
        <v>223</v>
      </c>
      <c r="D30" s="86" t="s">
        <v>82</v>
      </c>
    </row>
    <row r="31" spans="2:5" x14ac:dyDescent="0.35">
      <c r="B31" s="1" t="s">
        <v>83</v>
      </c>
      <c r="C31" s="66"/>
      <c r="D31" s="64"/>
    </row>
    <row r="32" spans="2:5" x14ac:dyDescent="0.35">
      <c r="B32" t="s">
        <v>98</v>
      </c>
      <c r="C32" s="66" t="s">
        <v>100</v>
      </c>
      <c r="D32" s="64">
        <f>+C14*12</f>
        <v>360000</v>
      </c>
    </row>
    <row r="33" spans="2:4" x14ac:dyDescent="0.35">
      <c r="B33" t="s">
        <v>103</v>
      </c>
      <c r="C33" s="66" t="s">
        <v>104</v>
      </c>
      <c r="D33" s="64">
        <f t="shared" ref="D33:D35" si="0">+C15*12</f>
        <v>384000</v>
      </c>
    </row>
    <row r="34" spans="2:4" ht="29" x14ac:dyDescent="0.35">
      <c r="B34" s="91" t="s">
        <v>97</v>
      </c>
      <c r="C34" s="90" t="s">
        <v>101</v>
      </c>
      <c r="D34" s="64">
        <f t="shared" si="0"/>
        <v>300000</v>
      </c>
    </row>
    <row r="35" spans="2:4" x14ac:dyDescent="0.35">
      <c r="B35" t="s">
        <v>99</v>
      </c>
      <c r="C35" s="66" t="s">
        <v>102</v>
      </c>
      <c r="D35" s="64">
        <f>+C17*12</f>
        <v>1800000</v>
      </c>
    </row>
    <row r="36" spans="2:4" x14ac:dyDescent="0.35">
      <c r="B36" s="1" t="s">
        <v>118</v>
      </c>
      <c r="C36" s="66"/>
      <c r="D36" s="64"/>
    </row>
    <row r="37" spans="2:4" x14ac:dyDescent="0.35">
      <c r="B37" t="s">
        <v>120</v>
      </c>
      <c r="C37" s="66" t="s">
        <v>119</v>
      </c>
      <c r="D37" s="64">
        <f>+C8*12</f>
        <v>3600000</v>
      </c>
    </row>
    <row r="38" spans="2:4" x14ac:dyDescent="0.35">
      <c r="B38" s="134" t="s">
        <v>86</v>
      </c>
      <c r="C38" s="135"/>
      <c r="D38" s="136">
        <f>+SUM(D31:D37)</f>
        <v>6444000</v>
      </c>
    </row>
  </sheetData>
  <mergeCells count="2">
    <mergeCell ref="B4:D4"/>
    <mergeCell ref="B2: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B1:G96"/>
  <sheetViews>
    <sheetView showGridLines="0" topLeftCell="A25" zoomScale="99" zoomScaleNormal="90" workbookViewId="0">
      <selection activeCell="C30" sqref="C30"/>
    </sheetView>
  </sheetViews>
  <sheetFormatPr baseColWidth="10" defaultColWidth="10.90625" defaultRowHeight="14.5" x14ac:dyDescent="0.35"/>
  <cols>
    <col min="2" max="2" width="28.36328125" style="147" bestFit="1" customWidth="1"/>
    <col min="3" max="3" width="31.90625" style="147" customWidth="1"/>
    <col min="4" max="4" width="45.6328125" style="147" bestFit="1" customWidth="1"/>
    <col min="5" max="5" width="20.453125" bestFit="1" customWidth="1"/>
    <col min="6" max="6" width="17.36328125" bestFit="1" customWidth="1"/>
  </cols>
  <sheetData>
    <row r="1" spans="2:7" ht="15" thickBot="1" x14ac:dyDescent="0.4">
      <c r="B1" s="137"/>
      <c r="C1" s="137"/>
      <c r="D1" s="137"/>
      <c r="E1" s="6"/>
    </row>
    <row r="2" spans="2:7" x14ac:dyDescent="0.35">
      <c r="B2" s="284" t="s">
        <v>6</v>
      </c>
      <c r="C2" s="285"/>
      <c r="D2" s="286"/>
      <c r="E2" s="6"/>
    </row>
    <row r="3" spans="2:7" x14ac:dyDescent="0.35">
      <c r="B3" s="287" t="s">
        <v>7</v>
      </c>
      <c r="C3" s="288"/>
      <c r="D3" s="289"/>
      <c r="E3" s="6"/>
    </row>
    <row r="4" spans="2:7" x14ac:dyDescent="0.35">
      <c r="B4" s="138"/>
      <c r="C4" s="139" t="s">
        <v>15</v>
      </c>
      <c r="D4" s="140" t="s">
        <v>16</v>
      </c>
      <c r="E4" s="11"/>
    </row>
    <row r="5" spans="2:7" ht="28" x14ac:dyDescent="0.35">
      <c r="B5" s="138" t="s">
        <v>121</v>
      </c>
      <c r="C5" s="141" t="s">
        <v>122</v>
      </c>
      <c r="D5" s="142">
        <v>1100000</v>
      </c>
      <c r="E5" s="6"/>
    </row>
    <row r="6" spans="2:7" x14ac:dyDescent="0.35">
      <c r="B6" s="138" t="s">
        <v>118</v>
      </c>
      <c r="C6" s="141" t="s">
        <v>123</v>
      </c>
      <c r="D6" s="142">
        <v>300000</v>
      </c>
      <c r="E6" s="11"/>
    </row>
    <row r="7" spans="2:7" x14ac:dyDescent="0.35">
      <c r="B7" s="138" t="s">
        <v>124</v>
      </c>
      <c r="C7" s="141" t="s">
        <v>68</v>
      </c>
      <c r="D7" s="142">
        <v>25000</v>
      </c>
      <c r="E7" s="6"/>
    </row>
    <row r="8" spans="2:7" x14ac:dyDescent="0.35">
      <c r="B8" s="138" t="s">
        <v>218</v>
      </c>
      <c r="C8" s="141" t="s">
        <v>127</v>
      </c>
      <c r="D8" s="142">
        <f>+Nómina!C17</f>
        <v>3681614.8509999998</v>
      </c>
      <c r="E8" s="11"/>
      <c r="F8" s="2"/>
    </row>
    <row r="9" spans="2:7" ht="42" x14ac:dyDescent="0.35">
      <c r="B9" s="138" t="s">
        <v>125</v>
      </c>
      <c r="C9" s="141" t="s">
        <v>126</v>
      </c>
      <c r="D9" s="152">
        <f>400000/6</f>
        <v>66666.666666666672</v>
      </c>
      <c r="E9" s="153" t="s">
        <v>143</v>
      </c>
      <c r="G9" s="4"/>
    </row>
    <row r="10" spans="2:7" ht="15" thickBot="1" x14ac:dyDescent="0.4">
      <c r="B10" s="143" t="s">
        <v>14</v>
      </c>
      <c r="C10" s="144"/>
      <c r="D10" s="145">
        <f>SUM(D5:D9)</f>
        <v>5173281.5176666668</v>
      </c>
      <c r="E10" s="100">
        <f>+D10*12</f>
        <v>62079378.211999997</v>
      </c>
    </row>
    <row r="11" spans="2:7" x14ac:dyDescent="0.35">
      <c r="B11" s="139"/>
      <c r="C11" s="141"/>
      <c r="D11" s="211"/>
      <c r="E11" s="11"/>
    </row>
    <row r="12" spans="2:7" ht="15" thickBot="1" x14ac:dyDescent="0.4">
      <c r="B12" s="141"/>
      <c r="C12" s="141"/>
      <c r="D12" s="141"/>
      <c r="E12" s="11"/>
    </row>
    <row r="13" spans="2:7" x14ac:dyDescent="0.35">
      <c r="B13" s="284" t="s">
        <v>8</v>
      </c>
      <c r="C13" s="285"/>
      <c r="D13" s="286"/>
      <c r="E13" s="6"/>
    </row>
    <row r="14" spans="2:7" x14ac:dyDescent="0.35">
      <c r="B14" s="287" t="s">
        <v>7</v>
      </c>
      <c r="C14" s="288"/>
      <c r="D14" s="289"/>
      <c r="E14" s="6"/>
    </row>
    <row r="15" spans="2:7" x14ac:dyDescent="0.35">
      <c r="B15" s="138"/>
      <c r="C15" s="139" t="s">
        <v>15</v>
      </c>
      <c r="D15" s="140" t="s">
        <v>16</v>
      </c>
      <c r="E15" s="6"/>
    </row>
    <row r="16" spans="2:7" ht="28" x14ac:dyDescent="0.35">
      <c r="B16" s="138" t="s">
        <v>144</v>
      </c>
      <c r="C16" s="141" t="s">
        <v>145</v>
      </c>
      <c r="D16" s="146">
        <v>1120000</v>
      </c>
      <c r="E16" s="184" t="s">
        <v>146</v>
      </c>
    </row>
    <row r="17" spans="2:5" ht="28" x14ac:dyDescent="0.35">
      <c r="B17" s="138" t="s">
        <v>147</v>
      </c>
      <c r="C17" s="141" t="s">
        <v>159</v>
      </c>
      <c r="D17" s="142">
        <v>320000</v>
      </c>
      <c r="E17" s="6"/>
    </row>
    <row r="18" spans="2:5" x14ac:dyDescent="0.35">
      <c r="B18" s="138" t="s">
        <v>148</v>
      </c>
      <c r="C18" s="141" t="s">
        <v>160</v>
      </c>
      <c r="D18" s="142">
        <v>500000</v>
      </c>
      <c r="E18" s="6"/>
    </row>
    <row r="19" spans="2:5" ht="28" x14ac:dyDescent="0.35">
      <c r="B19" s="138" t="s">
        <v>149</v>
      </c>
      <c r="C19" s="141" t="s">
        <v>150</v>
      </c>
      <c r="D19" s="142">
        <v>200000</v>
      </c>
      <c r="E19" s="6"/>
    </row>
    <row r="20" spans="2:5" x14ac:dyDescent="0.35">
      <c r="B20" s="138" t="s">
        <v>151</v>
      </c>
      <c r="C20" s="141" t="s">
        <v>152</v>
      </c>
      <c r="D20" s="142">
        <v>150000</v>
      </c>
      <c r="E20" s="6"/>
    </row>
    <row r="21" spans="2:5" x14ac:dyDescent="0.35">
      <c r="B21" s="138" t="s">
        <v>153</v>
      </c>
      <c r="C21" s="141" t="s">
        <v>154</v>
      </c>
      <c r="D21" s="142">
        <v>80000</v>
      </c>
      <c r="E21" s="6"/>
    </row>
    <row r="22" spans="2:5" x14ac:dyDescent="0.35">
      <c r="B22" s="138" t="s">
        <v>155</v>
      </c>
      <c r="C22" s="141" t="s">
        <v>156</v>
      </c>
      <c r="D22" s="142">
        <v>160000</v>
      </c>
      <c r="E22" s="6"/>
    </row>
    <row r="23" spans="2:5" ht="28.5" customHeight="1" x14ac:dyDescent="0.35">
      <c r="B23" s="138" t="s">
        <v>225</v>
      </c>
      <c r="C23" s="141" t="s">
        <v>224</v>
      </c>
      <c r="D23" s="183">
        <f>+'Flujo de Efectivo-Rentabilidad '!D8</f>
        <v>250000</v>
      </c>
      <c r="E23" s="6"/>
    </row>
    <row r="24" spans="2:5" ht="21.5" customHeight="1" x14ac:dyDescent="0.35">
      <c r="B24" s="138" t="s">
        <v>157</v>
      </c>
      <c r="C24" s="141" t="s">
        <v>158</v>
      </c>
      <c r="D24" s="142">
        <v>30000</v>
      </c>
      <c r="E24" s="6"/>
    </row>
    <row r="25" spans="2:5" ht="21.5" customHeight="1" x14ac:dyDescent="0.35">
      <c r="B25" s="138" t="s">
        <v>118</v>
      </c>
      <c r="C25" s="141" t="s">
        <v>123</v>
      </c>
      <c r="D25" s="142">
        <v>150000</v>
      </c>
      <c r="E25" s="6"/>
    </row>
    <row r="26" spans="2:5" ht="15" thickBot="1" x14ac:dyDescent="0.4">
      <c r="B26" s="143" t="s">
        <v>2</v>
      </c>
      <c r="C26" s="144"/>
      <c r="D26" s="145">
        <f>SUM(D16:D25)</f>
        <v>2960000</v>
      </c>
      <c r="E26" s="145">
        <f>+D26*12</f>
        <v>35520000</v>
      </c>
    </row>
    <row r="27" spans="2:5" x14ac:dyDescent="0.35">
      <c r="B27" s="137"/>
      <c r="C27" s="137"/>
      <c r="D27" s="137"/>
      <c r="E27" s="6"/>
    </row>
    <row r="28" spans="2:5" x14ac:dyDescent="0.35">
      <c r="B28" s="185"/>
      <c r="C28" s="185" t="s">
        <v>70</v>
      </c>
      <c r="D28" s="186">
        <f>+D26+D10</f>
        <v>8133281.5176666668</v>
      </c>
    </row>
    <row r="30" spans="2:5" x14ac:dyDescent="0.35">
      <c r="B30" s="225" t="s">
        <v>252</v>
      </c>
      <c r="C30" s="236">
        <f>+D26/'Definición de Precio  '!$E$10</f>
        <v>2654.708520179372</v>
      </c>
      <c r="D30"/>
    </row>
    <row r="31" spans="2:5" x14ac:dyDescent="0.35">
      <c r="B31" s="225" t="s">
        <v>253</v>
      </c>
      <c r="C31" s="236">
        <f>+D10/'Definición de Precio  '!$E$10</f>
        <v>4639.7143656203289</v>
      </c>
      <c r="D31"/>
    </row>
    <row r="32" spans="2:5" x14ac:dyDescent="0.35">
      <c r="B32"/>
      <c r="C32"/>
      <c r="D32"/>
    </row>
    <row r="34" spans="2:4" x14ac:dyDescent="0.35">
      <c r="B34" s="149"/>
      <c r="C34" s="149"/>
    </row>
    <row r="35" spans="2:4" x14ac:dyDescent="0.35">
      <c r="B35"/>
      <c r="C35"/>
      <c r="D35"/>
    </row>
    <row r="36" spans="2:4" x14ac:dyDescent="0.35">
      <c r="B36"/>
      <c r="C36"/>
      <c r="D36"/>
    </row>
    <row r="37" spans="2:4" x14ac:dyDescent="0.35">
      <c r="B37"/>
      <c r="C37"/>
      <c r="D37"/>
    </row>
    <row r="38" spans="2:4" x14ac:dyDescent="0.35">
      <c r="B38"/>
      <c r="C38"/>
      <c r="D38"/>
    </row>
    <row r="39" spans="2:4" x14ac:dyDescent="0.35">
      <c r="B39"/>
      <c r="C39"/>
      <c r="D39"/>
    </row>
    <row r="90" spans="2:5" ht="14" customHeight="1" x14ac:dyDescent="0.35"/>
    <row r="91" spans="2:5" ht="14" customHeight="1" x14ac:dyDescent="0.35"/>
    <row r="92" spans="2:5" ht="14" customHeight="1" x14ac:dyDescent="0.35"/>
    <row r="93" spans="2:5" ht="14" customHeight="1" x14ac:dyDescent="0.35"/>
    <row r="94" spans="2:5" ht="14" customHeight="1" x14ac:dyDescent="0.35"/>
    <row r="95" spans="2:5" ht="14" customHeight="1" x14ac:dyDescent="0.35"/>
    <row r="96" spans="2:5" ht="14" customHeight="1" x14ac:dyDescent="0.35">
      <c r="B96" s="148"/>
      <c r="C96" s="150"/>
      <c r="D96" s="151"/>
      <c r="E96" s="2"/>
    </row>
  </sheetData>
  <mergeCells count="4">
    <mergeCell ref="B13:D13"/>
    <mergeCell ref="B14:D14"/>
    <mergeCell ref="B3:D3"/>
    <mergeCell ref="B2:D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B2:L24"/>
  <sheetViews>
    <sheetView showGridLines="0" zoomScale="99" zoomScaleNormal="100" workbookViewId="0">
      <selection activeCell="E9" sqref="E9"/>
    </sheetView>
  </sheetViews>
  <sheetFormatPr baseColWidth="10" defaultColWidth="10.90625" defaultRowHeight="14.5" x14ac:dyDescent="0.35"/>
  <cols>
    <col min="2" max="2" width="28.08984375" style="6" customWidth="1"/>
    <col min="3" max="3" width="21.453125" style="6" customWidth="1"/>
    <col min="4" max="4" width="38.1796875" style="6" customWidth="1"/>
    <col min="5" max="5" width="30.453125" style="6" customWidth="1"/>
    <col min="6" max="6" width="25.6328125" style="6" customWidth="1"/>
    <col min="7" max="7" width="24.08984375" style="6" customWidth="1"/>
    <col min="8" max="8" width="23.81640625" style="6" customWidth="1"/>
    <col min="9" max="9" width="24.6328125" style="6" customWidth="1"/>
    <col min="10" max="10" width="29.453125" style="6" customWidth="1"/>
    <col min="11" max="11" width="21.08984375" style="6" customWidth="1"/>
    <col min="12" max="12" width="11.453125" style="6"/>
  </cols>
  <sheetData>
    <row r="2" spans="2:11" x14ac:dyDescent="0.35">
      <c r="B2" s="290" t="s">
        <v>130</v>
      </c>
      <c r="C2" s="290"/>
      <c r="D2" s="290"/>
      <c r="E2" s="290"/>
    </row>
    <row r="3" spans="2:11" x14ac:dyDescent="0.35">
      <c r="B3" s="29"/>
    </row>
    <row r="4" spans="2:11" x14ac:dyDescent="0.35">
      <c r="C4" s="94" t="s">
        <v>51</v>
      </c>
      <c r="D4" s="94" t="s">
        <v>131</v>
      </c>
      <c r="E4" s="94" t="s">
        <v>132</v>
      </c>
    </row>
    <row r="5" spans="2:11" ht="28" x14ac:dyDescent="0.35">
      <c r="B5" s="166" t="s">
        <v>139</v>
      </c>
      <c r="C5" s="163">
        <v>10000000</v>
      </c>
      <c r="D5" s="164">
        <v>300000</v>
      </c>
      <c r="E5" s="153" t="s">
        <v>136</v>
      </c>
    </row>
    <row r="6" spans="2:11" ht="28" x14ac:dyDescent="0.35">
      <c r="B6" s="291" t="s">
        <v>140</v>
      </c>
      <c r="C6" s="295">
        <v>10000000</v>
      </c>
      <c r="D6" s="164">
        <v>80000</v>
      </c>
      <c r="E6" s="153" t="s">
        <v>137</v>
      </c>
    </row>
    <row r="7" spans="2:11" x14ac:dyDescent="0.35">
      <c r="B7" s="292"/>
      <c r="C7" s="296"/>
      <c r="D7" s="164">
        <v>1500000</v>
      </c>
      <c r="E7" s="153" t="s">
        <v>142</v>
      </c>
    </row>
    <row r="8" spans="2:11" ht="34" customHeight="1" x14ac:dyDescent="0.35">
      <c r="B8" s="293"/>
      <c r="C8" s="297"/>
      <c r="D8" s="164">
        <v>1100000</v>
      </c>
      <c r="E8" s="153" t="s">
        <v>135</v>
      </c>
    </row>
    <row r="9" spans="2:11" ht="28" x14ac:dyDescent="0.35">
      <c r="B9" s="291" t="s">
        <v>141</v>
      </c>
      <c r="C9" s="295">
        <v>4000000</v>
      </c>
      <c r="D9" s="164">
        <v>900000</v>
      </c>
      <c r="E9" s="165" t="s">
        <v>133</v>
      </c>
      <c r="J9" s="10"/>
      <c r="K9" s="10"/>
    </row>
    <row r="10" spans="2:11" x14ac:dyDescent="0.35">
      <c r="B10" s="292"/>
      <c r="C10" s="296"/>
      <c r="D10" s="164">
        <v>1500000</v>
      </c>
      <c r="E10" s="165" t="s">
        <v>142</v>
      </c>
      <c r="J10" s="10"/>
      <c r="K10" s="10"/>
    </row>
    <row r="11" spans="2:11" ht="28" x14ac:dyDescent="0.35">
      <c r="B11" s="293"/>
      <c r="C11" s="297"/>
      <c r="D11" s="164">
        <v>120000</v>
      </c>
      <c r="E11" s="153" t="s">
        <v>134</v>
      </c>
    </row>
    <row r="12" spans="2:11" x14ac:dyDescent="0.35">
      <c r="B12" s="97" t="s">
        <v>47</v>
      </c>
      <c r="C12" s="96">
        <f>C5+C6+C9</f>
        <v>24000000</v>
      </c>
      <c r="D12" s="96">
        <f>SUM(D5:D11)</f>
        <v>5500000</v>
      </c>
      <c r="E12" s="167">
        <f>+D12+C12</f>
        <v>29500000</v>
      </c>
      <c r="K12" s="11"/>
    </row>
    <row r="13" spans="2:11" x14ac:dyDescent="0.35">
      <c r="E13" s="11"/>
    </row>
    <row r="14" spans="2:11" x14ac:dyDescent="0.35">
      <c r="B14" s="294" t="s">
        <v>48</v>
      </c>
      <c r="C14" s="294"/>
      <c r="D14" s="294"/>
      <c r="E14" s="294"/>
    </row>
    <row r="15" spans="2:11" x14ac:dyDescent="0.35">
      <c r="B15" s="29"/>
      <c r="E15" s="11"/>
    </row>
    <row r="16" spans="2:11" x14ac:dyDescent="0.35">
      <c r="C16" s="169" t="s">
        <v>1</v>
      </c>
      <c r="D16" s="169" t="s">
        <v>49</v>
      </c>
      <c r="E16" s="170" t="s">
        <v>50</v>
      </c>
    </row>
    <row r="17" spans="2:5" x14ac:dyDescent="0.35">
      <c r="B17" s="162" t="s">
        <v>3</v>
      </c>
      <c r="C17" s="162">
        <v>2</v>
      </c>
      <c r="D17" s="164">
        <f>+D10</f>
        <v>1500000</v>
      </c>
      <c r="E17" s="168">
        <f>+D17*C17</f>
        <v>3000000</v>
      </c>
    </row>
    <row r="18" spans="2:5" ht="42" x14ac:dyDescent="0.35">
      <c r="B18" s="153" t="s">
        <v>136</v>
      </c>
      <c r="C18" s="162">
        <v>1</v>
      </c>
      <c r="D18" s="164">
        <f>+D5</f>
        <v>300000</v>
      </c>
      <c r="E18" s="168">
        <f t="shared" ref="E18:E22" si="0">+D18*C18</f>
        <v>300000</v>
      </c>
    </row>
    <row r="19" spans="2:5" ht="28" x14ac:dyDescent="0.35">
      <c r="B19" s="153" t="s">
        <v>137</v>
      </c>
      <c r="C19" s="162">
        <v>1</v>
      </c>
      <c r="D19" s="164">
        <f>+D6</f>
        <v>80000</v>
      </c>
      <c r="E19" s="168">
        <f t="shared" si="0"/>
        <v>80000</v>
      </c>
    </row>
    <row r="20" spans="2:5" ht="28" x14ac:dyDescent="0.35">
      <c r="B20" s="153" t="s">
        <v>135</v>
      </c>
      <c r="C20" s="162">
        <v>1</v>
      </c>
      <c r="D20" s="164">
        <f>+D8</f>
        <v>1100000</v>
      </c>
      <c r="E20" s="168">
        <f t="shared" si="0"/>
        <v>1100000</v>
      </c>
    </row>
    <row r="21" spans="2:5" ht="28" x14ac:dyDescent="0.35">
      <c r="B21" s="165" t="s">
        <v>133</v>
      </c>
      <c r="C21" s="162">
        <v>1</v>
      </c>
      <c r="D21" s="164">
        <f>+D9</f>
        <v>900000</v>
      </c>
      <c r="E21" s="168">
        <f t="shared" si="0"/>
        <v>900000</v>
      </c>
    </row>
    <row r="22" spans="2:5" ht="28" x14ac:dyDescent="0.35">
      <c r="B22" s="153" t="s">
        <v>134</v>
      </c>
      <c r="C22" s="162">
        <v>1</v>
      </c>
      <c r="D22" s="164">
        <f>+D11</f>
        <v>120000</v>
      </c>
      <c r="E22" s="168">
        <f t="shared" si="0"/>
        <v>120000</v>
      </c>
    </row>
    <row r="23" spans="2:5" x14ac:dyDescent="0.35">
      <c r="B23" s="172" t="s">
        <v>138</v>
      </c>
      <c r="C23" s="171"/>
      <c r="D23" s="171"/>
      <c r="E23" s="167">
        <f>SUM(E17:E22)</f>
        <v>5500000</v>
      </c>
    </row>
    <row r="24" spans="2:5" x14ac:dyDescent="0.35">
      <c r="E24" s="11"/>
    </row>
  </sheetData>
  <mergeCells count="6">
    <mergeCell ref="B2:E2"/>
    <mergeCell ref="B9:B11"/>
    <mergeCell ref="B6:B8"/>
    <mergeCell ref="B14:E14"/>
    <mergeCell ref="C6:C8"/>
    <mergeCell ref="C9:C11"/>
  </mergeCells>
  <phoneticPr fontId="28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9250-4FB0-4195-AF88-B9C3B75E62DD}">
  <sheetPr>
    <tabColor theme="5" tint="0.59999389629810485"/>
  </sheetPr>
  <dimension ref="A2:L30"/>
  <sheetViews>
    <sheetView showGridLines="0" topLeftCell="A18" zoomScaleNormal="100" workbookViewId="0">
      <selection activeCell="B25" sqref="B25"/>
    </sheetView>
  </sheetViews>
  <sheetFormatPr baseColWidth="10" defaultColWidth="10.90625" defaultRowHeight="14.5" x14ac:dyDescent="0.35"/>
  <cols>
    <col min="2" max="2" width="28.08984375" style="6" customWidth="1"/>
    <col min="3" max="3" width="18.36328125" style="6" bestFit="1" customWidth="1"/>
    <col min="4" max="4" width="15.36328125" style="6" customWidth="1"/>
    <col min="5" max="5" width="16.81640625" style="6" customWidth="1"/>
    <col min="6" max="6" width="15.36328125" style="6" customWidth="1"/>
    <col min="7" max="7" width="14.1796875" style="6" customWidth="1"/>
    <col min="8" max="8" width="15.08984375" style="6" customWidth="1"/>
    <col min="9" max="9" width="24.6328125" style="6" customWidth="1"/>
    <col min="10" max="10" width="29.453125" style="6" customWidth="1"/>
    <col min="11" max="11" width="21.08984375" style="6" customWidth="1"/>
    <col min="12" max="12" width="11.54296875" style="6"/>
  </cols>
  <sheetData>
    <row r="2" spans="1:10" s="6" customFormat="1" x14ac:dyDescent="0.35">
      <c r="A2"/>
      <c r="B2" s="294" t="s">
        <v>52</v>
      </c>
      <c r="C2" s="294"/>
      <c r="D2" s="294"/>
      <c r="E2" s="294"/>
      <c r="F2" s="294"/>
      <c r="G2" s="294"/>
      <c r="H2" s="294"/>
    </row>
    <row r="3" spans="1:10" s="6" customFormat="1" x14ac:dyDescent="0.35">
      <c r="A3"/>
      <c r="B3" s="33"/>
      <c r="C3" s="33"/>
      <c r="D3" s="33"/>
      <c r="E3" s="33"/>
    </row>
    <row r="4" spans="1:10" s="6" customFormat="1" x14ac:dyDescent="0.35">
      <c r="A4"/>
      <c r="B4" s="290" t="s">
        <v>55</v>
      </c>
      <c r="C4" s="290"/>
      <c r="D4" s="290"/>
      <c r="E4" s="290"/>
      <c r="F4" s="93"/>
    </row>
    <row r="5" spans="1:10" s="6" customFormat="1" x14ac:dyDescent="0.35">
      <c r="A5"/>
      <c r="B5" s="95" t="s">
        <v>56</v>
      </c>
      <c r="C5" s="94" t="s">
        <v>59</v>
      </c>
      <c r="D5" s="94" t="s">
        <v>58</v>
      </c>
      <c r="E5" s="94" t="s">
        <v>57</v>
      </c>
      <c r="F5" s="94" t="s">
        <v>60</v>
      </c>
    </row>
    <row r="6" spans="1:10" s="6" customFormat="1" x14ac:dyDescent="0.35">
      <c r="A6"/>
      <c r="B6" s="34">
        <f>+'Inversión y Activos Fijos'!E17</f>
        <v>3000000</v>
      </c>
      <c r="C6" s="35">
        <v>0.1</v>
      </c>
      <c r="D6" s="30">
        <f>B6*C6</f>
        <v>300000</v>
      </c>
      <c r="E6" s="7">
        <v>5</v>
      </c>
      <c r="F6" s="11">
        <f>(B6-D6)/E6</f>
        <v>540000</v>
      </c>
    </row>
    <row r="7" spans="1:10" s="6" customFormat="1" x14ac:dyDescent="0.35">
      <c r="A7"/>
      <c r="B7" s="95" t="s">
        <v>128</v>
      </c>
      <c r="C7" s="173"/>
      <c r="D7" s="174"/>
      <c r="E7" s="76"/>
      <c r="F7" s="175"/>
    </row>
    <row r="8" spans="1:10" s="6" customFormat="1" x14ac:dyDescent="0.35">
      <c r="A8"/>
      <c r="B8" s="11">
        <f>+'Inversión y Activos Fijos'!D12-'Inversión y Activos Fijos'!D7-'Inversión y Activos Fijos'!D10</f>
        <v>2500000</v>
      </c>
      <c r="C8" s="35">
        <v>0.1</v>
      </c>
      <c r="D8" s="30">
        <f>B8*C8</f>
        <v>250000</v>
      </c>
      <c r="E8" s="7">
        <v>10</v>
      </c>
      <c r="F8" s="11">
        <f>(B8-D8)/E8</f>
        <v>225000</v>
      </c>
    </row>
    <row r="9" spans="1:10" s="6" customFormat="1" x14ac:dyDescent="0.35">
      <c r="A9"/>
      <c r="B9" s="155"/>
      <c r="C9" s="8"/>
      <c r="D9" s="30"/>
      <c r="E9" s="154"/>
      <c r="F9" s="11"/>
    </row>
    <row r="10" spans="1:10" s="6" customFormat="1" x14ac:dyDescent="0.35">
      <c r="A10"/>
      <c r="B10" s="156" t="s">
        <v>26</v>
      </c>
      <c r="C10" s="157">
        <v>0.11</v>
      </c>
      <c r="D10" s="76"/>
    </row>
    <row r="11" spans="1:10" s="6" customFormat="1" x14ac:dyDescent="0.35">
      <c r="A11"/>
      <c r="B11" s="37" t="s">
        <v>221</v>
      </c>
      <c r="C11" s="8">
        <v>0.05</v>
      </c>
    </row>
    <row r="12" spans="1:10" s="6" customFormat="1" x14ac:dyDescent="0.35">
      <c r="A12"/>
      <c r="B12" s="38" t="s">
        <v>129</v>
      </c>
      <c r="C12" s="50">
        <v>0.25</v>
      </c>
      <c r="J12" s="36"/>
    </row>
    <row r="13" spans="1:10" s="6" customFormat="1" x14ac:dyDescent="0.35">
      <c r="A13"/>
      <c r="B13" s="6" t="s">
        <v>187</v>
      </c>
      <c r="C13" s="50">
        <v>0.35</v>
      </c>
      <c r="D13" s="32"/>
      <c r="E13" s="25"/>
      <c r="F13" s="25"/>
      <c r="G13" s="25"/>
      <c r="H13" s="25"/>
      <c r="I13" s="25"/>
      <c r="J13" s="25"/>
    </row>
    <row r="14" spans="1:10" s="6" customFormat="1" x14ac:dyDescent="0.35">
      <c r="A14"/>
    </row>
    <row r="15" spans="1:10" s="6" customFormat="1" x14ac:dyDescent="0.35">
      <c r="A15"/>
      <c r="C15" s="158">
        <v>0</v>
      </c>
      <c r="D15" s="159">
        <v>1</v>
      </c>
      <c r="E15" s="158">
        <v>2</v>
      </c>
      <c r="F15" s="158">
        <v>3</v>
      </c>
      <c r="G15" s="158">
        <v>4</v>
      </c>
      <c r="H15" s="158">
        <v>5</v>
      </c>
    </row>
    <row r="16" spans="1:10" x14ac:dyDescent="0.35">
      <c r="B16" s="6" t="s">
        <v>264</v>
      </c>
      <c r="C16" s="155"/>
      <c r="D16" s="155">
        <f>+'Definición de Precio  '!E32</f>
        <v>1201200000</v>
      </c>
      <c r="E16" s="155">
        <f>+D16*(1+$C$12)</f>
        <v>1501500000</v>
      </c>
      <c r="F16" s="155">
        <f t="shared" ref="F16:H16" si="0">+E16*(1+$C$12)</f>
        <v>1876875000</v>
      </c>
      <c r="G16" s="155">
        <f t="shared" si="0"/>
        <v>2346093750</v>
      </c>
      <c r="H16" s="155">
        <f t="shared" si="0"/>
        <v>2932617187.5</v>
      </c>
    </row>
    <row r="17" spans="2:8" x14ac:dyDescent="0.35">
      <c r="B17" s="6" t="s">
        <v>54</v>
      </c>
      <c r="C17" s="155"/>
      <c r="D17" s="155">
        <f>-Costos!E26</f>
        <v>-35520000</v>
      </c>
      <c r="E17" s="155">
        <f>+D17*(1+$C$11)</f>
        <v>-37296000</v>
      </c>
      <c r="F17" s="155">
        <f t="shared" ref="F17:H17" si="1">+E17*(1+$C$11)</f>
        <v>-39160800</v>
      </c>
      <c r="G17" s="155">
        <f t="shared" si="1"/>
        <v>-41118840</v>
      </c>
      <c r="H17" s="155">
        <f t="shared" si="1"/>
        <v>-43174782</v>
      </c>
    </row>
    <row r="18" spans="2:8" x14ac:dyDescent="0.35">
      <c r="B18" s="6" t="s">
        <v>192</v>
      </c>
      <c r="C18" s="155"/>
      <c r="D18" s="155">
        <f>-Costos!E10</f>
        <v>-62079378.211999997</v>
      </c>
      <c r="E18" s="155">
        <f>+D18*(1+$C$11)</f>
        <v>-65183347.122599997</v>
      </c>
      <c r="F18" s="155">
        <f t="shared" ref="F18:H18" si="2">+E18*(1+$C$11)</f>
        <v>-68442514.478729993</v>
      </c>
      <c r="G18" s="155">
        <f t="shared" si="2"/>
        <v>-71864640.202666491</v>
      </c>
      <c r="H18" s="155">
        <f t="shared" si="2"/>
        <v>-75457872.212799817</v>
      </c>
    </row>
    <row r="19" spans="2:8" ht="15" thickBot="1" x14ac:dyDescent="0.4">
      <c r="B19" s="214" t="s">
        <v>185</v>
      </c>
      <c r="C19" s="215"/>
      <c r="D19" s="215">
        <f>-($F$6+$F$8)</f>
        <v>-765000</v>
      </c>
      <c r="E19" s="215">
        <f t="shared" ref="E19:H19" si="3">-($F$6+$F$8)</f>
        <v>-765000</v>
      </c>
      <c r="F19" s="215">
        <f t="shared" si="3"/>
        <v>-765000</v>
      </c>
      <c r="G19" s="215">
        <f t="shared" si="3"/>
        <v>-765000</v>
      </c>
      <c r="H19" s="215">
        <f t="shared" si="3"/>
        <v>-765000</v>
      </c>
    </row>
    <row r="20" spans="2:8" x14ac:dyDescent="0.35">
      <c r="B20" s="6" t="s">
        <v>265</v>
      </c>
      <c r="C20" s="155"/>
      <c r="D20" s="155">
        <f>SUM(D16:D19)</f>
        <v>1102835621.7880001</v>
      </c>
      <c r="E20" s="155">
        <f t="shared" ref="E20:H20" si="4">SUM(E16:E19)</f>
        <v>1398255652.8773999</v>
      </c>
      <c r="F20" s="155">
        <f t="shared" si="4"/>
        <v>1768506685.52127</v>
      </c>
      <c r="G20" s="155">
        <f t="shared" si="4"/>
        <v>2232345269.7973337</v>
      </c>
      <c r="H20" s="155">
        <f t="shared" si="4"/>
        <v>2813219533.2872</v>
      </c>
    </row>
    <row r="21" spans="2:8" ht="15" thickBot="1" x14ac:dyDescent="0.4">
      <c r="B21" s="214" t="s">
        <v>38</v>
      </c>
      <c r="C21" s="215"/>
      <c r="D21" s="215">
        <f>-D20*$C$13</f>
        <v>-385992467.62580001</v>
      </c>
      <c r="E21" s="215">
        <f t="shared" ref="E21:H21" si="5">-E20*$C$13</f>
        <v>-489389478.50708991</v>
      </c>
      <c r="F21" s="215">
        <f t="shared" si="5"/>
        <v>-618977339.93244445</v>
      </c>
      <c r="G21" s="215">
        <f t="shared" si="5"/>
        <v>-781320844.42906678</v>
      </c>
      <c r="H21" s="215">
        <f t="shared" si="5"/>
        <v>-984626836.65051997</v>
      </c>
    </row>
    <row r="22" spans="2:8" x14ac:dyDescent="0.35">
      <c r="B22" s="6" t="s">
        <v>266</v>
      </c>
      <c r="C22" s="155"/>
      <c r="D22" s="155">
        <f>SUM(D20:D21)</f>
        <v>716843154.16220009</v>
      </c>
      <c r="E22" s="155">
        <f t="shared" ref="E22:H22" si="6">SUM(E20:E21)</f>
        <v>908866174.37031007</v>
      </c>
      <c r="F22" s="155">
        <f t="shared" si="6"/>
        <v>1149529345.5888257</v>
      </c>
      <c r="G22" s="155">
        <f t="shared" si="6"/>
        <v>1451024425.3682671</v>
      </c>
      <c r="H22" s="155">
        <f t="shared" si="6"/>
        <v>1828592696.6366801</v>
      </c>
    </row>
    <row r="23" spans="2:8" ht="15" thickBot="1" x14ac:dyDescent="0.4">
      <c r="B23" s="214" t="s">
        <v>185</v>
      </c>
      <c r="C23" s="215"/>
      <c r="D23" s="215">
        <f>-D19</f>
        <v>765000</v>
      </c>
      <c r="E23" s="215">
        <f t="shared" ref="E23:H23" si="7">-E19</f>
        <v>765000</v>
      </c>
      <c r="F23" s="215">
        <f t="shared" si="7"/>
        <v>765000</v>
      </c>
      <c r="G23" s="215">
        <f t="shared" si="7"/>
        <v>765000</v>
      </c>
      <c r="H23" s="215">
        <f t="shared" si="7"/>
        <v>765000</v>
      </c>
    </row>
    <row r="24" spans="2:8" ht="15" thickBot="1" x14ac:dyDescent="0.4">
      <c r="B24" s="251" t="s">
        <v>269</v>
      </c>
      <c r="C24" s="252"/>
      <c r="D24" s="252">
        <f>+D22+D23+D21</f>
        <v>331615686.53640008</v>
      </c>
      <c r="E24" s="252">
        <f t="shared" ref="E24:H24" si="8">+E22+E23+E21</f>
        <v>420241695.86322016</v>
      </c>
      <c r="F24" s="252">
        <f t="shared" si="8"/>
        <v>531317005.65638125</v>
      </c>
      <c r="G24" s="252">
        <f t="shared" si="8"/>
        <v>670468580.93920028</v>
      </c>
      <c r="H24" s="252">
        <f t="shared" si="8"/>
        <v>844730859.98616016</v>
      </c>
    </row>
    <row r="25" spans="2:8" x14ac:dyDescent="0.35">
      <c r="B25" s="6" t="s">
        <v>267</v>
      </c>
      <c r="C25" s="155">
        <f>-'Inversión y Activos Fijos'!E12</f>
        <v>-29500000</v>
      </c>
      <c r="D25" s="155"/>
      <c r="E25" s="155"/>
      <c r="F25" s="155"/>
      <c r="G25" s="155"/>
      <c r="H25" s="155"/>
    </row>
    <row r="26" spans="2:8" x14ac:dyDescent="0.35">
      <c r="B26" s="97" t="s">
        <v>268</v>
      </c>
      <c r="C26" s="245">
        <f>SUM(C24:C25)</f>
        <v>-29500000</v>
      </c>
      <c r="D26" s="245">
        <f>SUM(D24:D25)</f>
        <v>331615686.53640008</v>
      </c>
      <c r="E26" s="245">
        <f t="shared" ref="E26:H26" si="9">SUM(E24:E25)</f>
        <v>420241695.86322016</v>
      </c>
      <c r="F26" s="245">
        <f t="shared" si="9"/>
        <v>531317005.65638125</v>
      </c>
      <c r="G26" s="245">
        <f t="shared" si="9"/>
        <v>670468580.93920028</v>
      </c>
      <c r="H26" s="245">
        <f t="shared" si="9"/>
        <v>844730859.98616016</v>
      </c>
    </row>
    <row r="27" spans="2:8" x14ac:dyDescent="0.35">
      <c r="D27" s="155"/>
    </row>
    <row r="28" spans="2:8" x14ac:dyDescent="0.35">
      <c r="B28" s="86" t="s">
        <v>61</v>
      </c>
      <c r="C28" s="160">
        <f>+NPV(C10,D26:H26)+C26</f>
        <v>1941789945.9417324</v>
      </c>
    </row>
    <row r="29" spans="2:8" x14ac:dyDescent="0.35">
      <c r="B29" s="86" t="s">
        <v>62</v>
      </c>
      <c r="C29" s="217">
        <f>+IRR(C26:H26)</f>
        <v>11.508022346193314</v>
      </c>
    </row>
    <row r="30" spans="2:8" x14ac:dyDescent="0.35">
      <c r="B30" s="86" t="s">
        <v>63</v>
      </c>
      <c r="C30" s="217">
        <f>+MIRR(C26:H26,C29,C10)</f>
        <v>1.5722233538135035</v>
      </c>
    </row>
  </sheetData>
  <mergeCells count="2">
    <mergeCell ref="B4:E4"/>
    <mergeCell ref="B2:H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CC2E-7E1B-4B29-896A-A1D9975919C9}">
  <sheetPr>
    <tabColor theme="5" tint="0.59999389629810485"/>
  </sheetPr>
  <dimension ref="B2:H28"/>
  <sheetViews>
    <sheetView showGridLines="0" topLeftCell="A12" zoomScale="80" zoomScaleNormal="80" workbookViewId="0">
      <selection activeCell="A28" sqref="A28"/>
    </sheetView>
  </sheetViews>
  <sheetFormatPr baseColWidth="10" defaultColWidth="11.54296875" defaultRowHeight="14" x14ac:dyDescent="0.3"/>
  <cols>
    <col min="1" max="1" width="11.54296875" style="6"/>
    <col min="2" max="2" width="25.453125" style="6" customWidth="1"/>
    <col min="3" max="3" width="20.08984375" style="6" customWidth="1"/>
    <col min="4" max="5" width="14.36328125" style="6" bestFit="1" customWidth="1"/>
    <col min="6" max="6" width="19.90625" style="6" customWidth="1"/>
    <col min="7" max="7" width="18.08984375" style="6" customWidth="1"/>
    <col min="8" max="8" width="18.54296875" style="6" customWidth="1"/>
    <col min="9" max="16384" width="11.54296875" style="6"/>
  </cols>
  <sheetData>
    <row r="2" spans="2:8" x14ac:dyDescent="0.3">
      <c r="B2" s="290" t="s">
        <v>175</v>
      </c>
      <c r="C2" s="290"/>
      <c r="D2" s="290"/>
      <c r="E2" s="290"/>
      <c r="F2" s="290"/>
      <c r="G2" s="290"/>
      <c r="H2" s="290"/>
    </row>
    <row r="4" spans="2:8" x14ac:dyDescent="0.3">
      <c r="B4" s="156" t="s">
        <v>26</v>
      </c>
      <c r="C4" s="157">
        <f>+'Flujo de Efectivo-Rentabilidad '!C10</f>
        <v>0.11</v>
      </c>
    </row>
    <row r="5" spans="2:8" x14ac:dyDescent="0.3">
      <c r="B5" s="37" t="s">
        <v>221</v>
      </c>
      <c r="C5" s="254">
        <f>+'Flujo de Efectivo-Rentabilidad '!C11</f>
        <v>0.05</v>
      </c>
    </row>
    <row r="6" spans="2:8" x14ac:dyDescent="0.3">
      <c r="B6" s="38" t="s">
        <v>129</v>
      </c>
      <c r="C6" s="254">
        <f>+'Flujo de Efectivo-Rentabilidad '!C12</f>
        <v>0.25</v>
      </c>
    </row>
    <row r="7" spans="2:8" x14ac:dyDescent="0.3">
      <c r="B7" s="6" t="s">
        <v>187</v>
      </c>
      <c r="C7" s="254">
        <f>+'Flujo de Efectivo-Rentabilidad '!C13</f>
        <v>0.35</v>
      </c>
    </row>
    <row r="10" spans="2:8" x14ac:dyDescent="0.3">
      <c r="B10" s="213"/>
      <c r="C10" s="94" t="s">
        <v>176</v>
      </c>
      <c r="D10" s="94" t="s">
        <v>177</v>
      </c>
      <c r="E10" s="94" t="s">
        <v>178</v>
      </c>
      <c r="F10" s="94" t="s">
        <v>179</v>
      </c>
      <c r="G10" s="94" t="s">
        <v>180</v>
      </c>
      <c r="H10" s="94" t="s">
        <v>181</v>
      </c>
    </row>
    <row r="11" spans="2:8" x14ac:dyDescent="0.3">
      <c r="B11" s="6" t="s">
        <v>182</v>
      </c>
      <c r="C11" s="155"/>
      <c r="D11" s="155">
        <f>+'Definición de Precio  '!E32</f>
        <v>1201200000</v>
      </c>
      <c r="E11" s="155">
        <f>+D11*(1+$C$6)</f>
        <v>1501500000</v>
      </c>
      <c r="F11" s="155">
        <f>+E11*(1+$C$6)</f>
        <v>1876875000</v>
      </c>
      <c r="G11" s="155">
        <f>+F11*(1+$C$6)</f>
        <v>2346093750</v>
      </c>
      <c r="H11" s="155">
        <f>+G11*(1+$C$6)</f>
        <v>2932617187.5</v>
      </c>
    </row>
    <row r="12" spans="2:8" x14ac:dyDescent="0.3">
      <c r="B12" s="6" t="s">
        <v>183</v>
      </c>
      <c r="C12" s="155"/>
      <c r="D12" s="155">
        <f>-Costos!E26</f>
        <v>-35520000</v>
      </c>
      <c r="E12" s="155">
        <f t="shared" ref="E12:H14" si="0">+D12*(1+$C$5)</f>
        <v>-37296000</v>
      </c>
      <c r="F12" s="155">
        <f t="shared" si="0"/>
        <v>-39160800</v>
      </c>
      <c r="G12" s="155">
        <f t="shared" si="0"/>
        <v>-41118840</v>
      </c>
      <c r="H12" s="155">
        <f t="shared" si="0"/>
        <v>-43174782</v>
      </c>
    </row>
    <row r="13" spans="2:8" x14ac:dyDescent="0.3">
      <c r="B13" s="6" t="s">
        <v>192</v>
      </c>
      <c r="C13" s="155"/>
      <c r="D13" s="155">
        <f>-Costos!E10+(Costos!D23*12)</f>
        <v>-59079378.211999997</v>
      </c>
      <c r="E13" s="155">
        <f t="shared" si="0"/>
        <v>-62033347.122599997</v>
      </c>
      <c r="F13" s="155">
        <f t="shared" si="0"/>
        <v>-65135014.478730001</v>
      </c>
      <c r="G13" s="155">
        <f t="shared" si="0"/>
        <v>-68391765.202666506</v>
      </c>
      <c r="H13" s="155">
        <f t="shared" si="0"/>
        <v>-71811353.462799832</v>
      </c>
    </row>
    <row r="14" spans="2:8" x14ac:dyDescent="0.3">
      <c r="B14" s="6" t="s">
        <v>184</v>
      </c>
      <c r="C14" s="155"/>
      <c r="D14" s="155">
        <f>-(Gastos!D9+Gastos!D23)</f>
        <v>-68200498.211999997</v>
      </c>
      <c r="E14" s="155">
        <f t="shared" si="0"/>
        <v>-71610523.122600004</v>
      </c>
      <c r="F14" s="155">
        <f t="shared" si="0"/>
        <v>-75191049.278730005</v>
      </c>
      <c r="G14" s="155">
        <f t="shared" si="0"/>
        <v>-78950601.742666513</v>
      </c>
      <c r="H14" s="155">
        <f t="shared" si="0"/>
        <v>-82898131.829799846</v>
      </c>
    </row>
    <row r="15" spans="2:8" ht="14.5" thickBot="1" x14ac:dyDescent="0.35">
      <c r="B15" s="214" t="s">
        <v>185</v>
      </c>
      <c r="C15" s="215"/>
      <c r="D15" s="215">
        <f>-('Flujo de Efectivo-Rentabilidad '!$F$6+'Flujo de Efectivo-Rentabilidad '!$F$8)</f>
        <v>-765000</v>
      </c>
      <c r="E15" s="215">
        <f>-('Flujo de Efectivo-Rentabilidad '!$F$6+'Flujo de Efectivo-Rentabilidad '!$F$8)</f>
        <v>-765000</v>
      </c>
      <c r="F15" s="215">
        <f>-('Flujo de Efectivo-Rentabilidad '!$F$6+'Flujo de Efectivo-Rentabilidad '!$F$8)</f>
        <v>-765000</v>
      </c>
      <c r="G15" s="215">
        <f>-('Flujo de Efectivo-Rentabilidad '!$F$6+'Flujo de Efectivo-Rentabilidad '!$F$8)</f>
        <v>-765000</v>
      </c>
      <c r="H15" s="215">
        <f>-('Flujo de Efectivo-Rentabilidad '!$F$6+'Flujo de Efectivo-Rentabilidad '!$F$8)</f>
        <v>-765000</v>
      </c>
    </row>
    <row r="16" spans="2:8" x14ac:dyDescent="0.3">
      <c r="B16" s="6" t="s">
        <v>186</v>
      </c>
      <c r="C16" s="155"/>
      <c r="D16" s="155">
        <f>SUM(D11:D15)</f>
        <v>1037635123.5760001</v>
      </c>
      <c r="E16" s="155">
        <f t="shared" ref="E16:H16" si="1">SUM(E11:E15)</f>
        <v>1329795129.7547998</v>
      </c>
      <c r="F16" s="155">
        <f t="shared" si="1"/>
        <v>1696623136.2425401</v>
      </c>
      <c r="G16" s="155">
        <f t="shared" si="1"/>
        <v>2156867543.054667</v>
      </c>
      <c r="H16" s="155">
        <f t="shared" si="1"/>
        <v>2733967920.2074003</v>
      </c>
    </row>
    <row r="17" spans="2:8" ht="14.5" thickBot="1" x14ac:dyDescent="0.35">
      <c r="B17" s="214" t="s">
        <v>187</v>
      </c>
      <c r="C17" s="215"/>
      <c r="D17" s="215">
        <f>-D16*$C$7</f>
        <v>-363172293.25160003</v>
      </c>
      <c r="E17" s="215">
        <f>-E16*$C$7</f>
        <v>-465428295.41417992</v>
      </c>
      <c r="F17" s="215">
        <f>-F16*$C$7</f>
        <v>-593818097.68488896</v>
      </c>
      <c r="G17" s="215">
        <f>-G16*$C$7</f>
        <v>-754903640.0691334</v>
      </c>
      <c r="H17" s="215">
        <f>-H16*$C$7</f>
        <v>-956888772.07258999</v>
      </c>
    </row>
    <row r="18" spans="2:8" x14ac:dyDescent="0.3">
      <c r="B18" s="6" t="s">
        <v>188</v>
      </c>
      <c r="C18" s="155"/>
      <c r="D18" s="155">
        <f>SUM(D16:D17)</f>
        <v>674462830.32440007</v>
      </c>
      <c r="E18" s="155">
        <f t="shared" ref="E18:H18" si="2">SUM(E16:E17)</f>
        <v>864366834.34061992</v>
      </c>
      <c r="F18" s="155">
        <f t="shared" si="2"/>
        <v>1102805038.557651</v>
      </c>
      <c r="G18" s="155">
        <f t="shared" si="2"/>
        <v>1401963902.9855337</v>
      </c>
      <c r="H18" s="155">
        <f t="shared" si="2"/>
        <v>1777079148.1348104</v>
      </c>
    </row>
    <row r="19" spans="2:8" x14ac:dyDescent="0.3">
      <c r="B19" s="6" t="s">
        <v>185</v>
      </c>
      <c r="C19" s="155"/>
      <c r="D19" s="155">
        <f>-D15</f>
        <v>765000</v>
      </c>
      <c r="E19" s="155">
        <f t="shared" ref="E19:H19" si="3">-E15</f>
        <v>765000</v>
      </c>
      <c r="F19" s="155">
        <f t="shared" si="3"/>
        <v>765000</v>
      </c>
      <c r="G19" s="155">
        <f t="shared" si="3"/>
        <v>765000</v>
      </c>
      <c r="H19" s="155">
        <f t="shared" si="3"/>
        <v>765000</v>
      </c>
    </row>
    <row r="20" spans="2:8" x14ac:dyDescent="0.3">
      <c r="B20" s="6" t="s">
        <v>219</v>
      </c>
      <c r="C20" s="155">
        <f>-('Inversión y Activos Fijos'!D12-'Inversión y Activos Fijos'!D7-'Inversión y Activos Fijos'!D10)</f>
        <v>-2500000</v>
      </c>
      <c r="D20" s="155"/>
      <c r="E20" s="155"/>
      <c r="F20" s="155"/>
      <c r="G20" s="155"/>
      <c r="H20" s="155"/>
    </row>
    <row r="21" spans="2:8" x14ac:dyDescent="0.3">
      <c r="B21" s="6" t="s">
        <v>220</v>
      </c>
      <c r="C21" s="155">
        <f>-('Inversión y Activos Fijos'!D7+'Inversión y Activos Fijos'!D10)</f>
        <v>-3000000</v>
      </c>
      <c r="D21" s="155"/>
      <c r="E21" s="155"/>
      <c r="F21" s="155"/>
      <c r="G21" s="155"/>
      <c r="H21" s="155"/>
    </row>
    <row r="22" spans="2:8" x14ac:dyDescent="0.3">
      <c r="B22" s="6" t="s">
        <v>189</v>
      </c>
      <c r="C22" s="155">
        <f>-'Inversión y Activos Fijos'!C12</f>
        <v>-24000000</v>
      </c>
      <c r="D22" s="155"/>
      <c r="E22" s="155"/>
      <c r="F22" s="155"/>
      <c r="G22" s="155"/>
      <c r="H22" s="155"/>
    </row>
    <row r="23" spans="2:8" x14ac:dyDescent="0.3">
      <c r="B23" s="97" t="s">
        <v>190</v>
      </c>
      <c r="C23" s="216">
        <f t="shared" ref="C23:H23" si="4">SUM(C18:C22)</f>
        <v>-29500000</v>
      </c>
      <c r="D23" s="216">
        <f t="shared" si="4"/>
        <v>675227830.32440007</v>
      </c>
      <c r="E23" s="216">
        <f t="shared" si="4"/>
        <v>865131834.34061992</v>
      </c>
      <c r="F23" s="216">
        <f t="shared" si="4"/>
        <v>1103570038.557651</v>
      </c>
      <c r="G23" s="216">
        <f t="shared" si="4"/>
        <v>1402728902.9855337</v>
      </c>
      <c r="H23" s="216">
        <f t="shared" si="4"/>
        <v>1777844148.1348104</v>
      </c>
    </row>
    <row r="26" spans="2:8" x14ac:dyDescent="0.3">
      <c r="B26" s="86" t="s">
        <v>61</v>
      </c>
      <c r="C26" s="160">
        <f>+NPV(C4,D23:H23)+C23</f>
        <v>4066979613.489099</v>
      </c>
      <c r="D26" s="212"/>
    </row>
    <row r="27" spans="2:8" x14ac:dyDescent="0.3">
      <c r="B27" s="86" t="s">
        <v>62</v>
      </c>
      <c r="C27" s="217">
        <f>+IRR(C23:H23)</f>
        <v>23.170002231411541</v>
      </c>
    </row>
    <row r="28" spans="2:8" x14ac:dyDescent="0.3">
      <c r="B28" s="86" t="s">
        <v>63</v>
      </c>
      <c r="C28" s="217">
        <f>+MIRR(C23:H23,C27,C4)</f>
        <v>1.9774243456876603</v>
      </c>
      <c r="D28" s="6" t="s">
        <v>191</v>
      </c>
    </row>
  </sheetData>
  <mergeCells count="1">
    <mergeCell ref="B2:H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4bd8d0-f1a7-426c-aa03-6813c15e4d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062B4F18E9E4EB614C2C6F6EAD8A8" ma:contentTypeVersion="9" ma:contentTypeDescription="Create a new document." ma:contentTypeScope="" ma:versionID="6477b7b7156a843bcffcfc5694850858">
  <xsd:schema xmlns:xsd="http://www.w3.org/2001/XMLSchema" xmlns:xs="http://www.w3.org/2001/XMLSchema" xmlns:p="http://schemas.microsoft.com/office/2006/metadata/properties" xmlns:ns3="204bd8d0-f1a7-426c-aa03-6813c15e4d62" xmlns:ns4="f26912f3-dc1f-4417-8295-36754b0bab60" targetNamespace="http://schemas.microsoft.com/office/2006/metadata/properties" ma:root="true" ma:fieldsID="caf4eae425fe62df5840cd4941b098e0" ns3:_="" ns4:_="">
    <xsd:import namespace="204bd8d0-f1a7-426c-aa03-6813c15e4d62"/>
    <xsd:import namespace="f26912f3-dc1f-4417-8295-36754b0bab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bd8d0-f1a7-426c-aa03-6813c15e4d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12f3-dc1f-4417-8295-36754b0ba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BE952-07F5-4A5D-B4AF-71D1E06459E1}">
  <ds:schemaRefs>
    <ds:schemaRef ds:uri="http://schemas.microsoft.com/office/2006/documentManagement/types"/>
    <ds:schemaRef ds:uri="f26912f3-dc1f-4417-8295-36754b0bab60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204bd8d0-f1a7-426c-aa03-6813c15e4d6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8745C4-20EB-4DF6-8251-402B5ACE1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4bd8d0-f1a7-426c-aa03-6813c15e4d62"/>
    <ds:schemaRef ds:uri="f26912f3-dc1f-4417-8295-36754b0ba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32E01-A5F9-416B-843B-4111BD2B9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Definición de Precio  </vt:lpstr>
      <vt:lpstr>Proyección de ventas</vt:lpstr>
      <vt:lpstr>Nómina</vt:lpstr>
      <vt:lpstr>Gastos</vt:lpstr>
      <vt:lpstr>Costos</vt:lpstr>
      <vt:lpstr>Inversión y Activos Fijos</vt:lpstr>
      <vt:lpstr>Flujo de Efectivo-Rentabilidad </vt:lpstr>
      <vt:lpstr>Flujo de caja</vt:lpstr>
      <vt:lpstr>Inflación</vt:lpstr>
      <vt:lpstr>Riesgo</vt:lpstr>
      <vt:lpstr>Punto de equilibrio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 Valentina Grajales Paez</dc:creator>
  <cp:lastModifiedBy>Jael Masciel Gutierrez Iriarte</cp:lastModifiedBy>
  <dcterms:created xsi:type="dcterms:W3CDTF">2024-06-29T22:02:01Z</dcterms:created>
  <dcterms:modified xsi:type="dcterms:W3CDTF">2025-07-30T20:56:21Z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0x010100968062B4F18E9E4EB614C2C6F6EAD8A8</vt:lpwstr>
  </property>
</Properties>
</file>