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edu.sharepoint.com/sites/TRABAJODEGRADO_unizil/Shared Documents/General/"/>
    </mc:Choice>
  </mc:AlternateContent>
  <xr:revisionPtr revIDLastSave="97" documentId="13_ncr:1_{25C85167-DB7B-4A94-BBC4-B032D9AD536B}" xr6:coauthVersionLast="47" xr6:coauthVersionMax="47" xr10:uidLastSave="{596C901F-A3CD-42F1-B3AA-649BAD77177B}"/>
  <bookViews>
    <workbookView xWindow="-108" yWindow="-108" windowWidth="23256" windowHeight="12456" activeTab="3" xr2:uid="{BD05DD1D-8C03-4F41-8393-A08206C5929B}"/>
  </bookViews>
  <sheets>
    <sheet name="DATOS BASE " sheetId="2" r:id="rId1"/>
    <sheet name="MODELO AL 100%" sheetId="1" r:id="rId2"/>
    <sheet name="GRAFICAS" sheetId="3" r:id="rId3"/>
    <sheet name="COSTEO AB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4" l="1"/>
  <c r="M10" i="4"/>
  <c r="L11" i="4"/>
  <c r="L10" i="4"/>
  <c r="J10" i="4"/>
  <c r="J11" i="4"/>
  <c r="L4" i="4"/>
  <c r="L3" i="4"/>
  <c r="J4" i="4"/>
  <c r="J3" i="4"/>
  <c r="F5" i="4"/>
  <c r="G5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F16" i="4"/>
  <c r="G16" i="4"/>
  <c r="F17" i="4"/>
  <c r="G17" i="4"/>
  <c r="F18" i="4"/>
  <c r="G18" i="4"/>
  <c r="F19" i="4"/>
  <c r="G19" i="4"/>
  <c r="G4" i="4"/>
  <c r="F4" i="4"/>
  <c r="A35" i="3" l="1"/>
  <c r="A27" i="3"/>
  <c r="A48" i="3"/>
  <c r="A20" i="3"/>
  <c r="A21" i="3"/>
  <c r="A22" i="3"/>
  <c r="A23" i="3"/>
  <c r="A28" i="3"/>
  <c r="A29" i="3"/>
  <c r="A30" i="3"/>
  <c r="A31" i="3"/>
  <c r="A36" i="3"/>
  <c r="A37" i="3"/>
  <c r="A38" i="3"/>
  <c r="A39" i="3"/>
  <c r="A40" i="3"/>
  <c r="A41" i="3"/>
  <c r="A42" i="3"/>
  <c r="A43" i="3"/>
  <c r="A44" i="3"/>
  <c r="A49" i="3"/>
  <c r="A50" i="3"/>
  <c r="A51" i="3"/>
  <c r="A52" i="3"/>
  <c r="A19" i="3"/>
  <c r="D21" i="3"/>
  <c r="D41" i="3"/>
  <c r="C51" i="3"/>
  <c r="D19" i="3"/>
  <c r="BA6" i="1"/>
  <c r="C20" i="3" s="1"/>
  <c r="BA7" i="1"/>
  <c r="C21" i="3" s="1"/>
  <c r="BB7" i="1"/>
  <c r="BC7" i="1"/>
  <c r="E21" i="3" s="1"/>
  <c r="BA8" i="1"/>
  <c r="C22" i="3" s="1"/>
  <c r="BB8" i="1"/>
  <c r="D22" i="3" s="1"/>
  <c r="BC8" i="1"/>
  <c r="E22" i="3" s="1"/>
  <c r="BA11" i="1"/>
  <c r="C28" i="3" s="1"/>
  <c r="BB11" i="1"/>
  <c r="D28" i="3" s="1"/>
  <c r="BC11" i="1"/>
  <c r="E28" i="3" s="1"/>
  <c r="BA12" i="1"/>
  <c r="C29" i="3" s="1"/>
  <c r="BA13" i="1"/>
  <c r="C30" i="3" s="1"/>
  <c r="BB17" i="1"/>
  <c r="D37" i="3" s="1"/>
  <c r="BC17" i="1"/>
  <c r="E37" i="3" s="1"/>
  <c r="BB18" i="1"/>
  <c r="D38" i="3" s="1"/>
  <c r="BC18" i="1"/>
  <c r="E38" i="3" s="1"/>
  <c r="BA19" i="1"/>
  <c r="C39" i="3" s="1"/>
  <c r="BC19" i="1"/>
  <c r="E39" i="3" s="1"/>
  <c r="BA20" i="1"/>
  <c r="C40" i="3" s="1"/>
  <c r="BC20" i="1"/>
  <c r="E40" i="3" s="1"/>
  <c r="BA21" i="1"/>
  <c r="C41" i="3" s="1"/>
  <c r="BB21" i="1"/>
  <c r="BA22" i="1"/>
  <c r="C42" i="3" s="1"/>
  <c r="BB22" i="1"/>
  <c r="D42" i="3" s="1"/>
  <c r="BA27" i="1"/>
  <c r="C50" i="3" s="1"/>
  <c r="BA28" i="1"/>
  <c r="BA29" i="1"/>
  <c r="C52" i="3" s="1"/>
  <c r="BB29" i="1"/>
  <c r="D52" i="3" s="1"/>
  <c r="BC29" i="1"/>
  <c r="E52" i="3" s="1"/>
  <c r="BA5" i="1"/>
  <c r="C19" i="3" s="1"/>
  <c r="BB5" i="1"/>
  <c r="BC5" i="1"/>
  <c r="E19" i="3" s="1"/>
  <c r="AZ11" i="1"/>
  <c r="B28" i="3" s="1"/>
  <c r="AZ17" i="1"/>
  <c r="B37" i="3" s="1"/>
  <c r="AZ18" i="1"/>
  <c r="B38" i="3" s="1"/>
  <c r="AZ19" i="1"/>
  <c r="B39" i="3" s="1"/>
  <c r="AZ20" i="1"/>
  <c r="B40" i="3" s="1"/>
  <c r="AZ21" i="1"/>
  <c r="B41" i="3" s="1"/>
  <c r="AZ22" i="1"/>
  <c r="B42" i="3" s="1"/>
  <c r="AZ24" i="1"/>
  <c r="B44" i="3" s="1"/>
  <c r="AZ29" i="1"/>
  <c r="B52" i="3" s="1"/>
  <c r="AZ5" i="1"/>
  <c r="B19" i="3" s="1"/>
  <c r="G33" i="2" l="1"/>
  <c r="AZ27" i="1" s="1"/>
  <c r="B50" i="3" s="1"/>
  <c r="AW46" i="1"/>
  <c r="AU46" i="1"/>
  <c r="AR46" i="1"/>
  <c r="AO46" i="1"/>
  <c r="AN46" i="1"/>
  <c r="AK46" i="1"/>
  <c r="AI46" i="1"/>
  <c r="AF46" i="1"/>
  <c r="AE46" i="1"/>
  <c r="AC46" i="1"/>
  <c r="AB46" i="1"/>
  <c r="Y46" i="1"/>
  <c r="W46" i="1"/>
  <c r="T46" i="1"/>
  <c r="S46" i="1"/>
  <c r="Q46" i="1"/>
  <c r="P46" i="1"/>
  <c r="M46" i="1"/>
  <c r="K46" i="1"/>
  <c r="H46" i="1"/>
  <c r="G46" i="1"/>
  <c r="F46" i="1"/>
  <c r="E46" i="1"/>
  <c r="D46" i="1"/>
  <c r="C46" i="1"/>
  <c r="AM28" i="1"/>
  <c r="BC28" i="1" s="1"/>
  <c r="E51" i="3" s="1"/>
  <c r="AX9" i="1"/>
  <c r="AW9" i="1"/>
  <c r="AV9" i="1"/>
  <c r="AU9" i="1"/>
  <c r="AT9" i="1"/>
  <c r="AS9" i="1"/>
  <c r="AR9" i="1"/>
  <c r="AQ9" i="1"/>
  <c r="AP9" i="1"/>
  <c r="AO9" i="1"/>
  <c r="AN9" i="1"/>
  <c r="AM9" i="1"/>
  <c r="AM6" i="1"/>
  <c r="BC6" i="1" s="1"/>
  <c r="E20" i="3" s="1"/>
  <c r="G32" i="2"/>
  <c r="AV26" i="1" s="1"/>
  <c r="AA6" i="1"/>
  <c r="BB6" i="1" s="1"/>
  <c r="D20" i="3" s="1"/>
  <c r="AA9" i="1"/>
  <c r="AB9" i="1"/>
  <c r="AC9" i="1"/>
  <c r="AD9" i="1"/>
  <c r="AE9" i="1"/>
  <c r="AF9" i="1"/>
  <c r="AG9" i="1"/>
  <c r="AH9" i="1"/>
  <c r="AI9" i="1"/>
  <c r="AJ9" i="1"/>
  <c r="AK9" i="1"/>
  <c r="AL9" i="1"/>
  <c r="AA28" i="1"/>
  <c r="BB28" i="1" s="1"/>
  <c r="D51" i="3" s="1"/>
  <c r="C28" i="1"/>
  <c r="AZ28" i="1" s="1"/>
  <c r="B51" i="3" s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D9" i="1"/>
  <c r="C9" i="1"/>
  <c r="G31" i="2"/>
  <c r="X24" i="1" s="1"/>
  <c r="G30" i="2"/>
  <c r="G50" i="2"/>
  <c r="G19" i="2"/>
  <c r="C20" i="2"/>
  <c r="C21" i="2" s="1"/>
  <c r="G5" i="2"/>
  <c r="C35" i="2" s="1"/>
  <c r="C45" i="2"/>
  <c r="C18" i="2" s="1"/>
  <c r="G41" i="2"/>
  <c r="G14" i="2"/>
  <c r="N12" i="1" s="1"/>
  <c r="G15" i="2"/>
  <c r="C13" i="1" s="1"/>
  <c r="G16" i="2"/>
  <c r="G14" i="1" s="1"/>
  <c r="G11" i="2"/>
  <c r="C7" i="1" s="1"/>
  <c r="AZ7" i="1" s="1"/>
  <c r="B21" i="3" s="1"/>
  <c r="G12" i="2"/>
  <c r="C8" i="1" s="1"/>
  <c r="AZ8" i="1" s="1"/>
  <c r="B22" i="3" s="1"/>
  <c r="G8" i="2"/>
  <c r="G7" i="2"/>
  <c r="G10" i="2"/>
  <c r="G6" i="2"/>
  <c r="G72" i="2" s="1"/>
  <c r="BC9" i="1" l="1"/>
  <c r="E23" i="3" s="1"/>
  <c r="G76" i="2"/>
  <c r="AS39" i="1" s="1"/>
  <c r="AS46" i="1" s="1"/>
  <c r="G73" i="2"/>
  <c r="AJ23" i="1"/>
  <c r="O23" i="1"/>
  <c r="L23" i="1"/>
  <c r="AA23" i="1"/>
  <c r="AG23" i="1"/>
  <c r="E24" i="3"/>
  <c r="H21" i="3" s="1"/>
  <c r="BA9" i="1"/>
  <c r="C23" i="3" s="1"/>
  <c r="C24" i="3" s="1"/>
  <c r="H19" i="3" s="1"/>
  <c r="BB9" i="1"/>
  <c r="D23" i="3" s="1"/>
  <c r="D24" i="3" s="1"/>
  <c r="H20" i="3" s="1"/>
  <c r="AZ9" i="1"/>
  <c r="B23" i="3" s="1"/>
  <c r="AQ24" i="1"/>
  <c r="G74" i="2"/>
  <c r="G75" i="2"/>
  <c r="AA27" i="1"/>
  <c r="BB27" i="1" s="1"/>
  <c r="D50" i="3" s="1"/>
  <c r="AM27" i="1"/>
  <c r="BC27" i="1" s="1"/>
  <c r="E50" i="3" s="1"/>
  <c r="AV24" i="1"/>
  <c r="AC26" i="1"/>
  <c r="AD24" i="1"/>
  <c r="AJ24" i="1"/>
  <c r="F26" i="1"/>
  <c r="U26" i="1"/>
  <c r="AM23" i="1"/>
  <c r="D26" i="1"/>
  <c r="V26" i="1"/>
  <c r="E26" i="1"/>
  <c r="AB26" i="1"/>
  <c r="AJ26" i="1"/>
  <c r="AD26" i="1"/>
  <c r="R23" i="1"/>
  <c r="N26" i="1"/>
  <c r="AK26" i="1"/>
  <c r="L26" i="1"/>
  <c r="M26" i="1"/>
  <c r="U23" i="1"/>
  <c r="T26" i="1"/>
  <c r="AL26" i="1"/>
  <c r="K26" i="1"/>
  <c r="S26" i="1"/>
  <c r="AA26" i="1"/>
  <c r="AI26" i="1"/>
  <c r="AP14" i="1"/>
  <c r="AX14" i="1"/>
  <c r="AO26" i="1"/>
  <c r="AW26" i="1"/>
  <c r="I23" i="1"/>
  <c r="AZ23" i="1" s="1"/>
  <c r="B43" i="3" s="1"/>
  <c r="AM12" i="1"/>
  <c r="AQ14" i="1"/>
  <c r="AP26" i="1"/>
  <c r="AX26" i="1"/>
  <c r="AX12" i="1"/>
  <c r="AR14" i="1"/>
  <c r="AQ26" i="1"/>
  <c r="AM13" i="1"/>
  <c r="AS14" i="1"/>
  <c r="AP23" i="1"/>
  <c r="AR26" i="1"/>
  <c r="AX13" i="1"/>
  <c r="AT14" i="1"/>
  <c r="AS23" i="1"/>
  <c r="AS26" i="1"/>
  <c r="AB14" i="1"/>
  <c r="G26" i="1"/>
  <c r="G30" i="1" s="1"/>
  <c r="W26" i="1"/>
  <c r="X23" i="1"/>
  <c r="H26" i="1"/>
  <c r="P26" i="1"/>
  <c r="X26" i="1"/>
  <c r="AF26" i="1"/>
  <c r="AM14" i="1"/>
  <c r="AU14" i="1"/>
  <c r="AV23" i="1"/>
  <c r="AT26" i="1"/>
  <c r="O26" i="1"/>
  <c r="AD23" i="1"/>
  <c r="I26" i="1"/>
  <c r="Q26" i="1"/>
  <c r="Y26" i="1"/>
  <c r="AG26" i="1"/>
  <c r="AN14" i="1"/>
  <c r="AV14" i="1"/>
  <c r="AM26" i="1"/>
  <c r="AU26" i="1"/>
  <c r="AE26" i="1"/>
  <c r="C26" i="1"/>
  <c r="J26" i="1"/>
  <c r="R26" i="1"/>
  <c r="Z26" i="1"/>
  <c r="AH26" i="1"/>
  <c r="AO14" i="1"/>
  <c r="AW14" i="1"/>
  <c r="AN26" i="1"/>
  <c r="AJ14" i="1"/>
  <c r="AG14" i="1"/>
  <c r="AK14" i="1"/>
  <c r="G18" i="2"/>
  <c r="G17" i="2" s="1"/>
  <c r="AC14" i="1"/>
  <c r="AE14" i="1"/>
  <c r="AA12" i="1"/>
  <c r="AF14" i="1"/>
  <c r="AL12" i="1"/>
  <c r="AL14" i="1"/>
  <c r="AD14" i="1"/>
  <c r="AI14" i="1"/>
  <c r="AA14" i="1"/>
  <c r="AA13" i="1"/>
  <c r="AH14" i="1"/>
  <c r="AL13" i="1"/>
  <c r="R14" i="1"/>
  <c r="F14" i="1"/>
  <c r="Q14" i="1"/>
  <c r="E14" i="1"/>
  <c r="C12" i="1"/>
  <c r="AZ12" i="1" s="1"/>
  <c r="B29" i="3" s="1"/>
  <c r="P14" i="1"/>
  <c r="D14" i="1"/>
  <c r="R24" i="1"/>
  <c r="BA24" i="1" s="1"/>
  <c r="C44" i="3" s="1"/>
  <c r="C14" i="1"/>
  <c r="O14" i="1"/>
  <c r="Z14" i="1"/>
  <c r="N14" i="1"/>
  <c r="N13" i="1"/>
  <c r="AZ13" i="1" s="1"/>
  <c r="B30" i="3" s="1"/>
  <c r="Y14" i="1"/>
  <c r="M14" i="1"/>
  <c r="X14" i="1"/>
  <c r="L14" i="1"/>
  <c r="W14" i="1"/>
  <c r="K14" i="1"/>
  <c r="V14" i="1"/>
  <c r="J14" i="1"/>
  <c r="U14" i="1"/>
  <c r="I14" i="1"/>
  <c r="T14" i="1"/>
  <c r="H14" i="1"/>
  <c r="S14" i="1"/>
  <c r="G40" i="2"/>
  <c r="G42" i="2" s="1"/>
  <c r="G46" i="2" s="1"/>
  <c r="G9" i="2"/>
  <c r="F30" i="1" l="1"/>
  <c r="AM39" i="1"/>
  <c r="AM46" i="1" s="1"/>
  <c r="BB23" i="1"/>
  <c r="D43" i="3" s="1"/>
  <c r="BB12" i="1"/>
  <c r="D29" i="3" s="1"/>
  <c r="BC24" i="1"/>
  <c r="E44" i="3" s="1"/>
  <c r="BB24" i="1"/>
  <c r="D44" i="3" s="1"/>
  <c r="BB13" i="1"/>
  <c r="D30" i="3" s="1"/>
  <c r="BC26" i="1"/>
  <c r="E49" i="3" s="1"/>
  <c r="E53" i="3" s="1"/>
  <c r="K21" i="3" s="1"/>
  <c r="BA26" i="1"/>
  <c r="C49" i="3" s="1"/>
  <c r="C53" i="3" s="1"/>
  <c r="K19" i="3" s="1"/>
  <c r="BB26" i="1"/>
  <c r="D49" i="3" s="1"/>
  <c r="D53" i="3" s="1"/>
  <c r="K20" i="3" s="1"/>
  <c r="BC12" i="1"/>
  <c r="E29" i="3" s="1"/>
  <c r="BC23" i="1"/>
  <c r="E43" i="3" s="1"/>
  <c r="BC14" i="1"/>
  <c r="E31" i="3" s="1"/>
  <c r="BC13" i="1"/>
  <c r="E30" i="3" s="1"/>
  <c r="BA23" i="1"/>
  <c r="C43" i="3" s="1"/>
  <c r="BB14" i="1"/>
  <c r="D31" i="3" s="1"/>
  <c r="BA14" i="1"/>
  <c r="C31" i="3" s="1"/>
  <c r="C32" i="3" s="1"/>
  <c r="I19" i="3" s="1"/>
  <c r="AZ14" i="1"/>
  <c r="B31" i="3" s="1"/>
  <c r="B32" i="3" s="1"/>
  <c r="I18" i="3" s="1"/>
  <c r="AZ26" i="1"/>
  <c r="B49" i="3" s="1"/>
  <c r="B53" i="3" s="1"/>
  <c r="K18" i="3" s="1"/>
  <c r="AD38" i="1"/>
  <c r="AA38" i="1"/>
  <c r="AA46" i="1" s="1"/>
  <c r="AG38" i="1"/>
  <c r="AG46" i="1" s="1"/>
  <c r="AJ38" i="1"/>
  <c r="X37" i="1"/>
  <c r="O37" i="1"/>
  <c r="O46" i="1" s="1"/>
  <c r="L36" i="1"/>
  <c r="L46" i="1" s="1"/>
  <c r="I36" i="1"/>
  <c r="I46" i="1" s="1"/>
  <c r="H30" i="1"/>
  <c r="AW30" i="1"/>
  <c r="AH46" i="1"/>
  <c r="AC30" i="1"/>
  <c r="AL46" i="1"/>
  <c r="AS30" i="1"/>
  <c r="AB30" i="1"/>
  <c r="E30" i="1"/>
  <c r="AN30" i="1"/>
  <c r="AV39" i="1"/>
  <c r="AX46" i="1"/>
  <c r="AP39" i="1"/>
  <c r="AP46" i="1" s="1"/>
  <c r="AT30" i="1"/>
  <c r="I30" i="1"/>
  <c r="AR30" i="1"/>
  <c r="AP30" i="1"/>
  <c r="D30" i="1"/>
  <c r="AX30" i="1"/>
  <c r="AM30" i="1"/>
  <c r="AO30" i="1"/>
  <c r="AK30" i="1"/>
  <c r="AH30" i="1"/>
  <c r="J30" i="1"/>
  <c r="AF30" i="1"/>
  <c r="AE30" i="1"/>
  <c r="AG30" i="1"/>
  <c r="AI16" i="1"/>
  <c r="AU16" i="1"/>
  <c r="N46" i="1"/>
  <c r="J46" i="1"/>
  <c r="U37" i="1"/>
  <c r="R37" i="1"/>
  <c r="Z46" i="1"/>
  <c r="K16" i="1"/>
  <c r="AZ16" i="1" s="1"/>
  <c r="B36" i="3" s="1"/>
  <c r="B45" i="3" s="1"/>
  <c r="J18" i="3" s="1"/>
  <c r="AA30" i="1"/>
  <c r="W16" i="1"/>
  <c r="BA16" i="1" s="1"/>
  <c r="C36" i="3" s="1"/>
  <c r="AL30" i="1"/>
  <c r="C6" i="1"/>
  <c r="G20" i="2"/>
  <c r="G24" i="2" s="1"/>
  <c r="R17" i="1" s="1"/>
  <c r="BA17" i="1" s="1"/>
  <c r="C37" i="3" s="1"/>
  <c r="G43" i="2"/>
  <c r="G55" i="2"/>
  <c r="D32" i="3" l="1"/>
  <c r="I20" i="3" s="1"/>
  <c r="E32" i="3"/>
  <c r="I21" i="3" s="1"/>
  <c r="C30" i="1"/>
  <c r="C50" i="1" s="1"/>
  <c r="D50" i="1" s="1"/>
  <c r="E50" i="1" s="1"/>
  <c r="F50" i="1" s="1"/>
  <c r="G50" i="1" s="1"/>
  <c r="H50" i="1" s="1"/>
  <c r="I50" i="1" s="1"/>
  <c r="J50" i="1" s="1"/>
  <c r="AZ6" i="1"/>
  <c r="B20" i="3" s="1"/>
  <c r="B24" i="3" s="1"/>
  <c r="H18" i="3" s="1"/>
  <c r="L18" i="3" s="1"/>
  <c r="AU30" i="1"/>
  <c r="BC16" i="1"/>
  <c r="E36" i="3" s="1"/>
  <c r="AI30" i="1"/>
  <c r="BB16" i="1"/>
  <c r="D36" i="3" s="1"/>
  <c r="AT46" i="1"/>
  <c r="AV46" i="1"/>
  <c r="V46" i="1"/>
  <c r="U46" i="1"/>
  <c r="G61" i="2"/>
  <c r="R40" i="1" s="1"/>
  <c r="R46" i="1" s="1"/>
  <c r="G21" i="2"/>
  <c r="G44" i="2"/>
  <c r="G47" i="2"/>
  <c r="N30" i="1"/>
  <c r="V30" i="1"/>
  <c r="M30" i="1"/>
  <c r="O30" i="1"/>
  <c r="W30" i="1"/>
  <c r="P30" i="1"/>
  <c r="U30" i="1"/>
  <c r="Q30" i="1"/>
  <c r="Y30" i="1"/>
  <c r="R30" i="1"/>
  <c r="Z30" i="1"/>
  <c r="S30" i="1"/>
  <c r="K30" i="1"/>
  <c r="L30" i="1"/>
  <c r="T30" i="1"/>
  <c r="G56" i="2"/>
  <c r="G62" i="2" s="1"/>
  <c r="K50" i="1" l="1"/>
  <c r="L50" i="1" s="1"/>
  <c r="M50" i="1" s="1"/>
  <c r="N50" i="1" s="1"/>
  <c r="G25" i="2"/>
  <c r="G22" i="2"/>
  <c r="G23" i="2" s="1"/>
  <c r="G57" i="2"/>
  <c r="G45" i="2"/>
  <c r="G49" i="2" s="1"/>
  <c r="G48" i="2"/>
  <c r="G58" i="2" l="1"/>
  <c r="G63" i="2"/>
  <c r="AD42" i="1" s="1"/>
  <c r="AD46" i="1" s="1"/>
  <c r="C3" i="3"/>
  <c r="O50" i="1"/>
  <c r="P50" i="1" s="1"/>
  <c r="Q50" i="1" s="1"/>
  <c r="R50" i="1" s="1"/>
  <c r="S50" i="1" s="1"/>
  <c r="T50" i="1" s="1"/>
  <c r="U50" i="1" s="1"/>
  <c r="V50" i="1" s="1"/>
  <c r="W50" i="1" s="1"/>
  <c r="X41" i="1"/>
  <c r="X46" i="1" s="1"/>
  <c r="G26" i="2"/>
  <c r="X18" i="1"/>
  <c r="D3" i="3" l="1"/>
  <c r="X30" i="1"/>
  <c r="BA18" i="1"/>
  <c r="C38" i="3" s="1"/>
  <c r="C45" i="3" s="1"/>
  <c r="J19" i="3" s="1"/>
  <c r="L19" i="3" s="1"/>
  <c r="G59" i="2"/>
  <c r="G64" i="2"/>
  <c r="X50" i="1"/>
  <c r="G27" i="2"/>
  <c r="AD19" i="1"/>
  <c r="AD30" i="1" l="1"/>
  <c r="BB19" i="1"/>
  <c r="D39" i="3" s="1"/>
  <c r="G60" i="2"/>
  <c r="G66" i="2" s="1"/>
  <c r="G65" i="2"/>
  <c r="Y50" i="1"/>
  <c r="Z50" i="1" s="1"/>
  <c r="AJ20" i="1"/>
  <c r="G28" i="2"/>
  <c r="AJ43" i="1"/>
  <c r="AJ46" i="1" s="1"/>
  <c r="AJ30" i="1" l="1"/>
  <c r="BB20" i="1"/>
  <c r="D40" i="3" s="1"/>
  <c r="D45" i="3" s="1"/>
  <c r="J20" i="3" s="1"/>
  <c r="L20" i="3" s="1"/>
  <c r="G67" i="2"/>
  <c r="AA50" i="1"/>
  <c r="AB50" i="1" s="1"/>
  <c r="AC50" i="1" s="1"/>
  <c r="AD50" i="1" s="1"/>
  <c r="AE50" i="1" s="1"/>
  <c r="AF50" i="1" s="1"/>
  <c r="AG50" i="1" s="1"/>
  <c r="AH50" i="1" s="1"/>
  <c r="AI50" i="1" s="1"/>
  <c r="AJ50" i="1" s="1"/>
  <c r="AK50" i="1" s="1"/>
  <c r="AL50" i="1" s="1"/>
  <c r="C4" i="3"/>
  <c r="G29" i="2"/>
  <c r="AV22" i="1" s="1"/>
  <c r="AQ21" i="1"/>
  <c r="AQ44" i="1"/>
  <c r="AQ46" i="1" s="1"/>
  <c r="AV45" i="1"/>
  <c r="D4" i="3" l="1"/>
  <c r="AV30" i="1"/>
  <c r="BC22" i="1"/>
  <c r="E42" i="3" s="1"/>
  <c r="AQ30" i="1"/>
  <c r="BC21" i="1"/>
  <c r="E41" i="3" s="1"/>
  <c r="E45" i="3" s="1"/>
  <c r="J21" i="3" s="1"/>
  <c r="L21" i="3" s="1"/>
  <c r="AM50" i="1"/>
  <c r="AN50" i="1" s="1"/>
  <c r="AO50" i="1" s="1"/>
  <c r="AP50" i="1" s="1"/>
  <c r="AQ50" i="1" s="1"/>
  <c r="AR50" i="1" s="1"/>
  <c r="AS50" i="1" s="1"/>
  <c r="AT50" i="1" s="1"/>
  <c r="AU50" i="1" s="1"/>
  <c r="AV50" i="1" s="1"/>
  <c r="AW50" i="1" s="1"/>
  <c r="AX50" i="1" s="1"/>
  <c r="C5" i="3"/>
  <c r="D5" i="3" s="1"/>
  <c r="AY50" i="1" l="1"/>
  <c r="AY51" i="1" s="1"/>
  <c r="C6" i="3"/>
  <c r="C8" i="3" s="1"/>
  <c r="D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Sarmiento</author>
  </authors>
  <commentList>
    <comment ref="B13" authorId="0" shapeId="0" xr:uid="{404630AC-D889-45BC-877A-BA19CE122EEB}">
      <text>
        <r>
          <rPr>
            <b/>
            <sz val="9"/>
            <color indexed="81"/>
            <rFont val="Tahoma"/>
            <family val="2"/>
          </rPr>
          <t>David Sarmiento:</t>
        </r>
        <r>
          <rPr>
            <sz val="9"/>
            <color indexed="81"/>
            <rFont val="Tahoma"/>
            <family val="2"/>
          </rPr>
          <t xml:space="preserve">
INGRESAR EL COSTO DE LA GASOLINA DE LA BOMBA MENSUAL VALIDAR VALOR 
</t>
        </r>
      </text>
    </comment>
    <comment ref="B27" authorId="0" shapeId="0" xr:uid="{CF30B883-8631-46FC-B5B2-47DEBDF22F05}">
      <text>
        <r>
          <rPr>
            <b/>
            <sz val="9"/>
            <color indexed="81"/>
            <rFont val="Tahoma"/>
            <family val="2"/>
          </rPr>
          <t>David Sarmiento:</t>
        </r>
        <r>
          <rPr>
            <sz val="9"/>
            <color indexed="81"/>
            <rFont val="Tahoma"/>
            <family val="2"/>
          </rPr>
          <t xml:space="preserve">
VALIDAR PERMISOS QUE SE REQUIERN Y COSTOS 
</t>
        </r>
      </text>
    </comment>
    <comment ref="F36" authorId="0" shapeId="0" xr:uid="{6447C1C0-C95D-439F-88A1-FC31EB07B4B5}">
      <text>
        <r>
          <rPr>
            <b/>
            <sz val="9"/>
            <color indexed="81"/>
            <rFont val="Tahoma"/>
            <family val="2"/>
          </rPr>
          <t>David Sarmiento:</t>
        </r>
        <r>
          <rPr>
            <sz val="9"/>
            <color indexed="81"/>
            <rFont val="Tahoma"/>
            <family val="2"/>
          </rPr>
          <t xml:space="preserve">
VALIDAR PERMISOS QUE SE REQUIERN Y COSTOS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Sarmiento</author>
  </authors>
  <commentList>
    <comment ref="B12" authorId="0" shapeId="0" xr:uid="{BD970746-534F-44D5-8C91-40A3F46278F9}">
      <text>
        <r>
          <rPr>
            <b/>
            <sz val="9"/>
            <color indexed="81"/>
            <rFont val="Tahoma"/>
            <family val="2"/>
          </rPr>
          <t>David Sarmiento:</t>
        </r>
        <r>
          <rPr>
            <sz val="9"/>
            <color indexed="81"/>
            <rFont val="Tahoma"/>
            <family val="2"/>
          </rPr>
          <t xml:space="preserve">
INGRESAR EL COSTO DE LA GASOLINA DE LA BOMBA MENSUAL VALIDAR VALOR 
</t>
        </r>
      </text>
    </comment>
    <comment ref="B29" authorId="0" shapeId="0" xr:uid="{5EEC04C3-FEE5-48AD-BB37-E3EA36942E0E}">
      <text>
        <r>
          <rPr>
            <b/>
            <sz val="9"/>
            <color indexed="81"/>
            <rFont val="Tahoma"/>
            <family val="2"/>
          </rPr>
          <t>David Sarmiento:</t>
        </r>
        <r>
          <rPr>
            <sz val="9"/>
            <color indexed="81"/>
            <rFont val="Tahoma"/>
            <family val="2"/>
          </rPr>
          <t xml:space="preserve">
VALIDAR PERMISOS QUE SE REQUIERN Y COSTOS 
</t>
        </r>
      </text>
    </comment>
  </commentList>
</comments>
</file>

<file path=xl/sharedStrings.xml><?xml version="1.0" encoding="utf-8"?>
<sst xmlns="http://schemas.openxmlformats.org/spreadsheetml/2006/main" count="438" uniqueCount="199">
  <si>
    <t>GASTO</t>
  </si>
  <si>
    <t xml:space="preserve">INSTALACIONES </t>
  </si>
  <si>
    <t xml:space="preserve">PRODUCCION </t>
  </si>
  <si>
    <t xml:space="preserve">PREPARACION DE TERRENO </t>
  </si>
  <si>
    <t>PLANTULAS</t>
  </si>
  <si>
    <t xml:space="preserve">MANO DE OBRA </t>
  </si>
  <si>
    <t xml:space="preserve">SISTEMA DE RIEGO POR GOTEO </t>
  </si>
  <si>
    <t xml:space="preserve">HERRAMIENTAS Y EQUIPOS </t>
  </si>
  <si>
    <t>LOGISTICA</t>
  </si>
  <si>
    <t xml:space="preserve">EMBALAJE </t>
  </si>
  <si>
    <t xml:space="preserve">ADMINISTRATIVOS </t>
  </si>
  <si>
    <t xml:space="preserve">SALARIOS Y BENEFICIOS </t>
  </si>
  <si>
    <t xml:space="preserve">IMPREVISTOS </t>
  </si>
  <si>
    <t xml:space="preserve">SERVICIO CONTABLES </t>
  </si>
  <si>
    <t xml:space="preserve">PERMISOS Y LICENCIAS </t>
  </si>
  <si>
    <t xml:space="preserve">MES 1 </t>
  </si>
  <si>
    <t>PERIODO</t>
  </si>
  <si>
    <t>MES 2</t>
  </si>
  <si>
    <t>MES 3</t>
  </si>
  <si>
    <t>MES 4</t>
  </si>
  <si>
    <t>MES 5</t>
  </si>
  <si>
    <t xml:space="preserve">MANEJO DE PLAGAS Y ENFERMEDADES </t>
  </si>
  <si>
    <t>MANTENIMIENTO DE RIEGO POR GOTEO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</si>
  <si>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</si>
  <si>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</si>
  <si>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</si>
  <si>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</si>
  <si>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</si>
  <si>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</si>
  <si>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</si>
  <si>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</si>
  <si>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</si>
  <si>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</si>
  <si>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</si>
  <si>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</si>
  <si>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</si>
  <si>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</si>
  <si>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</si>
  <si>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</si>
  <si>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</si>
  <si>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</si>
  <si>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</si>
  <si>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SERVICIOS PUBLICOS</t>
  </si>
  <si>
    <t xml:space="preserve">TOTAL DE GASTO MENSUAL </t>
  </si>
  <si>
    <t xml:space="preserve">CANTIDAD DE PIÑAS </t>
  </si>
  <si>
    <t xml:space="preserve">CANTIDAD DE MARACUYA </t>
  </si>
  <si>
    <t xml:space="preserve">VALOR TOTAL DE PLANTULAS </t>
  </si>
  <si>
    <t xml:space="preserve">AREA DE TRABAJO </t>
  </si>
  <si>
    <t>M2</t>
  </si>
  <si>
    <t xml:space="preserve">VALOR DE PLANTULAS PIÑA </t>
  </si>
  <si>
    <t xml:space="preserve">VALOR DE PLANTULAS MARACUYA </t>
  </si>
  <si>
    <t>UND</t>
  </si>
  <si>
    <t>PESOS</t>
  </si>
  <si>
    <t xml:space="preserve">DATOS INICIALES </t>
  </si>
  <si>
    <t xml:space="preserve">PREPARACION DE TERRERNO </t>
  </si>
  <si>
    <t>SISTEMA DE TUTORIA (ENREDADERA)</t>
  </si>
  <si>
    <t>COP</t>
  </si>
  <si>
    <t>CANTIDAD</t>
  </si>
  <si>
    <t>UNIDAD</t>
  </si>
  <si>
    <t>UNIDADES</t>
  </si>
  <si>
    <t>FRUTOS</t>
  </si>
  <si>
    <t>KG</t>
  </si>
  <si>
    <t xml:space="preserve">PRODUCCION MARACUYA </t>
  </si>
  <si>
    <t xml:space="preserve">PRODUCCION PIÑA </t>
  </si>
  <si>
    <t>CONCEPTO</t>
  </si>
  <si>
    <t>PLANTAS DE PIÑA</t>
  </si>
  <si>
    <t>PESO APROXIMADO POR FRUTO</t>
  </si>
  <si>
    <t>TOTAL FRUTOS PRIMERA COSECHA</t>
  </si>
  <si>
    <t>TOTAL FRUTOS SEGUNDA COSECHA</t>
  </si>
  <si>
    <t>VALOR TOTAL DE LAS DOS COSECHAS</t>
  </si>
  <si>
    <t>NUMERO DE TALLOS GERMINADOS DE TALLO MADRE</t>
  </si>
  <si>
    <t>FERTILIZANTE Y NUTRIENTES</t>
  </si>
  <si>
    <t>PLANTAS DE MARACUYÁ</t>
  </si>
  <si>
    <t>COP/KG</t>
  </si>
  <si>
    <t xml:space="preserve">PRODUCCION MARACUYA  </t>
  </si>
  <si>
    <t>COMPRA DE CANASTILLAS PARA MARACUYA</t>
  </si>
  <si>
    <t xml:space="preserve">CANTIDAD REQUERIDA </t>
  </si>
  <si>
    <t xml:space="preserve">PESOS </t>
  </si>
  <si>
    <t xml:space="preserve">CANTIDAD REQUERIDA DE CANASTILLAS </t>
  </si>
  <si>
    <t>COMPRA DE GUACALES PARA PIÑA</t>
  </si>
  <si>
    <t xml:space="preserve">CANTIDAD REQUERIDA DE GUACALES PRIMERA COSECHA </t>
  </si>
  <si>
    <t xml:space="preserve">CANTIDAD REQUERIDA DE GUACALES SEGUNDA COSECHA </t>
  </si>
  <si>
    <t xml:space="preserve">TRANSPORTE MARACUYA A CORABASTOS </t>
  </si>
  <si>
    <t xml:space="preserve">TRANSPORTE PIÑA A CORABASTOS </t>
  </si>
  <si>
    <t xml:space="preserve">PESO APROXIMADO PRIMERA COSECHA </t>
  </si>
  <si>
    <t xml:space="preserve">PESO APROXIMADO SEGUNDO COSECHA </t>
  </si>
  <si>
    <t xml:space="preserve">COMPRA DE GUACALES PARA PIÑA PRIMERA COSECHA </t>
  </si>
  <si>
    <t xml:space="preserve">COMPRA DE GUACALES PARA PIÑA SEGUNDA COSECHA </t>
  </si>
  <si>
    <t>KILOGRAMO POR PLANTA PRIMER AÑO MES 8 AL 12</t>
  </si>
  <si>
    <t>KILOGRAMO POR PLANTA SEGUNDO AÑO MES 13 AL 24</t>
  </si>
  <si>
    <t>KILOGRAMO POR PLANTA TERCER AÑO MES 25 AL 36</t>
  </si>
  <si>
    <t>PRODUCCION MARACUYA MENSUAL DEL MES 8 AL 12</t>
  </si>
  <si>
    <t>PRODUCCION MARACUYA MENSUAL DEL MES 13 AL 24</t>
  </si>
  <si>
    <t>MES 25</t>
  </si>
  <si>
    <t>MES 26</t>
  </si>
  <si>
    <t>MES 27</t>
  </si>
  <si>
    <t>MES 28</t>
  </si>
  <si>
    <t>MES 29</t>
  </si>
  <si>
    <t>MES 30</t>
  </si>
  <si>
    <t>MES 31</t>
  </si>
  <si>
    <t>MES 32</t>
  </si>
  <si>
    <t>MES 33</t>
  </si>
  <si>
    <t>MES 34</t>
  </si>
  <si>
    <t>MES 35</t>
  </si>
  <si>
    <t>MES 36</t>
  </si>
  <si>
    <t xml:space="preserve">PESO APROXIMADO TERCERA COSECHA </t>
  </si>
  <si>
    <t>PRODUCCIÓN PRIMERA COSECHA MES 16</t>
  </si>
  <si>
    <t>PRODUCCIÓN SEGUNDA COSECHA MES 22</t>
  </si>
  <si>
    <t>PRODUCCIÓN TERCERA COSECHA MES 28</t>
  </si>
  <si>
    <t>PRODUCCIÓN CUARTA COSECHA MES 34</t>
  </si>
  <si>
    <t xml:space="preserve">PESO APROXIMADO CUARTA COSECHA </t>
  </si>
  <si>
    <t>TOTAL FRUTOS TERCERA COSECHA</t>
  </si>
  <si>
    <t>TOTAL FRUTOS CUARTA COSECHA</t>
  </si>
  <si>
    <t xml:space="preserve">COMPRA DE GUACALES PARA PIÑA TERCER COSECHA </t>
  </si>
  <si>
    <t xml:space="preserve">COMPRA DE GUACALES PARA PIÑA CUARTA COSECHA </t>
  </si>
  <si>
    <t xml:space="preserve">CANTIDAD REQUERIDA DE GUACALES TERCERA COSECHA </t>
  </si>
  <si>
    <t xml:space="preserve">CANTIDAD REQUERIDA DE GUACALES CUARTA COSECHA </t>
  </si>
  <si>
    <t>INGRESOS</t>
  </si>
  <si>
    <t xml:space="preserve">PRODUCCION PRIMERA COSECHA DE PIÑA </t>
  </si>
  <si>
    <t xml:space="preserve">PRODUCCION SEGUNDA COSECHA DE PIÑA </t>
  </si>
  <si>
    <t xml:space="preserve">PRODUCCION TERCERA COSECHA DE PIÑA </t>
  </si>
  <si>
    <t xml:space="preserve">PRODUCCION CUARTA COSECHA DE PIÑA </t>
  </si>
  <si>
    <t>TOTAL DE INGRESO MENSUAL</t>
  </si>
  <si>
    <t>PRECIO PROMEDIO POR KG 2026</t>
  </si>
  <si>
    <t>PRECIO PROMEDIO POR KG 2027</t>
  </si>
  <si>
    <t>PRECIO PROMEDIO POR KG 2028</t>
  </si>
  <si>
    <t>MES 37</t>
  </si>
  <si>
    <t>MES 38</t>
  </si>
  <si>
    <t>MES 39</t>
  </si>
  <si>
    <t>MES 40</t>
  </si>
  <si>
    <t>MES 41</t>
  </si>
  <si>
    <t>MES 42</t>
  </si>
  <si>
    <t>MES 43</t>
  </si>
  <si>
    <t>MES 44</t>
  </si>
  <si>
    <t>MES 45</t>
  </si>
  <si>
    <t>MES 46</t>
  </si>
  <si>
    <t>MES 47</t>
  </si>
  <si>
    <t>MES 48</t>
  </si>
  <si>
    <t>PRODUCCION MARACUYA MENSUAL DEL MES 25 AL 36</t>
  </si>
  <si>
    <t>PRODUCCION MARACUYA MENSUAL DEL MES 37 AL 48</t>
  </si>
  <si>
    <t>KILOGRAMO POR PLANTA TERCER AÑO MES 25 AL 37</t>
  </si>
  <si>
    <t xml:space="preserve">PRODUCCION QUINTA COSECHA DE PIÑA </t>
  </si>
  <si>
    <t xml:space="preserve">PRODUCCION SEXTA COSECHA DE PIÑA </t>
  </si>
  <si>
    <t xml:space="preserve">COMPRA DE GUACALES PARA PIÑA QUINTA COSECHA </t>
  </si>
  <si>
    <t xml:space="preserve">COMPRA DE GUACALES PARA PIÑA SEXTA COSECHA </t>
  </si>
  <si>
    <t>FLUJO DE CAJA</t>
  </si>
  <si>
    <t>CAJA</t>
  </si>
  <si>
    <t>PRECIO PROMEDIO POR KG 2029</t>
  </si>
  <si>
    <t>PRECIO POR KILO AÑO 2026</t>
  </si>
  <si>
    <t>PRECIO POR KILO AÑO 2027</t>
  </si>
  <si>
    <t>PRECIO POR KILO AÑO 2028</t>
  </si>
  <si>
    <t>PRECIO POR KILO AÑO 2029</t>
  </si>
  <si>
    <t>TOTAL FRUTOS QUINTA COSECHA</t>
  </si>
  <si>
    <t>TOTAL FRUTOS SEXTA COSECHA</t>
  </si>
  <si>
    <t>DATOS TRABAJO  100%</t>
  </si>
  <si>
    <t>AÑO</t>
  </si>
  <si>
    <t>TIR</t>
  </si>
  <si>
    <t>TIO</t>
  </si>
  <si>
    <t>FLUJO NETO ANUAL (COP)</t>
  </si>
  <si>
    <t>FLUJO ACUMULADO (COP)</t>
  </si>
  <si>
    <t>ITEM</t>
  </si>
  <si>
    <t xml:space="preserve">TOTAL </t>
  </si>
  <si>
    <t>TOTAL</t>
  </si>
  <si>
    <t xml:space="preserve">LOGISTICA </t>
  </si>
  <si>
    <t>Categoría</t>
  </si>
  <si>
    <t>Actividad</t>
  </si>
  <si>
    <t>Costo (COP)</t>
  </si>
  <si>
    <t>Asignación</t>
  </si>
  <si>
    <t>Maracuyá</t>
  </si>
  <si>
    <t>Piña</t>
  </si>
  <si>
    <t>Producción</t>
  </si>
  <si>
    <t>Preparación de terreno</t>
  </si>
  <si>
    <t>Plantulas</t>
  </si>
  <si>
    <t>Fertilizantes y nutrientes</t>
  </si>
  <si>
    <t>Manejo de plagas y enfermedades</t>
  </si>
  <si>
    <t>Mano de obra</t>
  </si>
  <si>
    <t>Instalaciones</t>
  </si>
  <si>
    <t>Herramientas y equipos</t>
  </si>
  <si>
    <t>Sistema de tutoría (enredadera)</t>
  </si>
  <si>
    <t>Mantenimiento de riego por goteo</t>
  </si>
  <si>
    <t>Logística</t>
  </si>
  <si>
    <t>Compra de canastillas maracuyá</t>
  </si>
  <si>
    <t>Compra de guacales piña (todas cosechas)</t>
  </si>
  <si>
    <t>Transporte piña a Corabastos</t>
  </si>
  <si>
    <t>Transporte maracuyá a Corabastos</t>
  </si>
  <si>
    <t>Administrativos</t>
  </si>
  <si>
    <t>Salarios y beneficios</t>
  </si>
  <si>
    <t>Servicios públicos</t>
  </si>
  <si>
    <t>Imprevistos</t>
  </si>
  <si>
    <t>Permisos y licencias</t>
  </si>
  <si>
    <t>Cultivo</t>
  </si>
  <si>
    <t>Producción (kg)</t>
  </si>
  <si>
    <t>Costo por kg (COP/kg)</t>
  </si>
  <si>
    <r>
      <t>Piña</t>
    </r>
    <r>
      <rPr>
        <sz val="11"/>
        <color theme="1"/>
        <rFont val="Calibri"/>
        <family val="2"/>
        <scheme val="minor"/>
      </rPr>
      <t xml:space="preserve"> </t>
    </r>
  </si>
  <si>
    <r>
      <t>Maracuyá</t>
    </r>
    <r>
      <rPr>
        <sz val="11"/>
        <color theme="1"/>
        <rFont val="Calibri"/>
        <family val="2"/>
        <scheme val="minor"/>
      </rPr>
      <t xml:space="preserve"> </t>
    </r>
  </si>
  <si>
    <t>Costo por acrividad</t>
  </si>
  <si>
    <t>Costo total producción(COP)</t>
  </si>
  <si>
    <t>Costo total venta (COP)</t>
  </si>
  <si>
    <t>Costo ganancia por Kg (COP/kg)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</si>
</sst>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.0_-;\-* #,##0.0_-;_-* &quot;-&quot;??_-;_-@_-"/>
    <numFmt numFmtId="166" formatCode="_-* #,##0_-;\-* #,##0_-;_-* &quot;-&quot;??_-;_-@_-"/>
    <numFmt numFmtId="167" formatCode="_-* #,##0.0_-;\-* #,##0.0_-;_-* &quot;-&quot;?_-;_-@_-"/>
    <numFmt numFmtId="170" formatCode="&quot;$&quot;\ #,##0.00"/>
    <numFmt numFmtId="173" formatCode="&quot;$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0" fillId="0" borderId="5" xfId="0" applyBorder="1"/>
    <xf numFmtId="164" fontId="0" fillId="0" borderId="1" xfId="1" applyNumberFormat="1" applyFont="1" applyBorder="1"/>
    <xf numFmtId="164" fontId="0" fillId="0" borderId="6" xfId="1" applyNumberFormat="1" applyFont="1" applyBorder="1"/>
    <xf numFmtId="164" fontId="0" fillId="0" borderId="0" xfId="0" applyNumberFormat="1"/>
    <xf numFmtId="167" fontId="0" fillId="0" borderId="0" xfId="0" applyNumberFormat="1"/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166" fontId="5" fillId="0" borderId="1" xfId="2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4" borderId="1" xfId="1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66" fontId="5" fillId="0" borderId="1" xfId="2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164" fontId="5" fillId="4" borderId="14" xfId="1" applyNumberFormat="1" applyFont="1" applyFill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166" fontId="6" fillId="0" borderId="18" xfId="2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wrapText="1"/>
    </xf>
    <xf numFmtId="166" fontId="6" fillId="0" borderId="1" xfId="2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 wrapText="1"/>
    </xf>
    <xf numFmtId="165" fontId="6" fillId="4" borderId="1" xfId="2" applyNumberFormat="1" applyFont="1" applyFill="1" applyBorder="1" applyAlignment="1">
      <alignment horizontal="center" vertical="center" wrapText="1"/>
    </xf>
    <xf numFmtId="164" fontId="5" fillId="4" borderId="14" xfId="1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6" fillId="0" borderId="14" xfId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5" fillId="2" borderId="5" xfId="0" applyFont="1" applyFill="1" applyBorder="1" applyAlignment="1">
      <alignment horizontal="left" vertical="center" wrapText="1"/>
    </xf>
    <xf numFmtId="166" fontId="5" fillId="2" borderId="1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right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5" fillId="4" borderId="1" xfId="1" applyNumberFormat="1" applyFont="1" applyFill="1" applyBorder="1" applyAlignment="1">
      <alignment horizontal="center" vertical="center" wrapText="1"/>
    </xf>
    <xf numFmtId="166" fontId="6" fillId="0" borderId="3" xfId="2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right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166" fontId="5" fillId="0" borderId="1" xfId="0" applyNumberFormat="1" applyFont="1" applyBorder="1" applyAlignment="1">
      <alignment vertical="center" wrapText="1"/>
    </xf>
    <xf numFmtId="164" fontId="5" fillId="0" borderId="6" xfId="0" applyNumberFormat="1" applyFont="1" applyBorder="1" applyAlignment="1">
      <alignment vertical="center" wrapText="1"/>
    </xf>
    <xf numFmtId="166" fontId="6" fillId="0" borderId="3" xfId="2" applyNumberFormat="1" applyFont="1" applyFill="1" applyBorder="1" applyAlignment="1">
      <alignment horizontal="right" wrapText="1"/>
    </xf>
    <xf numFmtId="1" fontId="5" fillId="0" borderId="0" xfId="0" applyNumberFormat="1" applyFont="1"/>
    <xf numFmtId="0" fontId="0" fillId="3" borderId="1" xfId="0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vertical="center" wrapText="1"/>
    </xf>
    <xf numFmtId="164" fontId="0" fillId="0" borderId="1" xfId="1" applyNumberFormat="1" applyFont="1" applyFill="1" applyBorder="1"/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4" fontId="0" fillId="0" borderId="14" xfId="0" applyNumberFormat="1" applyBorder="1"/>
    <xf numFmtId="164" fontId="0" fillId="0" borderId="15" xfId="0" applyNumberFormat="1" applyBorder="1"/>
    <xf numFmtId="164" fontId="0" fillId="0" borderId="14" xfId="1" applyNumberFormat="1" applyFont="1" applyBorder="1"/>
    <xf numFmtId="164" fontId="0" fillId="0" borderId="15" xfId="1" applyNumberFormat="1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13" xfId="1" applyNumberFormat="1" applyFont="1" applyBorder="1"/>
    <xf numFmtId="164" fontId="6" fillId="0" borderId="1" xfId="1" applyNumberFormat="1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6" fillId="0" borderId="14" xfId="1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9" fontId="0" fillId="0" borderId="0" xfId="5" applyFont="1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0" borderId="27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0" xfId="1" applyNumberFormat="1" applyFont="1" applyBorder="1" applyAlignment="1">
      <alignment horizontal="center" vertical="center"/>
    </xf>
    <xf numFmtId="164" fontId="0" fillId="0" borderId="31" xfId="1" applyNumberFormat="1" applyFont="1" applyBorder="1" applyAlignment="1">
      <alignment horizontal="center" vertical="center"/>
    </xf>
    <xf numFmtId="164" fontId="0" fillId="0" borderId="32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4" xfId="0" applyBorder="1"/>
    <xf numFmtId="0" fontId="0" fillId="0" borderId="31" xfId="0" applyBorder="1"/>
    <xf numFmtId="164" fontId="0" fillId="0" borderId="13" xfId="0" applyNumberFormat="1" applyBorder="1"/>
    <xf numFmtId="0" fontId="0" fillId="0" borderId="23" xfId="0" applyBorder="1"/>
    <xf numFmtId="0" fontId="5" fillId="0" borderId="0" xfId="0" applyFont="1" applyAlignment="1">
      <alignment horizontal="left" vertical="center"/>
    </xf>
    <xf numFmtId="164" fontId="5" fillId="0" borderId="0" xfId="1" applyNumberFormat="1" applyFont="1" applyFill="1" applyBorder="1" applyAlignment="1">
      <alignment horizontal="right" vertical="center" wrapText="1"/>
    </xf>
    <xf numFmtId="0" fontId="0" fillId="6" borderId="20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6" borderId="22" xfId="0" applyFill="1" applyBorder="1"/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/>
    </xf>
    <xf numFmtId="0" fontId="7" fillId="6" borderId="36" xfId="0" applyFont="1" applyFill="1" applyBorder="1" applyAlignment="1">
      <alignment horizontal="center"/>
    </xf>
    <xf numFmtId="173" fontId="0" fillId="0" borderId="1" xfId="0" applyNumberFormat="1" applyBorder="1" applyAlignment="1">
      <alignment horizontal="center" vertical="center" wrapText="1"/>
    </xf>
    <xf numFmtId="173" fontId="0" fillId="0" borderId="1" xfId="0" applyNumberFormat="1" applyBorder="1" applyAlignment="1">
      <alignment horizontal="center" vertical="center"/>
    </xf>
    <xf numFmtId="173" fontId="7" fillId="0" borderId="1" xfId="0" applyNumberFormat="1" applyFont="1" applyBorder="1" applyAlignment="1">
      <alignment horizontal="center" vertical="center" wrapText="1"/>
    </xf>
    <xf numFmtId="170" fontId="0" fillId="0" borderId="0" xfId="0" applyNumberFormat="1"/>
    <xf numFmtId="170" fontId="0" fillId="0" borderId="1" xfId="0" applyNumberFormat="1" applyBorder="1"/>
    <xf numFmtId="0" fontId="0" fillId="0" borderId="0" xfId="0" applyBorder="1"/>
    <xf numFmtId="3" fontId="0" fillId="0" borderId="0" xfId="0" applyNumberFormat="1" applyBorder="1" applyAlignment="1">
      <alignment horizontal="center" vertical="center" wrapText="1"/>
    </xf>
    <xf numFmtId="170" fontId="0" fillId="0" borderId="0" xfId="0" applyNumberFormat="1" applyBorder="1"/>
    <xf numFmtId="173" fontId="0" fillId="0" borderId="1" xfId="0" applyNumberFormat="1" applyBorder="1"/>
  </cellXfs>
  <cellStyles count="6">
    <cellStyle name="Millares" xfId="2" builtinId="3"/>
    <cellStyle name="Millares 3" xfId="4" xr:uid="{AF41244C-5D41-4EC1-853D-280600083DBA}"/>
    <cellStyle name="Moneda" xfId="1" builtinId="4"/>
    <cellStyle name="Normal" xfId="0" builtinId="0"/>
    <cellStyle name="Normal 3" xfId="3" xr:uid="{99BFBA3F-2A8C-4857-9C80-D07EE35310C0}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EVOLUCIÓN</a:t>
            </a:r>
            <a:r>
              <a:rPr lang="es-CO" baseline="0"/>
              <a:t> DE FLUJO DE CAJA NETO ANUAL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GRAFICAS!$C$2</c:f>
              <c:strCache>
                <c:ptCount val="1"/>
                <c:pt idx="0">
                  <c:v>FLUJO NETO ANUAL (COP)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GRAFICAS!$B$3:$B$6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GRAFICAS!$C$3:$C$6</c:f>
              <c:numCache>
                <c:formatCode>_-"$"\ * #,##0_-;\-"$"\ * #,##0_-;_-"$"\ * "-"??_-;_-@_-</c:formatCode>
                <c:ptCount val="4"/>
                <c:pt idx="0">
                  <c:v>-48940733.599999964</c:v>
                </c:pt>
                <c:pt idx="1">
                  <c:v>-16265626.533333275</c:v>
                </c:pt>
                <c:pt idx="2">
                  <c:v>39145933.866666719</c:v>
                </c:pt>
                <c:pt idx="3">
                  <c:v>66648114.266666755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7-409E-B3B3-65C1AC6D4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2962975"/>
        <c:axId val="1682970655"/>
      </c:barChart>
      <c:catAx>
        <c:axId val="1682962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2970655"/>
        <c:crosses val="autoZero"/>
        <c:auto val="1"/>
        <c:lblAlgn val="ctr"/>
        <c:lblOffset val="100"/>
        <c:noMultiLvlLbl val="0"/>
      </c:catAx>
      <c:valAx>
        <c:axId val="1682970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FLUJO DE CAJA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2962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EVOLUCIÓN</a:t>
            </a:r>
            <a:r>
              <a:rPr lang="es-CO" baseline="0"/>
              <a:t> DE FLUJO ACUMULADO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GRAFICAS!$D$2</c:f>
              <c:strCache>
                <c:ptCount val="1"/>
                <c:pt idx="0">
                  <c:v>FLUJO ACUMULADO (COP)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GRAFICAS!$B$3:$B$6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GRAFICAS!$D$3:$D$6</c:f>
              <c:numCache>
                <c:formatCode>_-"$"\ * #,##0_-;\-"$"\ * #,##0_-;_-"$"\ * "-"??_-;_-@_-</c:formatCode>
                <c:ptCount val="4"/>
                <c:pt idx="0">
                  <c:v>-48940733.599999964</c:v>
                </c:pt>
                <c:pt idx="1">
                  <c:v>-65206360.133333236</c:v>
                </c:pt>
                <c:pt idx="2">
                  <c:v>-26060426.266666517</c:v>
                </c:pt>
                <c:pt idx="3">
                  <c:v>40587688.000000238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8C-475A-A6E0-5D49914B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962975"/>
        <c:axId val="1682970655"/>
      </c:lineChart>
      <c:catAx>
        <c:axId val="1682962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2970655"/>
        <c:crosses val="autoZero"/>
        <c:auto val="1"/>
        <c:lblAlgn val="ctr"/>
        <c:lblOffset val="100"/>
        <c:noMultiLvlLbl val="0"/>
      </c:catAx>
      <c:valAx>
        <c:axId val="1682970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FLUJO DE CAJA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296297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DISTRIBUCIÓN</a:t>
            </a:r>
            <a:r>
              <a:rPr lang="es-CO" baseline="0"/>
              <a:t> DE INVERSION POR BLOQUE Y AÑO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GRAFICAS!$H$17</c:f>
              <c:strCache>
                <c:ptCount val="1"/>
                <c:pt idx="0">
                  <c:v>PRODUCCION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GRAFICAS!$G$18:$G$21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GRAFICAS!$H$18:$H$21</c:f>
              <c:numCache>
                <c:formatCode>_-"$"\ * #,##0_-;\-"$"\ * #,##0_-;_-"$"\ * "-"??_-;_-@_-</c:formatCode>
                <c:ptCount val="4"/>
                <c:pt idx="0">
                  <c:v>7140499.5999999996</c:v>
                </c:pt>
                <c:pt idx="1">
                  <c:v>5637499.5999999996</c:v>
                </c:pt>
                <c:pt idx="2">
                  <c:v>5637499.5999999996</c:v>
                </c:pt>
                <c:pt idx="3">
                  <c:v>5637499.5999999996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8-48C9-800C-2EC1BD9273CD}"/>
            </c:ext>
          </c:extLst>
        </c:ser>
        <c:ser>
          <c:idx val="1"/>
          <c:order val="1"/>
          <c:tx>
            <c:strRef>
              <c:f>GRAFICAS!$I$17</c:f>
              <c:strCache>
                <c:ptCount val="1"/>
                <c:pt idx="0">
                  <c:v>INSTALACIONES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GRAFICAS!$G$18:$G$21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GRAFICAS!$I$18:$I$21</c:f>
              <c:numCache>
                <c:formatCode>_-"$"\ * #,##0_-;\-"$"\ * #,##0_-;_-"$"\ * "-"??_-;_-@_-</c:formatCode>
                <c:ptCount val="4"/>
                <c:pt idx="0">
                  <c:v>31286394</c:v>
                </c:pt>
                <c:pt idx="1">
                  <c:v>600000</c:v>
                </c:pt>
                <c:pt idx="2">
                  <c:v>2000000</c:v>
                </c:pt>
                <c:pt idx="3">
                  <c:v>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8-48C9-800C-2EC1BD9273CD}"/>
            </c:ext>
          </c:extLst>
        </c:ser>
        <c:ser>
          <c:idx val="2"/>
          <c:order val="2"/>
          <c:tx>
            <c:strRef>
              <c:f>GRAFICAS!$J$17</c:f>
              <c:strCache>
                <c:ptCount val="1"/>
                <c:pt idx="0">
                  <c:v>LOGISTICA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GRAFICAS!$G$18:$G$21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GRAFICAS!$J$18:$J$21</c:f>
              <c:numCache>
                <c:formatCode>_-"$"\ * #,##0_-;\-"$"\ * #,##0_-;_-"$"\ * "-"??_-;_-@_-</c:formatCode>
                <c:ptCount val="4"/>
                <c:pt idx="0">
                  <c:v>1896000</c:v>
                </c:pt>
                <c:pt idx="1">
                  <c:v>7429333.333333334</c:v>
                </c:pt>
                <c:pt idx="2">
                  <c:v>9096000</c:v>
                </c:pt>
                <c:pt idx="3">
                  <c:v>9096000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B8-48C9-800C-2EC1BD9273CD}"/>
            </c:ext>
          </c:extLst>
        </c:ser>
        <c:ser>
          <c:idx val="3"/>
          <c:order val="3"/>
          <c:tx>
            <c:strRef>
              <c:f>GRAFICAS!$K$17</c:f>
              <c:strCache>
                <c:ptCount val="1"/>
                <c:pt idx="0">
                  <c:v>ADMINISTRATIVOS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GRAFICAS!$G$18:$G$21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GRAFICAS!$K$18:$K$21</c:f>
              <c:numCache>
                <c:formatCode>_-"$"\ * #,##0_-;\-"$"\ * #,##0_-;_-"$"\ * "-"??_-;_-@_-</c:formatCode>
                <c:ptCount val="4"/>
                <c:pt idx="0">
                  <c:v>21062000</c:v>
                </c:pt>
                <c:pt idx="1">
                  <c:v>20562000</c:v>
                </c:pt>
                <c:pt idx="2">
                  <c:v>20562000</c:v>
                </c:pt>
                <c:pt idx="3">
                  <c:v>20562000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B8-48C9-800C-2EC1BD927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1608079"/>
        <c:axId val="1021611439"/>
      </c:barChart>
      <c:catAx>
        <c:axId val="10216080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1611439"/>
        <c:crosses val="autoZero"/>
        <c:auto val="1"/>
        <c:lblAlgn val="ctr"/>
        <c:lblOffset val="100"/>
        <c:noMultiLvlLbl val="0"/>
      </c:catAx>
      <c:valAx>
        <c:axId val="1021611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EN COP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1608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/>
              <a:t>Evolución total de inversión por año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GRAFICAS!$L$17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GRAFICAS!$G$18:$G$21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GRAFICAS!$L$18:$L$21</c:f>
              <c:numCache>
                <c:formatCode>_-"$"\ * #,##0_-;\-"$"\ * #,##0_-;_-"$"\ * "-"??_-;_-@_-</c:formatCode>
                <c:ptCount val="4"/>
                <c:pt idx="0">
                  <c:v>61384893.600000001</c:v>
                </c:pt>
                <c:pt idx="1">
                  <c:v>34228832.933333337</c:v>
                </c:pt>
                <c:pt idx="2">
                  <c:v>37295499.600000001</c:v>
                </c:pt>
                <c:pt idx="3">
                  <c:v>37295499.600000001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1-404B-85CA-126159ABF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1555279"/>
        <c:axId val="1021552399"/>
      </c:barChart>
      <c:catAx>
        <c:axId val="10215552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1552399"/>
        <c:crosses val="autoZero"/>
        <c:auto val="1"/>
        <c:lblAlgn val="ctr"/>
        <c:lblOffset val="100"/>
        <c:noMultiLvlLbl val="0"/>
      </c:catAx>
      <c:valAx>
        <c:axId val="1021552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EN COP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1555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15239</xdr:colOff>
      <xdr:row>0</xdr:row>
      <xdr:rowOff>0</xdr:rowOff>
    </xdr:from>
    <xdr:to>
      <xdr:col>12</xdr:col>
      <xdr:colOff>65313</xdr:colOff>
      <xdr:row>15</xdr:row>
      <xdr:rowOff>108857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33458C-A389-0B96-8C4F-0F3D163DE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370114</xdr:colOff>
      <xdr:row>0</xdr:row>
      <xdr:rowOff>0</xdr:rowOff>
    </xdr:from>
    <xdr:to>
      <xdr:col>19</xdr:col>
      <xdr:colOff>402771</xdr:colOff>
      <xdr:row>15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9AADF77-6FFE-49F0-A84B-C1E6151FB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21770</xdr:colOff>
      <xdr:row>22</xdr:row>
      <xdr:rowOff>10886</xdr:rowOff>
    </xdr:from>
    <xdr:to>
      <xdr:col>12</xdr:col>
      <xdr:colOff>21770</xdr:colOff>
      <xdr:row>37</xdr:row>
      <xdr:rowOff>32657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3886AA6-95DB-C106-05F9-DC335D5FA2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21770</xdr:colOff>
      <xdr:row>38</xdr:row>
      <xdr:rowOff>32656</xdr:rowOff>
    </xdr:from>
    <xdr:to>
      <xdr:col>11</xdr:col>
      <xdr:colOff>936172</xdr:colOff>
      <xdr:row>53</xdr:row>
      <xdr:rowOff>21770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A39FDA4-046F-CF27-0616-DF195083F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CBBF-E870-4A6E-883A-12034E868ED9}">
  <dimension ref="B1:J76"/>
  <sheetViews>
    <sheetView topLeftCell="A25" zoomScale="61" workbookViewId="0">
      <selection activeCell="B38" sqref="B38:C41"/>
    </sheetView>
  </sheetViews>
  <sheetFormatPr baseColWidth="10" defaultRowHeight="14.4" x14ac:dyDescent="0.3"/>
  <cols>
    <col min="1" max="1" width="2.88671875" customWidth="1"/>
    <col min="2" max="2" width="70.33203125" bestFit="1" customWidth="1"/>
    <col min="3" max="3" width="15" bestFit="1" customWidth="1"/>
    <col min="4" max="4" width="16.6640625" bestFit="1" customWidth="1"/>
    <col min="5" max="5" width="15.33203125" bestFit="1" customWidth="1"/>
    <col min="6" max="6" width="70.33203125" bestFit="1" customWidth="1"/>
    <col min="7" max="7" width="21.21875" bestFit="1" customWidth="1"/>
    <col min="8" max="8" width="16.6640625" bestFit="1" customWidth="1"/>
    <col min="9" max="9" width="15.33203125" bestFit="1" customWidth="1"/>
    <col min="10" max="10" width="15.5546875" customWidth="1"/>
    <col min="11" max="12" width="15.33203125" bestFit="1" customWidth="1"/>
    <col min="13" max="13" width="11.5546875" customWidth="1"/>
  </cols>
  <sheetData>
    <row r="1" spans="2:8" ht="16.2" thickBot="1" x14ac:dyDescent="0.35">
      <c r="B1" s="6"/>
      <c r="C1" s="6"/>
      <c r="D1" s="6"/>
      <c r="E1" s="6"/>
      <c r="F1" s="6"/>
      <c r="G1" s="6"/>
      <c r="H1" s="6"/>
    </row>
    <row r="2" spans="2:8" ht="16.2" customHeight="1" thickBot="1" x14ac:dyDescent="0.35">
      <c r="B2" s="137" t="s">
        <v>53</v>
      </c>
      <c r="C2" s="138"/>
      <c r="D2" s="139"/>
      <c r="E2" s="7"/>
      <c r="F2" s="140" t="s">
        <v>154</v>
      </c>
      <c r="G2" s="141"/>
      <c r="H2" s="142"/>
    </row>
    <row r="3" spans="2:8" ht="16.2" thickBot="1" x14ac:dyDescent="0.35">
      <c r="B3" s="8" t="s">
        <v>64</v>
      </c>
      <c r="C3" s="9" t="s">
        <v>57</v>
      </c>
      <c r="D3" s="10" t="s">
        <v>58</v>
      </c>
      <c r="E3" s="7"/>
      <c r="F3" s="11" t="s">
        <v>64</v>
      </c>
      <c r="G3" s="12" t="s">
        <v>57</v>
      </c>
      <c r="H3" s="13" t="s">
        <v>58</v>
      </c>
    </row>
    <row r="4" spans="2:8" ht="15.6" customHeight="1" x14ac:dyDescent="0.3">
      <c r="B4" s="14" t="s">
        <v>47</v>
      </c>
      <c r="C4" s="15">
        <v>1000</v>
      </c>
      <c r="D4" s="16" t="s">
        <v>48</v>
      </c>
      <c r="E4" s="7"/>
      <c r="F4" s="17" t="s">
        <v>47</v>
      </c>
      <c r="G4" s="18">
        <v>1000</v>
      </c>
      <c r="H4" s="19" t="s">
        <v>48</v>
      </c>
    </row>
    <row r="5" spans="2:8" ht="15.6" customHeight="1" x14ac:dyDescent="0.3">
      <c r="B5" s="20" t="s">
        <v>44</v>
      </c>
      <c r="C5" s="21">
        <v>1250</v>
      </c>
      <c r="D5" s="22" t="s">
        <v>51</v>
      </c>
      <c r="E5" s="7"/>
      <c r="F5" s="23" t="s">
        <v>44</v>
      </c>
      <c r="G5" s="24">
        <f>+($G$4*C5)/$C$4</f>
        <v>1250</v>
      </c>
      <c r="H5" s="25" t="s">
        <v>51</v>
      </c>
    </row>
    <row r="6" spans="2:8" ht="15.6" customHeight="1" x14ac:dyDescent="0.3">
      <c r="B6" s="20" t="s">
        <v>45</v>
      </c>
      <c r="C6" s="26">
        <v>64</v>
      </c>
      <c r="D6" s="22" t="s">
        <v>51</v>
      </c>
      <c r="E6" s="7"/>
      <c r="F6" s="23" t="s">
        <v>45</v>
      </c>
      <c r="G6" s="24">
        <f>+($G$4*C6)/$C$4</f>
        <v>64</v>
      </c>
      <c r="H6" s="25" t="s">
        <v>51</v>
      </c>
    </row>
    <row r="7" spans="2:8" ht="15.6" customHeight="1" x14ac:dyDescent="0.3">
      <c r="B7" s="20" t="s">
        <v>49</v>
      </c>
      <c r="C7" s="27">
        <v>300</v>
      </c>
      <c r="D7" s="22" t="s">
        <v>52</v>
      </c>
      <c r="E7" s="7"/>
      <c r="F7" s="23" t="s">
        <v>49</v>
      </c>
      <c r="G7" s="28">
        <f>+C7</f>
        <v>300</v>
      </c>
      <c r="H7" s="25" t="s">
        <v>52</v>
      </c>
    </row>
    <row r="8" spans="2:8" ht="15.6" customHeight="1" x14ac:dyDescent="0.3">
      <c r="B8" s="20" t="s">
        <v>50</v>
      </c>
      <c r="C8" s="27">
        <v>2000</v>
      </c>
      <c r="D8" s="22" t="s">
        <v>52</v>
      </c>
      <c r="E8" s="7"/>
      <c r="F8" s="23" t="s">
        <v>50</v>
      </c>
      <c r="G8" s="28">
        <f>+C8</f>
        <v>2000</v>
      </c>
      <c r="H8" s="25" t="s">
        <v>52</v>
      </c>
    </row>
    <row r="9" spans="2:8" ht="15.6" customHeight="1" x14ac:dyDescent="0.3">
      <c r="B9" s="20" t="s">
        <v>54</v>
      </c>
      <c r="C9" s="27">
        <v>1000000</v>
      </c>
      <c r="D9" s="22" t="s">
        <v>52</v>
      </c>
      <c r="E9" s="6"/>
      <c r="F9" s="23" t="s">
        <v>46</v>
      </c>
      <c r="G9" s="28">
        <f>+G7*G5+G6*G8</f>
        <v>503000</v>
      </c>
      <c r="H9" s="25" t="s">
        <v>52</v>
      </c>
    </row>
    <row r="10" spans="2:8" ht="15.6" customHeight="1" x14ac:dyDescent="0.3">
      <c r="B10" s="20" t="s">
        <v>71</v>
      </c>
      <c r="C10" s="27">
        <v>100000</v>
      </c>
      <c r="D10" s="22" t="s">
        <v>52</v>
      </c>
      <c r="E10" s="6"/>
      <c r="F10" s="23" t="s">
        <v>54</v>
      </c>
      <c r="G10" s="28">
        <f>+($G$4*C9)/$C$4</f>
        <v>1000000</v>
      </c>
      <c r="H10" s="25" t="s">
        <v>52</v>
      </c>
    </row>
    <row r="11" spans="2:8" ht="15.6" customHeight="1" x14ac:dyDescent="0.3">
      <c r="B11" s="20" t="s">
        <v>21</v>
      </c>
      <c r="C11" s="27">
        <v>50000</v>
      </c>
      <c r="D11" s="22" t="s">
        <v>52</v>
      </c>
      <c r="E11" s="6"/>
      <c r="F11" s="23" t="s">
        <v>71</v>
      </c>
      <c r="G11" s="28">
        <f>+($G$4*C10)/$C$4</f>
        <v>100000</v>
      </c>
      <c r="H11" s="25" t="s">
        <v>52</v>
      </c>
    </row>
    <row r="12" spans="2:8" ht="15.6" customHeight="1" x14ac:dyDescent="0.3">
      <c r="B12" s="20" t="s">
        <v>5</v>
      </c>
      <c r="C12" s="27">
        <v>500000</v>
      </c>
      <c r="D12" s="22" t="s">
        <v>52</v>
      </c>
      <c r="E12" s="6"/>
      <c r="F12" s="23" t="s">
        <v>21</v>
      </c>
      <c r="G12" s="28">
        <f>+($G$4*C11)/$C$4</f>
        <v>50000</v>
      </c>
      <c r="H12" s="25" t="s">
        <v>52</v>
      </c>
    </row>
    <row r="13" spans="2:8" ht="15.6" customHeight="1" x14ac:dyDescent="0.3">
      <c r="B13" s="29" t="s">
        <v>7</v>
      </c>
      <c r="C13" s="27">
        <v>200000</v>
      </c>
      <c r="D13" s="22" t="s">
        <v>52</v>
      </c>
      <c r="E13" s="6"/>
      <c r="F13" s="23" t="s">
        <v>5</v>
      </c>
      <c r="G13" s="28">
        <v>236458.3</v>
      </c>
      <c r="H13" s="25" t="s">
        <v>52</v>
      </c>
    </row>
    <row r="14" spans="2:8" ht="15.6" customHeight="1" x14ac:dyDescent="0.3">
      <c r="B14" s="29" t="s">
        <v>55</v>
      </c>
      <c r="C14" s="27">
        <v>500000</v>
      </c>
      <c r="D14" s="22" t="s">
        <v>52</v>
      </c>
      <c r="E14" s="6"/>
      <c r="F14" s="23" t="s">
        <v>7</v>
      </c>
      <c r="G14" s="28">
        <f>+($G$4*C13)/$C$4</f>
        <v>200000</v>
      </c>
      <c r="H14" s="25" t="s">
        <v>52</v>
      </c>
    </row>
    <row r="15" spans="2:8" ht="15.6" customHeight="1" x14ac:dyDescent="0.3">
      <c r="B15" s="29" t="s">
        <v>22</v>
      </c>
      <c r="C15" s="27">
        <v>50000</v>
      </c>
      <c r="D15" s="22" t="s">
        <v>52</v>
      </c>
      <c r="E15" s="6"/>
      <c r="F15" s="23" t="s">
        <v>55</v>
      </c>
      <c r="G15" s="28">
        <f>+($G$4*C14)/$C$4</f>
        <v>500000</v>
      </c>
      <c r="H15" s="25" t="s">
        <v>52</v>
      </c>
    </row>
    <row r="16" spans="2:8" ht="15.6" customHeight="1" x14ac:dyDescent="0.3">
      <c r="B16" s="29" t="s">
        <v>9</v>
      </c>
      <c r="C16" s="27"/>
      <c r="D16" s="30"/>
      <c r="E16" s="6"/>
      <c r="F16" s="23" t="s">
        <v>22</v>
      </c>
      <c r="G16" s="28">
        <f>+($G$4*C15)/$C$4</f>
        <v>50000</v>
      </c>
      <c r="H16" s="25" t="s">
        <v>52</v>
      </c>
    </row>
    <row r="17" spans="2:8" ht="31.2" customHeight="1" x14ac:dyDescent="0.3">
      <c r="B17" s="29" t="s">
        <v>75</v>
      </c>
      <c r="C17" s="72">
        <v>14000</v>
      </c>
      <c r="D17" s="22" t="s">
        <v>77</v>
      </c>
      <c r="E17" s="6"/>
      <c r="F17" s="23" t="s">
        <v>75</v>
      </c>
      <c r="G17" s="73">
        <f>+C17*G18</f>
        <v>896000</v>
      </c>
      <c r="H17" s="25" t="s">
        <v>77</v>
      </c>
    </row>
    <row r="18" spans="2:8" ht="15.6" customHeight="1" x14ac:dyDescent="0.3">
      <c r="B18" s="29" t="s">
        <v>78</v>
      </c>
      <c r="C18" s="71">
        <f>+C51*C45/20</f>
        <v>64</v>
      </c>
      <c r="D18" s="22" t="s">
        <v>51</v>
      </c>
      <c r="E18" s="6"/>
      <c r="F18" s="23" t="s">
        <v>76</v>
      </c>
      <c r="G18" s="31">
        <f>+((G6*C51)*C18)/(C45*C51)</f>
        <v>64</v>
      </c>
      <c r="H18" s="25" t="s">
        <v>51</v>
      </c>
    </row>
    <row r="19" spans="2:8" ht="15.6" customHeight="1" x14ac:dyDescent="0.3">
      <c r="B19" s="29" t="s">
        <v>79</v>
      </c>
      <c r="C19" s="27">
        <v>4000</v>
      </c>
      <c r="D19" s="22" t="s">
        <v>77</v>
      </c>
      <c r="E19" s="6"/>
      <c r="F19" s="23" t="s">
        <v>79</v>
      </c>
      <c r="G19" s="28">
        <f>+C19</f>
        <v>4000</v>
      </c>
      <c r="H19" s="25" t="s">
        <v>77</v>
      </c>
    </row>
    <row r="20" spans="2:8" ht="31.2" customHeight="1" x14ac:dyDescent="0.3">
      <c r="B20" s="20" t="s">
        <v>80</v>
      </c>
      <c r="C20" s="32">
        <f>+C5/6</f>
        <v>208.33333333333334</v>
      </c>
      <c r="D20" s="22" t="s">
        <v>51</v>
      </c>
      <c r="E20" s="6"/>
      <c r="F20" s="23" t="s">
        <v>80</v>
      </c>
      <c r="G20" s="31">
        <f>+(C20*G42)/C5</f>
        <v>208.33333333333334</v>
      </c>
      <c r="H20" s="25" t="s">
        <v>51</v>
      </c>
    </row>
    <row r="21" spans="2:8" ht="31.2" customHeight="1" x14ac:dyDescent="0.3">
      <c r="B21" s="55" t="s">
        <v>81</v>
      </c>
      <c r="C21" s="56">
        <f>+C20*C36</f>
        <v>625</v>
      </c>
      <c r="D21" s="57" t="s">
        <v>51</v>
      </c>
      <c r="E21" s="6"/>
      <c r="F21" s="23" t="s">
        <v>81</v>
      </c>
      <c r="G21" s="73">
        <f>+(C21*G43)/(3*C5)</f>
        <v>625</v>
      </c>
      <c r="H21" s="25" t="s">
        <v>51</v>
      </c>
    </row>
    <row r="22" spans="2:8" ht="31.2" customHeight="1" x14ac:dyDescent="0.3">
      <c r="B22" s="29" t="s">
        <v>82</v>
      </c>
      <c r="C22" s="27">
        <v>500000</v>
      </c>
      <c r="D22" s="30" t="s">
        <v>52</v>
      </c>
      <c r="E22" s="6"/>
      <c r="F22" s="23" t="s">
        <v>115</v>
      </c>
      <c r="G22" s="73">
        <f>+G21</f>
        <v>625</v>
      </c>
      <c r="H22" s="25" t="s">
        <v>51</v>
      </c>
    </row>
    <row r="23" spans="2:8" ht="31.2" customHeight="1" x14ac:dyDescent="0.3">
      <c r="B23" s="29" t="s">
        <v>83</v>
      </c>
      <c r="C23" s="27">
        <v>600000</v>
      </c>
      <c r="D23" s="30" t="s">
        <v>52</v>
      </c>
      <c r="E23" s="6"/>
      <c r="F23" s="23" t="s">
        <v>116</v>
      </c>
      <c r="G23" s="73">
        <f>+G22</f>
        <v>625</v>
      </c>
      <c r="H23" s="25" t="s">
        <v>51</v>
      </c>
    </row>
    <row r="24" spans="2:8" ht="31.2" customHeight="1" x14ac:dyDescent="0.3">
      <c r="B24" s="29" t="s">
        <v>11</v>
      </c>
      <c r="C24" s="27">
        <v>1623500</v>
      </c>
      <c r="D24" s="30"/>
      <c r="E24" s="6"/>
      <c r="F24" s="23" t="s">
        <v>86</v>
      </c>
      <c r="G24" s="28">
        <f>+G20*G19</f>
        <v>833333.33333333337</v>
      </c>
      <c r="H24" s="25" t="s">
        <v>52</v>
      </c>
    </row>
    <row r="25" spans="2:8" ht="31.2" customHeight="1" x14ac:dyDescent="0.3">
      <c r="B25" s="29" t="s">
        <v>42</v>
      </c>
      <c r="C25" s="27">
        <v>40000</v>
      </c>
      <c r="D25" s="30"/>
      <c r="E25" s="6"/>
      <c r="F25" s="23" t="s">
        <v>87</v>
      </c>
      <c r="G25" s="28">
        <f>+G19*G21</f>
        <v>2500000</v>
      </c>
      <c r="H25" s="25" t="s">
        <v>52</v>
      </c>
    </row>
    <row r="26" spans="2:8" ht="31.2" customHeight="1" x14ac:dyDescent="0.3">
      <c r="B26" s="29" t="s">
        <v>12</v>
      </c>
      <c r="C26" s="27">
        <v>50000</v>
      </c>
      <c r="D26" s="30"/>
      <c r="E26" s="6"/>
      <c r="F26" s="23" t="s">
        <v>113</v>
      </c>
      <c r="G26" s="28">
        <f>+G25</f>
        <v>2500000</v>
      </c>
      <c r="H26" s="25" t="s">
        <v>52</v>
      </c>
    </row>
    <row r="27" spans="2:8" ht="31.2" customHeight="1" thickBot="1" x14ac:dyDescent="0.35">
      <c r="B27" s="38" t="s">
        <v>14</v>
      </c>
      <c r="C27" s="39">
        <v>500000</v>
      </c>
      <c r="D27" s="40"/>
      <c r="E27" s="6"/>
      <c r="F27" s="23" t="s">
        <v>114</v>
      </c>
      <c r="G27" s="28">
        <f>+G26</f>
        <v>2500000</v>
      </c>
      <c r="H27" s="25" t="s">
        <v>52</v>
      </c>
    </row>
    <row r="28" spans="2:8" ht="31.2" customHeight="1" x14ac:dyDescent="0.3">
      <c r="E28" s="6"/>
      <c r="F28" s="23" t="s">
        <v>143</v>
      </c>
      <c r="G28" s="28">
        <f t="shared" ref="G28:G29" si="0">+G27</f>
        <v>2500000</v>
      </c>
      <c r="H28" s="25" t="s">
        <v>52</v>
      </c>
    </row>
    <row r="29" spans="2:8" ht="31.8" customHeight="1" x14ac:dyDescent="0.3">
      <c r="B29" s="129"/>
      <c r="C29" s="130"/>
      <c r="D29" s="129"/>
      <c r="E29" s="6"/>
      <c r="F29" s="23" t="s">
        <v>144</v>
      </c>
      <c r="G29" s="28">
        <f t="shared" si="0"/>
        <v>2500000</v>
      </c>
      <c r="H29" s="25" t="s">
        <v>52</v>
      </c>
    </row>
    <row r="30" spans="2:8" ht="15.6" customHeight="1" x14ac:dyDescent="0.3">
      <c r="E30" s="6"/>
      <c r="F30" s="23" t="s">
        <v>82</v>
      </c>
      <c r="G30" s="28">
        <f>+C22</f>
        <v>500000</v>
      </c>
      <c r="H30" s="25" t="s">
        <v>52</v>
      </c>
    </row>
    <row r="31" spans="2:8" ht="15.6" customHeight="1" x14ac:dyDescent="0.3">
      <c r="E31" s="6"/>
      <c r="F31" s="23" t="s">
        <v>83</v>
      </c>
      <c r="G31" s="28">
        <f>+C23</f>
        <v>600000</v>
      </c>
      <c r="H31" s="25" t="s">
        <v>52</v>
      </c>
    </row>
    <row r="32" spans="2:8" ht="16.2" customHeight="1" thickBot="1" x14ac:dyDescent="0.35">
      <c r="B32" s="6"/>
      <c r="C32" s="6"/>
      <c r="D32" s="6"/>
      <c r="E32" s="6"/>
      <c r="F32" s="23" t="s">
        <v>11</v>
      </c>
      <c r="G32" s="28">
        <f>+C24</f>
        <v>1623500</v>
      </c>
      <c r="H32" s="25" t="s">
        <v>52</v>
      </c>
    </row>
    <row r="33" spans="2:10" ht="16.2" thickBot="1" x14ac:dyDescent="0.35">
      <c r="B33" s="134" t="s">
        <v>63</v>
      </c>
      <c r="C33" s="135"/>
      <c r="D33" s="136"/>
      <c r="E33" s="6"/>
      <c r="F33" s="29" t="s">
        <v>42</v>
      </c>
      <c r="G33" s="28">
        <f>+C25</f>
        <v>40000</v>
      </c>
      <c r="H33" s="25" t="s">
        <v>52</v>
      </c>
      <c r="J33" s="5"/>
    </row>
    <row r="34" spans="2:10" ht="16.2" thickBot="1" x14ac:dyDescent="0.35">
      <c r="B34" s="8" t="s">
        <v>64</v>
      </c>
      <c r="C34" s="9" t="s">
        <v>57</v>
      </c>
      <c r="D34" s="10" t="s">
        <v>58</v>
      </c>
      <c r="E34" s="6"/>
      <c r="F34" s="29" t="s">
        <v>12</v>
      </c>
      <c r="G34" s="28">
        <v>50000</v>
      </c>
      <c r="H34" s="25" t="s">
        <v>52</v>
      </c>
    </row>
    <row r="35" spans="2:10" ht="15.6" x14ac:dyDescent="0.3">
      <c r="B35" s="41" t="s">
        <v>65</v>
      </c>
      <c r="C35" s="42">
        <f>+$G$5</f>
        <v>1250</v>
      </c>
      <c r="D35" s="43" t="s">
        <v>59</v>
      </c>
      <c r="E35" s="6"/>
      <c r="F35" s="29" t="s">
        <v>13</v>
      </c>
      <c r="G35" s="28">
        <v>200000</v>
      </c>
      <c r="H35" s="25" t="s">
        <v>52</v>
      </c>
    </row>
    <row r="36" spans="2:10" ht="16.2" thickBot="1" x14ac:dyDescent="0.35">
      <c r="B36" s="44" t="s">
        <v>70</v>
      </c>
      <c r="C36" s="45">
        <v>3</v>
      </c>
      <c r="D36" s="46" t="s">
        <v>59</v>
      </c>
      <c r="E36" s="6"/>
      <c r="F36" s="38" t="s">
        <v>14</v>
      </c>
      <c r="G36" s="33">
        <v>500000</v>
      </c>
      <c r="H36" s="34" t="s">
        <v>52</v>
      </c>
    </row>
    <row r="37" spans="2:10" ht="16.2" thickBot="1" x14ac:dyDescent="0.35">
      <c r="B37" s="29" t="s">
        <v>66</v>
      </c>
      <c r="C37" s="48">
        <v>2.5</v>
      </c>
      <c r="D37" s="46" t="s">
        <v>61</v>
      </c>
      <c r="E37" s="6"/>
    </row>
    <row r="38" spans="2:10" ht="16.2" thickBot="1" x14ac:dyDescent="0.35">
      <c r="B38" s="70" t="s">
        <v>148</v>
      </c>
      <c r="C38" s="62">
        <v>3498.5</v>
      </c>
      <c r="D38" s="46" t="s">
        <v>56</v>
      </c>
      <c r="E38" s="6"/>
      <c r="F38" s="35" t="s">
        <v>63</v>
      </c>
      <c r="G38" s="36"/>
      <c r="H38" s="37"/>
    </row>
    <row r="39" spans="2:10" ht="16.2" thickBot="1" x14ac:dyDescent="0.35">
      <c r="B39" s="70" t="s">
        <v>149</v>
      </c>
      <c r="C39" s="62">
        <v>3716.5</v>
      </c>
      <c r="D39" s="46" t="s">
        <v>56</v>
      </c>
      <c r="E39" s="6"/>
      <c r="F39" s="8" t="s">
        <v>64</v>
      </c>
      <c r="G39" s="9" t="s">
        <v>57</v>
      </c>
      <c r="H39" s="10" t="s">
        <v>58</v>
      </c>
    </row>
    <row r="40" spans="2:10" ht="15.6" x14ac:dyDescent="0.3">
      <c r="B40" s="70" t="s">
        <v>150</v>
      </c>
      <c r="C40" s="62">
        <v>3941.462</v>
      </c>
      <c r="D40" s="46" t="s">
        <v>56</v>
      </c>
      <c r="E40" s="6"/>
      <c r="F40" s="41" t="s">
        <v>65</v>
      </c>
      <c r="G40" s="42">
        <f>+$G$5</f>
        <v>1250</v>
      </c>
      <c r="H40" s="43" t="s">
        <v>59</v>
      </c>
    </row>
    <row r="41" spans="2:10" ht="25.8" customHeight="1" thickBot="1" x14ac:dyDescent="0.35">
      <c r="B41" s="38" t="s">
        <v>151</v>
      </c>
      <c r="C41" s="49">
        <v>4173.7967580000004</v>
      </c>
      <c r="D41" s="50" t="s">
        <v>56</v>
      </c>
      <c r="E41" s="6"/>
      <c r="F41" s="44" t="s">
        <v>70</v>
      </c>
      <c r="G41" s="45">
        <f>+C36</f>
        <v>3</v>
      </c>
      <c r="H41" s="46" t="s">
        <v>59</v>
      </c>
    </row>
    <row r="42" spans="2:10" ht="16.2" customHeight="1" thickBot="1" x14ac:dyDescent="0.35">
      <c r="E42" s="6"/>
      <c r="F42" s="20" t="s">
        <v>106</v>
      </c>
      <c r="G42" s="45">
        <f>+G40</f>
        <v>1250</v>
      </c>
      <c r="H42" s="46" t="s">
        <v>60</v>
      </c>
    </row>
    <row r="43" spans="2:10" ht="16.2" thickBot="1" x14ac:dyDescent="0.35">
      <c r="B43" s="134" t="s">
        <v>62</v>
      </c>
      <c r="C43" s="135"/>
      <c r="D43" s="136"/>
      <c r="E43" s="6"/>
      <c r="F43" s="29" t="s">
        <v>107</v>
      </c>
      <c r="G43" s="45">
        <f>+G42*G41</f>
        <v>3750</v>
      </c>
      <c r="H43" s="46" t="s">
        <v>60</v>
      </c>
    </row>
    <row r="44" spans="2:10" ht="31.2" customHeight="1" thickBot="1" x14ac:dyDescent="0.35">
      <c r="B44" s="59" t="s">
        <v>64</v>
      </c>
      <c r="C44" s="12" t="s">
        <v>57</v>
      </c>
      <c r="D44" s="13" t="s">
        <v>58</v>
      </c>
      <c r="E44" s="6"/>
      <c r="F44" s="20" t="s">
        <v>108</v>
      </c>
      <c r="G44" s="45">
        <f>+G43</f>
        <v>3750</v>
      </c>
      <c r="H44" s="46" t="s">
        <v>60</v>
      </c>
    </row>
    <row r="45" spans="2:10" ht="31.2" customHeight="1" x14ac:dyDescent="0.3">
      <c r="B45" s="69" t="s">
        <v>72</v>
      </c>
      <c r="C45" s="63">
        <f>+$C$6</f>
        <v>64</v>
      </c>
      <c r="D45" s="64" t="s">
        <v>59</v>
      </c>
      <c r="E45" s="6"/>
      <c r="F45" s="29" t="s">
        <v>109</v>
      </c>
      <c r="G45" s="45">
        <f>+G44</f>
        <v>3750</v>
      </c>
      <c r="H45" s="46" t="s">
        <v>60</v>
      </c>
    </row>
    <row r="46" spans="2:10" ht="15.6" customHeight="1" x14ac:dyDescent="0.3">
      <c r="B46" s="70" t="s">
        <v>123</v>
      </c>
      <c r="C46" s="62">
        <v>4861</v>
      </c>
      <c r="D46" s="46" t="s">
        <v>73</v>
      </c>
      <c r="E46" s="6"/>
      <c r="F46" s="20" t="s">
        <v>84</v>
      </c>
      <c r="G46" s="45">
        <f>+G42*$G$50</f>
        <v>3125</v>
      </c>
      <c r="H46" s="46" t="s">
        <v>61</v>
      </c>
    </row>
    <row r="47" spans="2:10" ht="31.2" customHeight="1" x14ac:dyDescent="0.3">
      <c r="B47" s="70" t="s">
        <v>124</v>
      </c>
      <c r="C47" s="62">
        <v>5262</v>
      </c>
      <c r="D47" s="46" t="s">
        <v>73</v>
      </c>
      <c r="E47" s="6"/>
      <c r="F47" s="29" t="s">
        <v>85</v>
      </c>
      <c r="G47" s="45">
        <f>+G43*$G$50</f>
        <v>9375</v>
      </c>
      <c r="H47" s="46" t="s">
        <v>61</v>
      </c>
    </row>
    <row r="48" spans="2:10" ht="30.6" customHeight="1" x14ac:dyDescent="0.3">
      <c r="B48" s="70" t="s">
        <v>125</v>
      </c>
      <c r="C48" s="62">
        <v>5663</v>
      </c>
      <c r="D48" s="46" t="s">
        <v>73</v>
      </c>
      <c r="E48" s="6"/>
      <c r="F48" s="20" t="s">
        <v>105</v>
      </c>
      <c r="G48" s="45">
        <f>+G44*$G$50</f>
        <v>9375</v>
      </c>
      <c r="H48" s="46" t="s">
        <v>61</v>
      </c>
    </row>
    <row r="49" spans="2:8" ht="30.6" customHeight="1" x14ac:dyDescent="0.3">
      <c r="B49" s="70" t="s">
        <v>147</v>
      </c>
      <c r="C49" s="62">
        <v>6064</v>
      </c>
      <c r="D49" s="46" t="s">
        <v>73</v>
      </c>
      <c r="E49" s="6"/>
      <c r="F49" s="29" t="s">
        <v>110</v>
      </c>
      <c r="G49" s="45">
        <f>+G45*$G$50</f>
        <v>9375</v>
      </c>
      <c r="H49" s="46" t="s">
        <v>61</v>
      </c>
    </row>
    <row r="50" spans="2:8" ht="15.6" x14ac:dyDescent="0.3">
      <c r="B50" s="29" t="s">
        <v>88</v>
      </c>
      <c r="C50" s="65">
        <v>20</v>
      </c>
      <c r="D50" s="66" t="s">
        <v>61</v>
      </c>
      <c r="E50" s="6"/>
      <c r="F50" s="29" t="s">
        <v>66</v>
      </c>
      <c r="G50" s="47">
        <f>+C37</f>
        <v>2.5</v>
      </c>
      <c r="H50" s="46" t="s">
        <v>61</v>
      </c>
    </row>
    <row r="51" spans="2:8" ht="15.6" x14ac:dyDescent="0.3">
      <c r="B51" s="29" t="s">
        <v>89</v>
      </c>
      <c r="C51" s="65">
        <v>20</v>
      </c>
      <c r="D51" s="66" t="s">
        <v>61</v>
      </c>
      <c r="E51" s="6"/>
      <c r="F51" s="29" t="s">
        <v>148</v>
      </c>
      <c r="G51" s="51">
        <v>2997</v>
      </c>
      <c r="H51" s="46" t="s">
        <v>56</v>
      </c>
    </row>
    <row r="52" spans="2:8" ht="16.2" thickBot="1" x14ac:dyDescent="0.35">
      <c r="B52" s="38" t="s">
        <v>90</v>
      </c>
      <c r="C52" s="67">
        <v>20</v>
      </c>
      <c r="D52" s="68" t="s">
        <v>61</v>
      </c>
      <c r="E52" s="6"/>
      <c r="F52" s="29" t="s">
        <v>149</v>
      </c>
      <c r="G52" s="51">
        <v>3197</v>
      </c>
      <c r="H52" s="46" t="s">
        <v>56</v>
      </c>
    </row>
    <row r="53" spans="2:8" ht="16.2" thickBot="1" x14ac:dyDescent="0.35">
      <c r="B53" s="38" t="s">
        <v>140</v>
      </c>
      <c r="C53" s="67">
        <v>20</v>
      </c>
      <c r="D53" s="68" t="s">
        <v>61</v>
      </c>
      <c r="E53" s="6"/>
      <c r="F53" s="29" t="s">
        <v>150</v>
      </c>
      <c r="G53" s="51">
        <v>3398</v>
      </c>
      <c r="H53" s="46" t="s">
        <v>56</v>
      </c>
    </row>
    <row r="54" spans="2:8" ht="15.6" x14ac:dyDescent="0.3">
      <c r="F54" s="29" t="s">
        <v>151</v>
      </c>
      <c r="G54" s="51">
        <v>3600</v>
      </c>
      <c r="H54" s="46" t="s">
        <v>56</v>
      </c>
    </row>
    <row r="55" spans="2:8" ht="15.6" x14ac:dyDescent="0.3">
      <c r="C55" s="76"/>
      <c r="F55" s="29" t="s">
        <v>67</v>
      </c>
      <c r="G55" s="45">
        <f>+G50*G42</f>
        <v>3125</v>
      </c>
      <c r="H55" s="46" t="s">
        <v>61</v>
      </c>
    </row>
    <row r="56" spans="2:8" ht="15.6" x14ac:dyDescent="0.3">
      <c r="F56" s="29" t="s">
        <v>68</v>
      </c>
      <c r="G56" s="45">
        <f>+G50*G43</f>
        <v>9375</v>
      </c>
      <c r="H56" s="46" t="s">
        <v>61</v>
      </c>
    </row>
    <row r="57" spans="2:8" ht="15.6" x14ac:dyDescent="0.3">
      <c r="F57" s="29" t="s">
        <v>111</v>
      </c>
      <c r="G57" s="45">
        <f>+G56</f>
        <v>9375</v>
      </c>
      <c r="H57" s="46" t="s">
        <v>61</v>
      </c>
    </row>
    <row r="58" spans="2:8" ht="15.6" x14ac:dyDescent="0.3">
      <c r="F58" s="29" t="s">
        <v>112</v>
      </c>
      <c r="G58" s="45">
        <f>+G57</f>
        <v>9375</v>
      </c>
      <c r="H58" s="46" t="s">
        <v>61</v>
      </c>
    </row>
    <row r="59" spans="2:8" ht="15.6" x14ac:dyDescent="0.3">
      <c r="F59" s="29" t="s">
        <v>152</v>
      </c>
      <c r="G59" s="45">
        <f>+G58</f>
        <v>9375</v>
      </c>
      <c r="H59" s="46" t="s">
        <v>61</v>
      </c>
    </row>
    <row r="60" spans="2:8" ht="15.6" x14ac:dyDescent="0.3">
      <c r="F60" s="29" t="s">
        <v>153</v>
      </c>
      <c r="G60" s="45">
        <f>+G59</f>
        <v>9375</v>
      </c>
      <c r="H60" s="46" t="s">
        <v>61</v>
      </c>
    </row>
    <row r="61" spans="2:8" ht="15.6" x14ac:dyDescent="0.3">
      <c r="F61" s="29" t="s">
        <v>118</v>
      </c>
      <c r="G61" s="51">
        <f>+G55*G52</f>
        <v>9990625</v>
      </c>
      <c r="H61" s="46" t="s">
        <v>56</v>
      </c>
    </row>
    <row r="62" spans="2:8" ht="15.6" x14ac:dyDescent="0.3">
      <c r="F62" s="29" t="s">
        <v>119</v>
      </c>
      <c r="G62" s="51">
        <f>+G56*G52</f>
        <v>29971875</v>
      </c>
      <c r="H62" s="46" t="s">
        <v>56</v>
      </c>
    </row>
    <row r="63" spans="2:8" ht="15.6" x14ac:dyDescent="0.3">
      <c r="F63" s="29" t="s">
        <v>120</v>
      </c>
      <c r="G63" s="51">
        <f>+$G$53*G57</f>
        <v>31856250</v>
      </c>
      <c r="H63" s="46" t="s">
        <v>56</v>
      </c>
    </row>
    <row r="64" spans="2:8" ht="15.6" x14ac:dyDescent="0.3">
      <c r="F64" s="29" t="s">
        <v>121</v>
      </c>
      <c r="G64" s="51">
        <f>+$G$53*G58</f>
        <v>31856250</v>
      </c>
      <c r="H64" s="46" t="s">
        <v>56</v>
      </c>
    </row>
    <row r="65" spans="6:10" ht="15.6" x14ac:dyDescent="0.3">
      <c r="F65" s="29" t="s">
        <v>141</v>
      </c>
      <c r="G65" s="51">
        <f>+$G$54*G59</f>
        <v>33750000</v>
      </c>
      <c r="H65" s="46" t="s">
        <v>56</v>
      </c>
    </row>
    <row r="66" spans="6:10" ht="15.6" x14ac:dyDescent="0.3">
      <c r="F66" s="29" t="s">
        <v>142</v>
      </c>
      <c r="G66" s="51">
        <f>+$G$54*G60</f>
        <v>33750000</v>
      </c>
      <c r="H66" s="46" t="s">
        <v>56</v>
      </c>
    </row>
    <row r="67" spans="6:10" ht="16.2" thickBot="1" x14ac:dyDescent="0.35">
      <c r="F67" s="38" t="s">
        <v>69</v>
      </c>
      <c r="G67" s="52">
        <f>SUM(G61:G66)</f>
        <v>171175000</v>
      </c>
      <c r="H67" s="50" t="s">
        <v>56</v>
      </c>
    </row>
    <row r="68" spans="6:10" ht="15.6" x14ac:dyDescent="0.3">
      <c r="F68" s="6"/>
      <c r="G68" s="6"/>
      <c r="H68" s="6"/>
    </row>
    <row r="69" spans="6:10" ht="16.2" thickBot="1" x14ac:dyDescent="0.35">
      <c r="F69" s="6"/>
      <c r="G69" s="6"/>
      <c r="H69" s="6"/>
    </row>
    <row r="70" spans="6:10" s="93" customFormat="1" ht="16.2" thickBot="1" x14ac:dyDescent="0.35">
      <c r="F70" s="35" t="s">
        <v>74</v>
      </c>
      <c r="G70" s="36"/>
      <c r="H70" s="37"/>
      <c r="J70"/>
    </row>
    <row r="71" spans="6:10" s="93" customFormat="1" ht="15.6" thickBot="1" x14ac:dyDescent="0.35">
      <c r="F71" s="59" t="s">
        <v>64</v>
      </c>
      <c r="G71" s="12" t="s">
        <v>57</v>
      </c>
      <c r="H71" s="13" t="s">
        <v>58</v>
      </c>
      <c r="J71"/>
    </row>
    <row r="72" spans="6:10" ht="15.6" customHeight="1" x14ac:dyDescent="0.3">
      <c r="F72" s="60" t="s">
        <v>72</v>
      </c>
      <c r="G72" s="75">
        <f>+G6</f>
        <v>64</v>
      </c>
      <c r="H72" s="61" t="s">
        <v>59</v>
      </c>
    </row>
    <row r="73" spans="6:10" ht="30.6" customHeight="1" x14ac:dyDescent="0.3">
      <c r="F73" s="53" t="s">
        <v>91</v>
      </c>
      <c r="G73" s="58">
        <f>+((G72*C50*C46))</f>
        <v>6222080</v>
      </c>
      <c r="H73" s="54" t="s">
        <v>77</v>
      </c>
    </row>
    <row r="74" spans="6:10" ht="30.6" customHeight="1" x14ac:dyDescent="0.3">
      <c r="F74" s="53" t="s">
        <v>92</v>
      </c>
      <c r="G74" s="58">
        <f>+(($G$72*C51*C47))</f>
        <v>6735360</v>
      </c>
      <c r="H74" s="54" t="s">
        <v>77</v>
      </c>
    </row>
    <row r="75" spans="6:10" ht="30" customHeight="1" x14ac:dyDescent="0.3">
      <c r="F75" s="70" t="s">
        <v>138</v>
      </c>
      <c r="G75" s="91">
        <f>+(($G$72*C52*C48))</f>
        <v>7248640</v>
      </c>
      <c r="H75" s="95" t="s">
        <v>77</v>
      </c>
    </row>
    <row r="76" spans="6:10" ht="30.6" customHeight="1" thickBot="1" x14ac:dyDescent="0.35">
      <c r="F76" s="96" t="s">
        <v>139</v>
      </c>
      <c r="G76" s="94">
        <f>+(($G$72*C53*C49))</f>
        <v>7761920</v>
      </c>
      <c r="H76" s="92" t="s">
        <v>77</v>
      </c>
    </row>
  </sheetData>
  <mergeCells count="4">
    <mergeCell ref="B43:D43"/>
    <mergeCell ref="B33:D33"/>
    <mergeCell ref="B2:D2"/>
    <mergeCell ref="F2:H2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809B-E0B8-4B0A-93DB-C681BFC08514}">
  <sheetPr>
    <pageSetUpPr fitToPage="1"/>
  </sheetPr>
  <dimension ref="A1:BC51"/>
  <sheetViews>
    <sheetView topLeftCell="B9" zoomScale="58" workbookViewId="0">
      <pane xSplit="1" topLeftCell="AJ1" activePane="topRight" state="frozen"/>
      <selection activeCell="B1" sqref="B1"/>
      <selection pane="topRight" activeCell="D39" sqref="D39"/>
    </sheetView>
  </sheetViews>
  <sheetFormatPr baseColWidth="10" defaultRowHeight="14.4" x14ac:dyDescent="0.3"/>
  <cols>
    <col min="1" max="1" width="3.109375" hidden="1" customWidth="1"/>
    <col min="2" max="2" width="72.109375" bestFit="1" customWidth="1"/>
    <col min="3" max="3" width="17.109375" bestFit="1" customWidth="1"/>
    <col min="4" max="5" width="15" bestFit="1" customWidth="1"/>
    <col min="6" max="6" width="16.33203125" bestFit="1" customWidth="1"/>
    <col min="7" max="7" width="15.6640625" bestFit="1" customWidth="1"/>
    <col min="8" max="9" width="15" bestFit="1" customWidth="1"/>
    <col min="10" max="14" width="17.5546875" bestFit="1" customWidth="1"/>
    <col min="15" max="17" width="18" bestFit="1" customWidth="1"/>
    <col min="18" max="18" width="18.5546875" bestFit="1" customWidth="1"/>
    <col min="19" max="23" width="18" bestFit="1" customWidth="1"/>
    <col min="24" max="24" width="18.88671875" bestFit="1" customWidth="1"/>
    <col min="25" max="29" width="18" bestFit="1" customWidth="1"/>
    <col min="30" max="30" width="18.88671875" bestFit="1" customWidth="1"/>
    <col min="31" max="35" width="18" bestFit="1" customWidth="1"/>
    <col min="36" max="36" width="18.88671875" bestFit="1" customWidth="1"/>
    <col min="37" max="38" width="18" bestFit="1" customWidth="1"/>
    <col min="39" max="50" width="18" customWidth="1"/>
    <col min="52" max="52" width="14.88671875" bestFit="1" customWidth="1"/>
    <col min="53" max="53" width="14.44140625" bestFit="1" customWidth="1"/>
    <col min="54" max="55" width="14.88671875" bestFit="1" customWidth="1"/>
  </cols>
  <sheetData>
    <row r="1" spans="2:55" ht="15.75" customHeight="1" x14ac:dyDescent="0.3">
      <c r="B1" s="143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5"/>
    </row>
    <row r="2" spans="2:55" ht="15" thickBot="1" x14ac:dyDescent="0.35">
      <c r="B2" s="146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8"/>
    </row>
    <row r="3" spans="2:55" ht="15" thickBot="1" x14ac:dyDescent="0.35">
      <c r="B3" s="80" t="s">
        <v>16</v>
      </c>
      <c r="C3" s="77" t="s">
        <v>15</v>
      </c>
      <c r="D3" s="77" t="s">
        <v>17</v>
      </c>
      <c r="E3" s="77" t="s">
        <v>18</v>
      </c>
      <c r="F3" s="77" t="s">
        <v>19</v>
      </c>
      <c r="G3" s="77" t="s">
        <v>20</v>
      </c>
      <c r="H3" s="77" t="s">
        <v>23</v>
      </c>
      <c r="I3" s="77" t="s">
        <v>24</v>
      </c>
      <c r="J3" s="77" t="s">
        <v>25</v>
      </c>
      <c r="K3" s="77" t="s">
        <v>26</v>
      </c>
      <c r="L3" s="77" t="s">
        <v>27</v>
      </c>
      <c r="M3" s="77" t="s">
        <v>28</v>
      </c>
      <c r="N3" s="77" t="s">
        <v>29</v>
      </c>
      <c r="O3" s="77" t="s">
        <v>30</v>
      </c>
      <c r="P3" s="77" t="s">
        <v>31</v>
      </c>
      <c r="Q3" s="77" t="s">
        <v>32</v>
      </c>
      <c r="R3" s="77" t="s">
        <v>33</v>
      </c>
      <c r="S3" s="77" t="s">
        <v>34</v>
      </c>
      <c r="T3" s="77" t="s">
        <v>35</v>
      </c>
      <c r="U3" s="77" t="s">
        <v>36</v>
      </c>
      <c r="V3" s="77" t="s">
        <v>37</v>
      </c>
      <c r="W3" s="77" t="s">
        <v>38</v>
      </c>
      <c r="X3" s="77" t="s">
        <v>39</v>
      </c>
      <c r="Y3" s="77" t="s">
        <v>40</v>
      </c>
      <c r="Z3" s="77" t="s">
        <v>41</v>
      </c>
      <c r="AA3" s="77" t="s">
        <v>93</v>
      </c>
      <c r="AB3" s="77" t="s">
        <v>94</v>
      </c>
      <c r="AC3" s="77" t="s">
        <v>95</v>
      </c>
      <c r="AD3" s="77" t="s">
        <v>96</v>
      </c>
      <c r="AE3" s="77" t="s">
        <v>97</v>
      </c>
      <c r="AF3" s="77" t="s">
        <v>98</v>
      </c>
      <c r="AG3" s="77" t="s">
        <v>99</v>
      </c>
      <c r="AH3" s="77" t="s">
        <v>100</v>
      </c>
      <c r="AI3" s="77" t="s">
        <v>101</v>
      </c>
      <c r="AJ3" s="77" t="s">
        <v>102</v>
      </c>
      <c r="AK3" s="77" t="s">
        <v>103</v>
      </c>
      <c r="AL3" s="77" t="s">
        <v>104</v>
      </c>
      <c r="AM3" s="77" t="s">
        <v>126</v>
      </c>
      <c r="AN3" s="77" t="s">
        <v>127</v>
      </c>
      <c r="AO3" s="77" t="s">
        <v>128</v>
      </c>
      <c r="AP3" s="77" t="s">
        <v>129</v>
      </c>
      <c r="AQ3" s="77" t="s">
        <v>130</v>
      </c>
      <c r="AR3" s="77" t="s">
        <v>131</v>
      </c>
      <c r="AS3" s="77" t="s">
        <v>132</v>
      </c>
      <c r="AT3" s="77" t="s">
        <v>133</v>
      </c>
      <c r="AU3" s="77" t="s">
        <v>134</v>
      </c>
      <c r="AV3" s="77" t="s">
        <v>135</v>
      </c>
      <c r="AW3" s="77" t="s">
        <v>136</v>
      </c>
      <c r="AX3" s="81" t="s">
        <v>137</v>
      </c>
    </row>
    <row r="4" spans="2:55" ht="15" thickBot="1" x14ac:dyDescent="0.35">
      <c r="B4" s="149" t="s">
        <v>2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1"/>
      <c r="AZ4">
        <v>2026</v>
      </c>
      <c r="BA4">
        <v>2027</v>
      </c>
      <c r="BB4">
        <v>2028</v>
      </c>
      <c r="BC4">
        <v>2029</v>
      </c>
    </row>
    <row r="5" spans="2:55" x14ac:dyDescent="0.3">
      <c r="B5" s="1" t="s">
        <v>3</v>
      </c>
      <c r="C5" s="2">
        <v>1000000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1000000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1000000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1000000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3">
        <v>1000000</v>
      </c>
      <c r="AZ5" s="4">
        <f>SUM(C5:N5)</f>
        <v>2000000</v>
      </c>
      <c r="BA5" s="4">
        <f>SUM(O5:Z5)</f>
        <v>1000000</v>
      </c>
      <c r="BB5" s="4">
        <f>SUM(AA5:AL5)</f>
        <v>1000000</v>
      </c>
      <c r="BC5" s="4">
        <f>SUM(AM5:AX5)</f>
        <v>1000000</v>
      </c>
    </row>
    <row r="6" spans="2:55" x14ac:dyDescent="0.3">
      <c r="B6" s="1" t="s">
        <v>4</v>
      </c>
      <c r="C6" s="2">
        <f>+'DATOS BASE '!G9</f>
        <v>503000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f>+'DATOS BASE '!V9</f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f>+'DATOS BASE '!AH9</f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3">
        <v>0</v>
      </c>
      <c r="AZ6" s="4">
        <f>SUM(C6:N6)</f>
        <v>503000</v>
      </c>
      <c r="BA6" s="4">
        <f>SUM(O6:Z6)</f>
        <v>0</v>
      </c>
      <c r="BB6" s="4">
        <f>SUM(AA6:AL6)</f>
        <v>0</v>
      </c>
      <c r="BC6" s="4">
        <f>SUM(AM6:AX6)</f>
        <v>0</v>
      </c>
    </row>
    <row r="7" spans="2:55" x14ac:dyDescent="0.3">
      <c r="B7" s="1" t="s">
        <v>71</v>
      </c>
      <c r="C7" s="2">
        <f>+'DATOS BASE '!G11</f>
        <v>100000</v>
      </c>
      <c r="D7" s="2">
        <v>100000</v>
      </c>
      <c r="E7" s="2">
        <v>100000</v>
      </c>
      <c r="F7" s="2">
        <v>100000</v>
      </c>
      <c r="G7" s="2">
        <v>100000</v>
      </c>
      <c r="H7" s="2">
        <v>100000</v>
      </c>
      <c r="I7" s="2">
        <v>100000</v>
      </c>
      <c r="J7" s="2">
        <v>100000</v>
      </c>
      <c r="K7" s="2">
        <v>100000</v>
      </c>
      <c r="L7" s="2">
        <v>100000</v>
      </c>
      <c r="M7" s="2">
        <v>100000</v>
      </c>
      <c r="N7" s="2">
        <v>100000</v>
      </c>
      <c r="O7" s="2">
        <v>100000</v>
      </c>
      <c r="P7" s="2">
        <v>100000</v>
      </c>
      <c r="Q7" s="2">
        <v>100000</v>
      </c>
      <c r="R7" s="2">
        <v>100000</v>
      </c>
      <c r="S7" s="2">
        <v>100000</v>
      </c>
      <c r="T7" s="2">
        <v>100000</v>
      </c>
      <c r="U7" s="2">
        <v>100000</v>
      </c>
      <c r="V7" s="2">
        <v>100000</v>
      </c>
      <c r="W7" s="2">
        <v>100000</v>
      </c>
      <c r="X7" s="2">
        <v>100000</v>
      </c>
      <c r="Y7" s="2">
        <v>100000</v>
      </c>
      <c r="Z7" s="2">
        <v>100000</v>
      </c>
      <c r="AA7" s="2">
        <v>100000</v>
      </c>
      <c r="AB7" s="2">
        <v>100000</v>
      </c>
      <c r="AC7" s="2">
        <v>100000</v>
      </c>
      <c r="AD7" s="2">
        <v>100000</v>
      </c>
      <c r="AE7" s="2">
        <v>100000</v>
      </c>
      <c r="AF7" s="2">
        <v>100000</v>
      </c>
      <c r="AG7" s="2">
        <v>100000</v>
      </c>
      <c r="AH7" s="2">
        <v>100000</v>
      </c>
      <c r="AI7" s="2">
        <v>100000</v>
      </c>
      <c r="AJ7" s="2">
        <v>100000</v>
      </c>
      <c r="AK7" s="2">
        <v>100000</v>
      </c>
      <c r="AL7" s="2">
        <v>100000</v>
      </c>
      <c r="AM7" s="2">
        <v>100000</v>
      </c>
      <c r="AN7" s="2">
        <v>100000</v>
      </c>
      <c r="AO7" s="2">
        <v>100000</v>
      </c>
      <c r="AP7" s="2">
        <v>100000</v>
      </c>
      <c r="AQ7" s="2">
        <v>100000</v>
      </c>
      <c r="AR7" s="2">
        <v>100000</v>
      </c>
      <c r="AS7" s="2">
        <v>100000</v>
      </c>
      <c r="AT7" s="2">
        <v>100000</v>
      </c>
      <c r="AU7" s="2">
        <v>100000</v>
      </c>
      <c r="AV7" s="2">
        <v>100000</v>
      </c>
      <c r="AW7" s="2">
        <v>100000</v>
      </c>
      <c r="AX7" s="3">
        <v>100000</v>
      </c>
      <c r="AZ7" s="4">
        <f>SUM(C7:N7)</f>
        <v>1200000</v>
      </c>
      <c r="BA7" s="4">
        <f>SUM(O7:Z7)</f>
        <v>1200000</v>
      </c>
      <c r="BB7" s="4">
        <f>SUM(AA7:AL7)</f>
        <v>1200000</v>
      </c>
      <c r="BC7" s="4">
        <f>SUM(AM7:AX7)</f>
        <v>1200000</v>
      </c>
    </row>
    <row r="8" spans="2:55" x14ac:dyDescent="0.3">
      <c r="B8" s="1" t="s">
        <v>21</v>
      </c>
      <c r="C8" s="2">
        <f>+'DATOS BASE '!G12</f>
        <v>50000</v>
      </c>
      <c r="D8" s="2">
        <v>50000</v>
      </c>
      <c r="E8" s="2">
        <v>50000</v>
      </c>
      <c r="F8" s="2">
        <v>50000</v>
      </c>
      <c r="G8" s="2">
        <v>50000</v>
      </c>
      <c r="H8" s="2">
        <v>50000</v>
      </c>
      <c r="I8" s="2">
        <v>50000</v>
      </c>
      <c r="J8" s="2">
        <v>50000</v>
      </c>
      <c r="K8" s="2">
        <v>50000</v>
      </c>
      <c r="L8" s="2">
        <v>50000</v>
      </c>
      <c r="M8" s="2">
        <v>50000</v>
      </c>
      <c r="N8" s="2">
        <v>50000</v>
      </c>
      <c r="O8" s="2">
        <v>50000</v>
      </c>
      <c r="P8" s="2">
        <v>50000</v>
      </c>
      <c r="Q8" s="2">
        <v>50000</v>
      </c>
      <c r="R8" s="2">
        <v>50000</v>
      </c>
      <c r="S8" s="2">
        <v>50000</v>
      </c>
      <c r="T8" s="2">
        <v>50000</v>
      </c>
      <c r="U8" s="2">
        <v>50000</v>
      </c>
      <c r="V8" s="2">
        <v>50000</v>
      </c>
      <c r="W8" s="2">
        <v>50000</v>
      </c>
      <c r="X8" s="2">
        <v>50000</v>
      </c>
      <c r="Y8" s="2">
        <v>50000</v>
      </c>
      <c r="Z8" s="2">
        <v>50000</v>
      </c>
      <c r="AA8" s="2">
        <v>50000</v>
      </c>
      <c r="AB8" s="2">
        <v>50000</v>
      </c>
      <c r="AC8" s="2">
        <v>50000</v>
      </c>
      <c r="AD8" s="2">
        <v>50000</v>
      </c>
      <c r="AE8" s="2">
        <v>50000</v>
      </c>
      <c r="AF8" s="2">
        <v>50000</v>
      </c>
      <c r="AG8" s="2">
        <v>50000</v>
      </c>
      <c r="AH8" s="2">
        <v>50000</v>
      </c>
      <c r="AI8" s="2">
        <v>50000</v>
      </c>
      <c r="AJ8" s="2">
        <v>50000</v>
      </c>
      <c r="AK8" s="2">
        <v>50000</v>
      </c>
      <c r="AL8" s="2">
        <v>50000</v>
      </c>
      <c r="AM8" s="2">
        <v>50000</v>
      </c>
      <c r="AN8" s="2">
        <v>50000</v>
      </c>
      <c r="AO8" s="2">
        <v>50000</v>
      </c>
      <c r="AP8" s="2">
        <v>50000</v>
      </c>
      <c r="AQ8" s="2">
        <v>50000</v>
      </c>
      <c r="AR8" s="2">
        <v>50000</v>
      </c>
      <c r="AS8" s="2">
        <v>50000</v>
      </c>
      <c r="AT8" s="2">
        <v>50000</v>
      </c>
      <c r="AU8" s="2">
        <v>50000</v>
      </c>
      <c r="AV8" s="2">
        <v>50000</v>
      </c>
      <c r="AW8" s="2">
        <v>50000</v>
      </c>
      <c r="AX8" s="3">
        <v>50000</v>
      </c>
      <c r="AZ8" s="4">
        <f>SUM(C8:N8)</f>
        <v>600000</v>
      </c>
      <c r="BA8" s="4">
        <f>SUM(O8:Z8)</f>
        <v>600000</v>
      </c>
      <c r="BB8" s="4">
        <f>SUM(AA8:AL8)</f>
        <v>600000</v>
      </c>
      <c r="BC8" s="4">
        <f>SUM(AM8:AX8)</f>
        <v>600000</v>
      </c>
    </row>
    <row r="9" spans="2:55" ht="15" thickBot="1" x14ac:dyDescent="0.35">
      <c r="B9" s="1" t="s">
        <v>5</v>
      </c>
      <c r="C9" s="2">
        <f>+'DATOS BASE '!$G$13</f>
        <v>236458.3</v>
      </c>
      <c r="D9" s="2">
        <f>+'DATOS BASE '!$G$13</f>
        <v>236458.3</v>
      </c>
      <c r="E9" s="2">
        <f>+'DATOS BASE '!$G$13</f>
        <v>236458.3</v>
      </c>
      <c r="F9" s="2">
        <f>+'DATOS BASE '!$G$13</f>
        <v>236458.3</v>
      </c>
      <c r="G9" s="2">
        <f>+'DATOS BASE '!$G$13</f>
        <v>236458.3</v>
      </c>
      <c r="H9" s="2">
        <f>+'DATOS BASE '!$G$13</f>
        <v>236458.3</v>
      </c>
      <c r="I9" s="2">
        <f>+'DATOS BASE '!$G$13</f>
        <v>236458.3</v>
      </c>
      <c r="J9" s="2">
        <f>+'DATOS BASE '!$G$13</f>
        <v>236458.3</v>
      </c>
      <c r="K9" s="2">
        <f>+'DATOS BASE '!$G$13</f>
        <v>236458.3</v>
      </c>
      <c r="L9" s="2">
        <f>+'DATOS BASE '!$G$13</f>
        <v>236458.3</v>
      </c>
      <c r="M9" s="2">
        <f>+'DATOS BASE '!$G$13</f>
        <v>236458.3</v>
      </c>
      <c r="N9" s="2">
        <f>+'DATOS BASE '!$G$13</f>
        <v>236458.3</v>
      </c>
      <c r="O9" s="2">
        <f>+'DATOS BASE '!$G$13</f>
        <v>236458.3</v>
      </c>
      <c r="P9" s="2">
        <f>+'DATOS BASE '!$G$13</f>
        <v>236458.3</v>
      </c>
      <c r="Q9" s="2">
        <f>+'DATOS BASE '!$G$13</f>
        <v>236458.3</v>
      </c>
      <c r="R9" s="2">
        <f>+'DATOS BASE '!$G$13</f>
        <v>236458.3</v>
      </c>
      <c r="S9" s="2">
        <f>+'DATOS BASE '!$G$13</f>
        <v>236458.3</v>
      </c>
      <c r="T9" s="2">
        <f>+'DATOS BASE '!$G$13</f>
        <v>236458.3</v>
      </c>
      <c r="U9" s="2">
        <f>+'DATOS BASE '!$G$13</f>
        <v>236458.3</v>
      </c>
      <c r="V9" s="2">
        <f>+'DATOS BASE '!$G$13</f>
        <v>236458.3</v>
      </c>
      <c r="W9" s="2">
        <f>+'DATOS BASE '!$G$13</f>
        <v>236458.3</v>
      </c>
      <c r="X9" s="2">
        <f>+'DATOS BASE '!$G$13</f>
        <v>236458.3</v>
      </c>
      <c r="Y9" s="2">
        <f>+'DATOS BASE '!$G$13</f>
        <v>236458.3</v>
      </c>
      <c r="Z9" s="2">
        <f>+'DATOS BASE '!$G$13</f>
        <v>236458.3</v>
      </c>
      <c r="AA9" s="2">
        <f>+'DATOS BASE '!$G$13</f>
        <v>236458.3</v>
      </c>
      <c r="AB9" s="2">
        <f>+'DATOS BASE '!$G$13</f>
        <v>236458.3</v>
      </c>
      <c r="AC9" s="2">
        <f>+'DATOS BASE '!$G$13</f>
        <v>236458.3</v>
      </c>
      <c r="AD9" s="2">
        <f>+'DATOS BASE '!$G$13</f>
        <v>236458.3</v>
      </c>
      <c r="AE9" s="2">
        <f>+'DATOS BASE '!$G$13</f>
        <v>236458.3</v>
      </c>
      <c r="AF9" s="2">
        <f>+'DATOS BASE '!$G$13</f>
        <v>236458.3</v>
      </c>
      <c r="AG9" s="2">
        <f>+'DATOS BASE '!$G$13</f>
        <v>236458.3</v>
      </c>
      <c r="AH9" s="2">
        <f>+'DATOS BASE '!$G$13</f>
        <v>236458.3</v>
      </c>
      <c r="AI9" s="2">
        <f>+'DATOS BASE '!$G$13</f>
        <v>236458.3</v>
      </c>
      <c r="AJ9" s="2">
        <f>+'DATOS BASE '!$G$13</f>
        <v>236458.3</v>
      </c>
      <c r="AK9" s="2">
        <f>+'DATOS BASE '!$G$13</f>
        <v>236458.3</v>
      </c>
      <c r="AL9" s="2">
        <f>+'DATOS BASE '!$G$13</f>
        <v>236458.3</v>
      </c>
      <c r="AM9" s="2">
        <f>+'DATOS BASE '!$G$13</f>
        <v>236458.3</v>
      </c>
      <c r="AN9" s="2">
        <f>+'DATOS BASE '!$G$13</f>
        <v>236458.3</v>
      </c>
      <c r="AO9" s="2">
        <f>+'DATOS BASE '!$G$13</f>
        <v>236458.3</v>
      </c>
      <c r="AP9" s="2">
        <f>+'DATOS BASE '!$G$13</f>
        <v>236458.3</v>
      </c>
      <c r="AQ9" s="2">
        <f>+'DATOS BASE '!$G$13</f>
        <v>236458.3</v>
      </c>
      <c r="AR9" s="2">
        <f>+'DATOS BASE '!$G$13</f>
        <v>236458.3</v>
      </c>
      <c r="AS9" s="2">
        <f>+'DATOS BASE '!$G$13</f>
        <v>236458.3</v>
      </c>
      <c r="AT9" s="2">
        <f>+'DATOS BASE '!$G$13</f>
        <v>236458.3</v>
      </c>
      <c r="AU9" s="2">
        <f>+'DATOS BASE '!$G$13</f>
        <v>236458.3</v>
      </c>
      <c r="AV9" s="2">
        <f>+'DATOS BASE '!$G$13</f>
        <v>236458.3</v>
      </c>
      <c r="AW9" s="2">
        <f>+'DATOS BASE '!$G$13</f>
        <v>236458.3</v>
      </c>
      <c r="AX9" s="3">
        <f>+'DATOS BASE '!$G$13</f>
        <v>236458.3</v>
      </c>
      <c r="AZ9" s="4">
        <f>SUM(C9:N9)</f>
        <v>2837499.5999999996</v>
      </c>
      <c r="BA9" s="4">
        <f>SUM(O9:Z9)</f>
        <v>2837499.5999999996</v>
      </c>
      <c r="BB9" s="4">
        <f>SUM(AA9:AL9)</f>
        <v>2837499.5999999996</v>
      </c>
      <c r="BC9" s="4">
        <f>SUM(AM9:AX9)</f>
        <v>2837499.5999999996</v>
      </c>
    </row>
    <row r="10" spans="2:55" ht="15" thickBot="1" x14ac:dyDescent="0.35">
      <c r="B10" s="149" t="s">
        <v>1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1"/>
      <c r="AZ10" s="4"/>
      <c r="BA10" s="4"/>
      <c r="BB10" s="4"/>
      <c r="BC10" s="4"/>
    </row>
    <row r="11" spans="2:55" ht="15.6" x14ac:dyDescent="0.3">
      <c r="B11" s="1" t="s">
        <v>6</v>
      </c>
      <c r="C11" s="78">
        <v>29286394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78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78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3">
        <v>0</v>
      </c>
      <c r="AZ11" s="4">
        <f>SUM(C11:N11)</f>
        <v>29286394</v>
      </c>
      <c r="BA11" s="4">
        <f>SUM(O11:Z11)</f>
        <v>0</v>
      </c>
      <c r="BB11" s="4">
        <f>SUM(AA11:AL11)</f>
        <v>0</v>
      </c>
      <c r="BC11" s="4">
        <f>SUM(AM11:AX11)</f>
        <v>0</v>
      </c>
    </row>
    <row r="12" spans="2:55" x14ac:dyDescent="0.3">
      <c r="B12" s="1" t="s">
        <v>7</v>
      </c>
      <c r="C12" s="2">
        <f>+'DATOS BASE '!$G$14</f>
        <v>200000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f>+'DATOS BASE '!$G$14</f>
        <v>200000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f>+'DATOS BASE '!$G$14</f>
        <v>200000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f>+'DATOS BASE '!$G$14</f>
        <v>200000</v>
      </c>
      <c r="AM12" s="2">
        <f>+'DATOS BASE '!$G$14</f>
        <v>200000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3">
        <f>+'DATOS BASE '!$G$14</f>
        <v>200000</v>
      </c>
      <c r="AZ12" s="4">
        <f>SUM(C12:N12)</f>
        <v>400000</v>
      </c>
      <c r="BA12" s="4">
        <f>SUM(O12:Z12)</f>
        <v>0</v>
      </c>
      <c r="BB12" s="4">
        <f>SUM(AA12:AL12)</f>
        <v>400000</v>
      </c>
      <c r="BC12" s="4">
        <f>SUM(AM12:AX12)</f>
        <v>400000</v>
      </c>
    </row>
    <row r="13" spans="2:55" x14ac:dyDescent="0.3">
      <c r="B13" s="1" t="s">
        <v>55</v>
      </c>
      <c r="C13" s="2">
        <f>+'DATOS BASE '!$G$15</f>
        <v>500000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f>+'DATOS BASE '!$G$15</f>
        <v>500000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f>+'DATOS BASE '!$G$15</f>
        <v>500000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f>+'DATOS BASE '!$G$15</f>
        <v>500000</v>
      </c>
      <c r="AM13" s="2">
        <f>+'DATOS BASE '!$G$15</f>
        <v>500000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3">
        <f>+'DATOS BASE '!$G$15</f>
        <v>500000</v>
      </c>
      <c r="AZ13" s="4">
        <f>SUM(C13:N13)</f>
        <v>1000000</v>
      </c>
      <c r="BA13" s="4">
        <f>SUM(O13:Z13)</f>
        <v>0</v>
      </c>
      <c r="BB13" s="4">
        <f>SUM(AA13:AL13)</f>
        <v>1000000</v>
      </c>
      <c r="BC13" s="4">
        <f>SUM(AM13:AX13)</f>
        <v>1000000</v>
      </c>
    </row>
    <row r="14" spans="2:55" ht="15" thickBot="1" x14ac:dyDescent="0.35">
      <c r="B14" s="1" t="s">
        <v>22</v>
      </c>
      <c r="C14" s="2">
        <f>+'DATOS BASE '!$G$16</f>
        <v>50000</v>
      </c>
      <c r="D14" s="2">
        <f>+'DATOS BASE '!$G$16</f>
        <v>50000</v>
      </c>
      <c r="E14" s="2">
        <f>+'DATOS BASE '!$G$16</f>
        <v>50000</v>
      </c>
      <c r="F14" s="2">
        <f>+'DATOS BASE '!$G$16</f>
        <v>50000</v>
      </c>
      <c r="G14" s="2">
        <f>+'DATOS BASE '!$G$16</f>
        <v>50000</v>
      </c>
      <c r="H14" s="2">
        <f>+'DATOS BASE '!$G$16</f>
        <v>50000</v>
      </c>
      <c r="I14" s="2">
        <f>+'DATOS BASE '!$G$16</f>
        <v>50000</v>
      </c>
      <c r="J14" s="2">
        <f>+'DATOS BASE '!$G$16</f>
        <v>50000</v>
      </c>
      <c r="K14" s="2">
        <f>+'DATOS BASE '!$G$16</f>
        <v>50000</v>
      </c>
      <c r="L14" s="2">
        <f>+'DATOS BASE '!$G$16</f>
        <v>50000</v>
      </c>
      <c r="M14" s="2">
        <f>+'DATOS BASE '!$G$16</f>
        <v>50000</v>
      </c>
      <c r="N14" s="2">
        <f>+'DATOS BASE '!$G$16</f>
        <v>50000</v>
      </c>
      <c r="O14" s="2">
        <f>+'DATOS BASE '!$G$16</f>
        <v>50000</v>
      </c>
      <c r="P14" s="2">
        <f>+'DATOS BASE '!$G$16</f>
        <v>50000</v>
      </c>
      <c r="Q14" s="2">
        <f>+'DATOS BASE '!$G$16</f>
        <v>50000</v>
      </c>
      <c r="R14" s="2">
        <f>+'DATOS BASE '!$G$16</f>
        <v>50000</v>
      </c>
      <c r="S14" s="2">
        <f>+'DATOS BASE '!$G$16</f>
        <v>50000</v>
      </c>
      <c r="T14" s="2">
        <f>+'DATOS BASE '!$G$16</f>
        <v>50000</v>
      </c>
      <c r="U14" s="2">
        <f>+'DATOS BASE '!$G$16</f>
        <v>50000</v>
      </c>
      <c r="V14" s="2">
        <f>+'DATOS BASE '!$G$16</f>
        <v>50000</v>
      </c>
      <c r="W14" s="2">
        <f>+'DATOS BASE '!$G$16</f>
        <v>50000</v>
      </c>
      <c r="X14" s="2">
        <f>+'DATOS BASE '!$G$16</f>
        <v>50000</v>
      </c>
      <c r="Y14" s="2">
        <f>+'DATOS BASE '!$G$16</f>
        <v>50000</v>
      </c>
      <c r="Z14" s="2">
        <f>+'DATOS BASE '!$G$16</f>
        <v>50000</v>
      </c>
      <c r="AA14" s="2">
        <f>+'DATOS BASE '!$G$16</f>
        <v>50000</v>
      </c>
      <c r="AB14" s="2">
        <f>+'DATOS BASE '!$G$16</f>
        <v>50000</v>
      </c>
      <c r="AC14" s="2">
        <f>+'DATOS BASE '!$G$16</f>
        <v>50000</v>
      </c>
      <c r="AD14" s="2">
        <f>+'DATOS BASE '!$G$16</f>
        <v>50000</v>
      </c>
      <c r="AE14" s="2">
        <f>+'DATOS BASE '!$G$16</f>
        <v>50000</v>
      </c>
      <c r="AF14" s="2">
        <f>+'DATOS BASE '!$G$16</f>
        <v>50000</v>
      </c>
      <c r="AG14" s="2">
        <f>+'DATOS BASE '!$G$16</f>
        <v>50000</v>
      </c>
      <c r="AH14" s="2">
        <f>+'DATOS BASE '!$G$16</f>
        <v>50000</v>
      </c>
      <c r="AI14" s="2">
        <f>+'DATOS BASE '!$G$16</f>
        <v>50000</v>
      </c>
      <c r="AJ14" s="2">
        <f>+'DATOS BASE '!$G$16</f>
        <v>50000</v>
      </c>
      <c r="AK14" s="2">
        <f>+'DATOS BASE '!$G$16</f>
        <v>50000</v>
      </c>
      <c r="AL14" s="2">
        <f>+'DATOS BASE '!$G$16</f>
        <v>50000</v>
      </c>
      <c r="AM14" s="2">
        <f>+'DATOS BASE '!$G$16</f>
        <v>50000</v>
      </c>
      <c r="AN14" s="2">
        <f>+'DATOS BASE '!$G$16</f>
        <v>50000</v>
      </c>
      <c r="AO14" s="2">
        <f>+'DATOS BASE '!$G$16</f>
        <v>50000</v>
      </c>
      <c r="AP14" s="2">
        <f>+'DATOS BASE '!$G$16</f>
        <v>50000</v>
      </c>
      <c r="AQ14" s="2">
        <f>+'DATOS BASE '!$G$16</f>
        <v>50000</v>
      </c>
      <c r="AR14" s="2">
        <f>+'DATOS BASE '!$G$16</f>
        <v>50000</v>
      </c>
      <c r="AS14" s="2">
        <f>+'DATOS BASE '!$G$16</f>
        <v>50000</v>
      </c>
      <c r="AT14" s="2">
        <f>+'DATOS BASE '!$G$16</f>
        <v>50000</v>
      </c>
      <c r="AU14" s="2">
        <f>+'DATOS BASE '!$G$16</f>
        <v>50000</v>
      </c>
      <c r="AV14" s="2">
        <f>+'DATOS BASE '!$G$16</f>
        <v>50000</v>
      </c>
      <c r="AW14" s="2">
        <f>+'DATOS BASE '!$G$16</f>
        <v>50000</v>
      </c>
      <c r="AX14" s="3">
        <f>+'DATOS BASE '!$G$16</f>
        <v>50000</v>
      </c>
      <c r="AZ14" s="4">
        <f>SUM(C14:N14)</f>
        <v>600000</v>
      </c>
      <c r="BA14" s="4">
        <f>SUM(O14:Z14)</f>
        <v>600000</v>
      </c>
      <c r="BB14" s="4">
        <f>SUM(AA14:AL14)</f>
        <v>600000</v>
      </c>
      <c r="BC14" s="4">
        <f>SUM(AM14:AX14)</f>
        <v>600000</v>
      </c>
    </row>
    <row r="15" spans="2:55" ht="15" thickBot="1" x14ac:dyDescent="0.35">
      <c r="B15" s="149" t="s">
        <v>8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1"/>
      <c r="AZ15" s="4"/>
      <c r="BA15" s="4"/>
      <c r="BB15" s="4"/>
      <c r="BC15" s="4"/>
    </row>
    <row r="16" spans="2:55" ht="15.6" x14ac:dyDescent="0.3">
      <c r="B16" s="1" t="s">
        <v>75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8">
        <f>+'DATOS BASE '!$G$17</f>
        <v>896000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f>+'DATOS BASE '!$G$17</f>
        <v>896000</v>
      </c>
      <c r="X16" s="28">
        <v>0</v>
      </c>
      <c r="Y16" s="28">
        <v>0</v>
      </c>
      <c r="Z16" s="28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8">
        <f>+'DATOS BASE '!$G$17</f>
        <v>896000</v>
      </c>
      <c r="AJ16" s="28">
        <v>0</v>
      </c>
      <c r="AK16" s="28">
        <v>0</v>
      </c>
      <c r="AL16" s="28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8">
        <f>+'DATOS BASE '!$G$17</f>
        <v>896000</v>
      </c>
      <c r="AV16" s="28">
        <v>0</v>
      </c>
      <c r="AW16" s="28">
        <v>0</v>
      </c>
      <c r="AX16" s="74">
        <v>0</v>
      </c>
      <c r="AZ16" s="4">
        <f t="shared" ref="AZ16:AZ24" si="0">SUM(C16:N16)</f>
        <v>896000</v>
      </c>
      <c r="BA16" s="4">
        <f t="shared" ref="BA16:BA24" si="1">SUM(O16:Z16)</f>
        <v>896000</v>
      </c>
      <c r="BB16" s="4">
        <f t="shared" ref="BB16:BB24" si="2">SUM(AA16:AL16)</f>
        <v>896000</v>
      </c>
      <c r="BC16" s="4">
        <f t="shared" ref="BC16:BC24" si="3">SUM(AM16:AX16)</f>
        <v>896000</v>
      </c>
    </row>
    <row r="17" spans="2:55" ht="15.6" x14ac:dyDescent="0.3">
      <c r="B17" s="1" t="s">
        <v>86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">
        <f>+'DATOS BASE '!$G$24</f>
        <v>833333.33333333337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8">
        <v>0</v>
      </c>
      <c r="AJ17" s="28">
        <v>0</v>
      </c>
      <c r="AK17" s="28">
        <v>0</v>
      </c>
      <c r="AL17" s="28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8">
        <v>0</v>
      </c>
      <c r="AV17" s="28">
        <v>0</v>
      </c>
      <c r="AW17" s="28">
        <v>0</v>
      </c>
      <c r="AX17" s="74">
        <v>0</v>
      </c>
      <c r="AZ17" s="4">
        <f t="shared" si="0"/>
        <v>0</v>
      </c>
      <c r="BA17" s="4">
        <f t="shared" si="1"/>
        <v>833333.33333333337</v>
      </c>
      <c r="BB17" s="4">
        <f t="shared" si="2"/>
        <v>0</v>
      </c>
      <c r="BC17" s="4">
        <f t="shared" si="3"/>
        <v>0</v>
      </c>
    </row>
    <row r="18" spans="2:55" ht="15.6" x14ac:dyDescent="0.3">
      <c r="B18" s="1" t="s">
        <v>87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">
        <f>+'DATOS BASE '!$G$25</f>
        <v>2500000</v>
      </c>
      <c r="Y18" s="28">
        <v>0</v>
      </c>
      <c r="Z18" s="28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8">
        <v>0</v>
      </c>
      <c r="AJ18" s="28">
        <v>0</v>
      </c>
      <c r="AK18" s="28">
        <v>0</v>
      </c>
      <c r="AL18" s="28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8">
        <v>0</v>
      </c>
      <c r="AV18" s="28">
        <v>0</v>
      </c>
      <c r="AW18" s="28">
        <v>0</v>
      </c>
      <c r="AX18" s="74">
        <v>0</v>
      </c>
      <c r="AZ18" s="4">
        <f t="shared" si="0"/>
        <v>0</v>
      </c>
      <c r="BA18" s="4">
        <f t="shared" si="1"/>
        <v>2500000</v>
      </c>
      <c r="BB18" s="4">
        <f t="shared" si="2"/>
        <v>0</v>
      </c>
      <c r="BC18" s="4">
        <f t="shared" si="3"/>
        <v>0</v>
      </c>
    </row>
    <row r="19" spans="2:55" x14ac:dyDescent="0.3">
      <c r="B19" s="1" t="s">
        <v>113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f>+'DATOS BASE '!G26</f>
        <v>2500000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/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3">
        <v>0</v>
      </c>
      <c r="AZ19" s="4">
        <f t="shared" si="0"/>
        <v>0</v>
      </c>
      <c r="BA19" s="4">
        <f t="shared" si="1"/>
        <v>0</v>
      </c>
      <c r="BB19" s="4">
        <f t="shared" si="2"/>
        <v>2500000</v>
      </c>
      <c r="BC19" s="4">
        <f t="shared" si="3"/>
        <v>0</v>
      </c>
    </row>
    <row r="20" spans="2:55" x14ac:dyDescent="0.3">
      <c r="B20" s="1" t="s">
        <v>114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79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79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f>+'DATOS BASE '!G27</f>
        <v>2500000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79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/>
      <c r="AW20" s="2">
        <v>0</v>
      </c>
      <c r="AX20" s="3">
        <v>0</v>
      </c>
      <c r="AZ20" s="4">
        <f t="shared" si="0"/>
        <v>0</v>
      </c>
      <c r="BA20" s="4">
        <f t="shared" si="1"/>
        <v>0</v>
      </c>
      <c r="BB20" s="4">
        <f t="shared" si="2"/>
        <v>2500000</v>
      </c>
      <c r="BC20" s="4">
        <f t="shared" si="3"/>
        <v>0</v>
      </c>
    </row>
    <row r="21" spans="2:55" x14ac:dyDescent="0.3">
      <c r="B21" s="1" t="s">
        <v>143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79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79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79">
        <v>0</v>
      </c>
      <c r="AQ21" s="2">
        <f>+'DATOS BASE '!G28</f>
        <v>2500000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3">
        <v>0</v>
      </c>
      <c r="AZ21" s="4">
        <f t="shared" si="0"/>
        <v>0</v>
      </c>
      <c r="BA21" s="4">
        <f t="shared" si="1"/>
        <v>0</v>
      </c>
      <c r="BB21" s="4">
        <f t="shared" si="2"/>
        <v>0</v>
      </c>
      <c r="BC21" s="4">
        <f t="shared" si="3"/>
        <v>2500000</v>
      </c>
    </row>
    <row r="22" spans="2:55" x14ac:dyDescent="0.3">
      <c r="B22" s="1" t="s">
        <v>144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79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79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79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f>+'DATOS BASE '!G29</f>
        <v>2500000</v>
      </c>
      <c r="AW22" s="2">
        <v>0</v>
      </c>
      <c r="AX22" s="3">
        <v>0</v>
      </c>
      <c r="AZ22" s="4">
        <f t="shared" si="0"/>
        <v>0</v>
      </c>
      <c r="BA22" s="4">
        <f t="shared" si="1"/>
        <v>0</v>
      </c>
      <c r="BB22" s="4">
        <f t="shared" si="2"/>
        <v>0</v>
      </c>
      <c r="BC22" s="4">
        <f t="shared" si="3"/>
        <v>2500000</v>
      </c>
    </row>
    <row r="23" spans="2:55" x14ac:dyDescent="0.3">
      <c r="B23" s="1" t="s">
        <v>82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f>+'DATOS BASE '!G30</f>
        <v>500000</v>
      </c>
      <c r="K23" s="2">
        <v>0</v>
      </c>
      <c r="L23" s="2">
        <f>+'DATOS BASE '!$G$30</f>
        <v>500000</v>
      </c>
      <c r="M23" s="2">
        <v>0</v>
      </c>
      <c r="N23" s="2"/>
      <c r="O23" s="2">
        <f>+'DATOS BASE '!$G$30</f>
        <v>500000</v>
      </c>
      <c r="P23" s="2">
        <v>0</v>
      </c>
      <c r="Q23" s="2">
        <v>0</v>
      </c>
      <c r="R23" s="2">
        <f>+'DATOS BASE '!$G$30</f>
        <v>500000</v>
      </c>
      <c r="S23" s="2">
        <v>0</v>
      </c>
      <c r="T23" s="2">
        <v>0</v>
      </c>
      <c r="U23" s="2">
        <f>+'DATOS BASE '!$G$30</f>
        <v>500000</v>
      </c>
      <c r="W23" s="2">
        <v>0</v>
      </c>
      <c r="X23" s="2">
        <f>+'DATOS BASE '!$G$30</f>
        <v>500000</v>
      </c>
      <c r="Y23" s="2">
        <v>0</v>
      </c>
      <c r="AA23" s="2">
        <f>+'DATOS BASE '!$G$30</f>
        <v>500000</v>
      </c>
      <c r="AB23" s="2">
        <v>0</v>
      </c>
      <c r="AC23" s="2">
        <v>0</v>
      </c>
      <c r="AD23" s="2">
        <f>+'DATOS BASE '!$G$30</f>
        <v>500000</v>
      </c>
      <c r="AE23" s="2">
        <v>0</v>
      </c>
      <c r="AF23" s="2">
        <v>0</v>
      </c>
      <c r="AG23" s="2">
        <f>+'DATOS BASE '!$G$30</f>
        <v>500000</v>
      </c>
      <c r="AI23" s="2">
        <v>0</v>
      </c>
      <c r="AJ23" s="2">
        <f>+'DATOS BASE '!$G$30</f>
        <v>500000</v>
      </c>
      <c r="AK23" s="2">
        <v>0</v>
      </c>
      <c r="AM23" s="2">
        <f>+'DATOS BASE '!$G$30</f>
        <v>500000</v>
      </c>
      <c r="AN23" s="2">
        <v>0</v>
      </c>
      <c r="AO23" s="2">
        <v>0</v>
      </c>
      <c r="AP23" s="2">
        <f>+'DATOS BASE '!$G$30</f>
        <v>500000</v>
      </c>
      <c r="AQ23" s="2">
        <v>0</v>
      </c>
      <c r="AR23" s="2">
        <v>0</v>
      </c>
      <c r="AS23" s="2">
        <f>+'DATOS BASE '!$G$30</f>
        <v>500000</v>
      </c>
      <c r="AU23" s="2">
        <v>0</v>
      </c>
      <c r="AV23" s="3">
        <f>+'DATOS BASE '!$G$30</f>
        <v>500000</v>
      </c>
      <c r="AW23" s="2">
        <v>0</v>
      </c>
      <c r="AZ23" s="4">
        <f t="shared" si="0"/>
        <v>1000000</v>
      </c>
      <c r="BA23" s="4">
        <f t="shared" si="1"/>
        <v>2000000</v>
      </c>
      <c r="BB23" s="4">
        <f t="shared" si="2"/>
        <v>2000000</v>
      </c>
      <c r="BC23" s="4">
        <f t="shared" si="3"/>
        <v>2000000</v>
      </c>
    </row>
    <row r="24" spans="2:55" ht="15" thickBot="1" x14ac:dyDescent="0.35">
      <c r="B24" s="1" t="s">
        <v>83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f>+'DATOS BASE '!$G$31</f>
        <v>600000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f>+'DATOS BASE '!$G$31</f>
        <v>600000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f>+'DATOS BASE '!G31</f>
        <v>600000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f>+'DATOS BASE '!G31</f>
        <v>600000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f>+'DATOS BASE '!G31</f>
        <v>600000</v>
      </c>
      <c r="AR24" s="2">
        <v>0</v>
      </c>
      <c r="AS24" s="2">
        <v>0</v>
      </c>
      <c r="AT24" s="2">
        <v>0</v>
      </c>
      <c r="AU24" s="2">
        <v>0</v>
      </c>
      <c r="AV24" s="2">
        <f>+'DATOS BASE '!G31</f>
        <v>600000</v>
      </c>
      <c r="AW24" s="2">
        <v>0</v>
      </c>
      <c r="AX24" s="3">
        <v>0</v>
      </c>
      <c r="AZ24" s="4">
        <f t="shared" si="0"/>
        <v>0</v>
      </c>
      <c r="BA24" s="4">
        <f t="shared" si="1"/>
        <v>1200000</v>
      </c>
      <c r="BB24" s="4">
        <f t="shared" si="2"/>
        <v>1200000</v>
      </c>
      <c r="BC24" s="4">
        <f t="shared" si="3"/>
        <v>1200000</v>
      </c>
    </row>
    <row r="25" spans="2:55" ht="15" thickBot="1" x14ac:dyDescent="0.35">
      <c r="B25" s="149" t="s">
        <v>10</v>
      </c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1"/>
      <c r="AZ25" s="4"/>
      <c r="BA25" s="4"/>
      <c r="BB25" s="4"/>
      <c r="BC25" s="4"/>
    </row>
    <row r="26" spans="2:55" x14ac:dyDescent="0.3">
      <c r="B26" s="1" t="s">
        <v>11</v>
      </c>
      <c r="C26" s="2">
        <f>+'DATOS BASE '!$G$32</f>
        <v>1623500</v>
      </c>
      <c r="D26" s="2">
        <f>+'DATOS BASE '!$G$32</f>
        <v>1623500</v>
      </c>
      <c r="E26" s="2">
        <f>+'DATOS BASE '!$G$32</f>
        <v>1623500</v>
      </c>
      <c r="F26" s="2">
        <f>+'DATOS BASE '!$G$32</f>
        <v>1623500</v>
      </c>
      <c r="G26" s="2">
        <f>+'DATOS BASE '!$G$32</f>
        <v>1623500</v>
      </c>
      <c r="H26" s="2">
        <f>+'DATOS BASE '!$G$32</f>
        <v>1623500</v>
      </c>
      <c r="I26" s="2">
        <f>+'DATOS BASE '!$G$32</f>
        <v>1623500</v>
      </c>
      <c r="J26" s="2">
        <f>+'DATOS BASE '!$G$32</f>
        <v>1623500</v>
      </c>
      <c r="K26" s="2">
        <f>+'DATOS BASE '!$G$32</f>
        <v>1623500</v>
      </c>
      <c r="L26" s="2">
        <f>+'DATOS BASE '!$G$32</f>
        <v>1623500</v>
      </c>
      <c r="M26" s="2">
        <f>+'DATOS BASE '!$G$32</f>
        <v>1623500</v>
      </c>
      <c r="N26" s="2">
        <f>+'DATOS BASE '!$G$32</f>
        <v>1623500</v>
      </c>
      <c r="O26" s="2">
        <f>+'DATOS BASE '!$G$32</f>
        <v>1623500</v>
      </c>
      <c r="P26" s="2">
        <f>+'DATOS BASE '!$G$32</f>
        <v>1623500</v>
      </c>
      <c r="Q26" s="2">
        <f>+'DATOS BASE '!$G$32</f>
        <v>1623500</v>
      </c>
      <c r="R26" s="2">
        <f>+'DATOS BASE '!$G$32</f>
        <v>1623500</v>
      </c>
      <c r="S26" s="2">
        <f>+'DATOS BASE '!$G$32</f>
        <v>1623500</v>
      </c>
      <c r="T26" s="2">
        <f>+'DATOS BASE '!$G$32</f>
        <v>1623500</v>
      </c>
      <c r="U26" s="2">
        <f>+'DATOS BASE '!$G$32</f>
        <v>1623500</v>
      </c>
      <c r="V26" s="2">
        <f>+'DATOS BASE '!$G$32</f>
        <v>1623500</v>
      </c>
      <c r="W26" s="2">
        <f>+'DATOS BASE '!$G$32</f>
        <v>1623500</v>
      </c>
      <c r="X26" s="2">
        <f>+'DATOS BASE '!$G$32</f>
        <v>1623500</v>
      </c>
      <c r="Y26" s="2">
        <f>+'DATOS BASE '!$G$32</f>
        <v>1623500</v>
      </c>
      <c r="Z26" s="2">
        <f>+'DATOS BASE '!$G$32</f>
        <v>1623500</v>
      </c>
      <c r="AA26" s="2">
        <f>+'DATOS BASE '!$G$32</f>
        <v>1623500</v>
      </c>
      <c r="AB26" s="2">
        <f>+'DATOS BASE '!$G$32</f>
        <v>1623500</v>
      </c>
      <c r="AC26" s="2">
        <f>+'DATOS BASE '!$G$32</f>
        <v>1623500</v>
      </c>
      <c r="AD26" s="2">
        <f>+'DATOS BASE '!$G$32</f>
        <v>1623500</v>
      </c>
      <c r="AE26" s="2">
        <f>+'DATOS BASE '!$G$32</f>
        <v>1623500</v>
      </c>
      <c r="AF26" s="2">
        <f>+'DATOS BASE '!$G$32</f>
        <v>1623500</v>
      </c>
      <c r="AG26" s="2">
        <f>+'DATOS BASE '!$G$32</f>
        <v>1623500</v>
      </c>
      <c r="AH26" s="2">
        <f>+'DATOS BASE '!$G$32</f>
        <v>1623500</v>
      </c>
      <c r="AI26" s="2">
        <f>+'DATOS BASE '!$G$32</f>
        <v>1623500</v>
      </c>
      <c r="AJ26" s="2">
        <f>+'DATOS BASE '!$G$32</f>
        <v>1623500</v>
      </c>
      <c r="AK26" s="2">
        <f>+'DATOS BASE '!$G$32</f>
        <v>1623500</v>
      </c>
      <c r="AL26" s="2">
        <f>+'DATOS BASE '!$G$32</f>
        <v>1623500</v>
      </c>
      <c r="AM26" s="2">
        <f>+'DATOS BASE '!$G$32</f>
        <v>1623500</v>
      </c>
      <c r="AN26" s="2">
        <f>+'DATOS BASE '!$G$32</f>
        <v>1623500</v>
      </c>
      <c r="AO26" s="2">
        <f>+'DATOS BASE '!$G$32</f>
        <v>1623500</v>
      </c>
      <c r="AP26" s="2">
        <f>+'DATOS BASE '!$G$32</f>
        <v>1623500</v>
      </c>
      <c r="AQ26" s="2">
        <f>+'DATOS BASE '!$G$32</f>
        <v>1623500</v>
      </c>
      <c r="AR26" s="2">
        <f>+'DATOS BASE '!$G$32</f>
        <v>1623500</v>
      </c>
      <c r="AS26" s="2">
        <f>+'DATOS BASE '!$G$32</f>
        <v>1623500</v>
      </c>
      <c r="AT26" s="2">
        <f>+'DATOS BASE '!$G$32</f>
        <v>1623500</v>
      </c>
      <c r="AU26" s="2">
        <f>+'DATOS BASE '!$G$32</f>
        <v>1623500</v>
      </c>
      <c r="AV26" s="2">
        <f>+'DATOS BASE '!$G$32</f>
        <v>1623500</v>
      </c>
      <c r="AW26" s="2">
        <f>+'DATOS BASE '!$G$32</f>
        <v>1623500</v>
      </c>
      <c r="AX26" s="3">
        <f>+'DATOS BASE '!$G$32</f>
        <v>1623500</v>
      </c>
      <c r="AZ26" s="4">
        <f>SUM(C26:N26)</f>
        <v>19482000</v>
      </c>
      <c r="BA26" s="4">
        <f>SUM(O26:Z26)</f>
        <v>19482000</v>
      </c>
      <c r="BB26" s="4">
        <f>SUM(AA26:AL26)</f>
        <v>19482000</v>
      </c>
      <c r="BC26" s="4">
        <f>SUM(AM26:AX26)</f>
        <v>19482000</v>
      </c>
    </row>
    <row r="27" spans="2:55" x14ac:dyDescent="0.3">
      <c r="B27" s="1" t="s">
        <v>42</v>
      </c>
      <c r="C27" s="2">
        <v>40000</v>
      </c>
      <c r="D27" s="2">
        <v>40000</v>
      </c>
      <c r="E27" s="2">
        <v>40000</v>
      </c>
      <c r="F27" s="2">
        <v>40000</v>
      </c>
      <c r="G27" s="2">
        <v>40000</v>
      </c>
      <c r="H27" s="2">
        <v>40000</v>
      </c>
      <c r="I27" s="2">
        <v>40000</v>
      </c>
      <c r="J27" s="2">
        <v>40000</v>
      </c>
      <c r="K27" s="2">
        <v>40000</v>
      </c>
      <c r="L27" s="2">
        <v>40000</v>
      </c>
      <c r="M27" s="2">
        <v>40000</v>
      </c>
      <c r="N27" s="2">
        <v>40000</v>
      </c>
      <c r="O27" s="2">
        <v>40000</v>
      </c>
      <c r="P27" s="2">
        <v>40000</v>
      </c>
      <c r="Q27" s="2">
        <v>40000</v>
      </c>
      <c r="R27" s="2">
        <v>40000</v>
      </c>
      <c r="S27" s="2">
        <v>40000</v>
      </c>
      <c r="T27" s="2">
        <v>40000</v>
      </c>
      <c r="U27" s="2">
        <v>40000</v>
      </c>
      <c r="V27" s="2">
        <v>40000</v>
      </c>
      <c r="W27" s="2">
        <v>40000</v>
      </c>
      <c r="X27" s="2">
        <v>40000</v>
      </c>
      <c r="Y27" s="2">
        <v>40000</v>
      </c>
      <c r="Z27" s="2">
        <v>40000</v>
      </c>
      <c r="AA27" s="2">
        <f>+'DATOS BASE '!$G$33</f>
        <v>40000</v>
      </c>
      <c r="AB27" s="2">
        <v>40000</v>
      </c>
      <c r="AC27" s="2">
        <v>40000</v>
      </c>
      <c r="AD27" s="2">
        <v>40000</v>
      </c>
      <c r="AE27" s="2">
        <v>40000</v>
      </c>
      <c r="AF27" s="2">
        <v>40000</v>
      </c>
      <c r="AG27" s="2">
        <v>40000</v>
      </c>
      <c r="AH27" s="2">
        <v>40000</v>
      </c>
      <c r="AI27" s="2">
        <v>40000</v>
      </c>
      <c r="AJ27" s="2">
        <v>40000</v>
      </c>
      <c r="AK27" s="2">
        <v>40000</v>
      </c>
      <c r="AL27" s="2">
        <v>40000</v>
      </c>
      <c r="AM27" s="2">
        <f>+'DATOS BASE '!$G$33</f>
        <v>40000</v>
      </c>
      <c r="AN27" s="2">
        <v>40000</v>
      </c>
      <c r="AO27" s="2">
        <v>40000</v>
      </c>
      <c r="AP27" s="2">
        <v>40000</v>
      </c>
      <c r="AQ27" s="2">
        <v>40000</v>
      </c>
      <c r="AR27" s="2">
        <v>40000</v>
      </c>
      <c r="AS27" s="2">
        <v>40000</v>
      </c>
      <c r="AT27" s="2">
        <v>40000</v>
      </c>
      <c r="AU27" s="2">
        <v>40000</v>
      </c>
      <c r="AV27" s="2">
        <v>40000</v>
      </c>
      <c r="AW27" s="2">
        <v>40000</v>
      </c>
      <c r="AX27" s="3">
        <v>40000</v>
      </c>
      <c r="AZ27" s="4">
        <f>SUM(C27:N27)</f>
        <v>480000</v>
      </c>
      <c r="BA27" s="4">
        <f>SUM(O27:Z27)</f>
        <v>480000</v>
      </c>
      <c r="BB27" s="4">
        <f>SUM(AA27:AL27)</f>
        <v>480000</v>
      </c>
      <c r="BC27" s="4">
        <f>SUM(AM27:AX27)</f>
        <v>480000</v>
      </c>
    </row>
    <row r="28" spans="2:55" x14ac:dyDescent="0.3">
      <c r="B28" s="1" t="s">
        <v>12</v>
      </c>
      <c r="C28" s="2">
        <f>+'DATOS BASE '!$G$34</f>
        <v>50000</v>
      </c>
      <c r="D28" s="2">
        <v>50000</v>
      </c>
      <c r="E28" s="2">
        <v>50000</v>
      </c>
      <c r="F28" s="2">
        <v>50000</v>
      </c>
      <c r="G28" s="2">
        <v>50000</v>
      </c>
      <c r="H28" s="2">
        <v>50000</v>
      </c>
      <c r="I28" s="2">
        <v>50000</v>
      </c>
      <c r="J28" s="2">
        <v>50000</v>
      </c>
      <c r="K28" s="2">
        <v>50000</v>
      </c>
      <c r="L28" s="2">
        <v>50000</v>
      </c>
      <c r="M28" s="2">
        <v>50000</v>
      </c>
      <c r="N28" s="2">
        <v>50000</v>
      </c>
      <c r="O28" s="2">
        <v>50000</v>
      </c>
      <c r="P28" s="2">
        <v>50000</v>
      </c>
      <c r="Q28" s="2">
        <v>50000</v>
      </c>
      <c r="R28" s="2">
        <v>50000</v>
      </c>
      <c r="S28" s="2">
        <v>50000</v>
      </c>
      <c r="T28" s="2">
        <v>50000</v>
      </c>
      <c r="U28" s="2">
        <v>50000</v>
      </c>
      <c r="V28" s="2">
        <v>50000</v>
      </c>
      <c r="W28" s="2">
        <v>50000</v>
      </c>
      <c r="X28" s="2">
        <v>50000</v>
      </c>
      <c r="Y28" s="2">
        <v>50000</v>
      </c>
      <c r="Z28" s="2">
        <v>50000</v>
      </c>
      <c r="AA28" s="2">
        <f>+'DATOS BASE '!$G$34</f>
        <v>50000</v>
      </c>
      <c r="AB28" s="2">
        <v>50000</v>
      </c>
      <c r="AC28" s="2">
        <v>50000</v>
      </c>
      <c r="AD28" s="2">
        <v>50000</v>
      </c>
      <c r="AE28" s="2">
        <v>50000</v>
      </c>
      <c r="AF28" s="2">
        <v>50000</v>
      </c>
      <c r="AG28" s="2">
        <v>50000</v>
      </c>
      <c r="AH28" s="2">
        <v>50000</v>
      </c>
      <c r="AI28" s="2">
        <v>50000</v>
      </c>
      <c r="AJ28" s="2">
        <v>50000</v>
      </c>
      <c r="AK28" s="2">
        <v>50000</v>
      </c>
      <c r="AL28" s="2">
        <v>50000</v>
      </c>
      <c r="AM28" s="2">
        <f>+'DATOS BASE '!$G$34</f>
        <v>50000</v>
      </c>
      <c r="AN28" s="2">
        <v>50000</v>
      </c>
      <c r="AO28" s="2">
        <v>50000</v>
      </c>
      <c r="AP28" s="2">
        <v>50000</v>
      </c>
      <c r="AQ28" s="2">
        <v>50000</v>
      </c>
      <c r="AR28" s="2">
        <v>50000</v>
      </c>
      <c r="AS28" s="2">
        <v>50000</v>
      </c>
      <c r="AT28" s="2">
        <v>50000</v>
      </c>
      <c r="AU28" s="2">
        <v>50000</v>
      </c>
      <c r="AV28" s="2">
        <v>50000</v>
      </c>
      <c r="AW28" s="2">
        <v>50000</v>
      </c>
      <c r="AX28" s="3">
        <v>50000</v>
      </c>
      <c r="AZ28" s="4">
        <f>SUM(C28:N28)</f>
        <v>600000</v>
      </c>
      <c r="BA28" s="4">
        <f>SUM(O28:Z28)</f>
        <v>600000</v>
      </c>
      <c r="BB28" s="4">
        <f>SUM(AA28:AL28)</f>
        <v>600000</v>
      </c>
      <c r="BC28" s="4">
        <f>SUM(AM28:AX28)</f>
        <v>600000</v>
      </c>
    </row>
    <row r="29" spans="2:55" x14ac:dyDescent="0.3">
      <c r="B29" s="1" t="s">
        <v>14</v>
      </c>
      <c r="C29" s="2">
        <v>500000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3">
        <v>0</v>
      </c>
      <c r="AZ29" s="4">
        <f>SUM(C29:N29)</f>
        <v>500000</v>
      </c>
      <c r="BA29" s="4">
        <f>SUM(O29:Z29)</f>
        <v>0</v>
      </c>
      <c r="BB29" s="4">
        <f>SUM(AA29:AL29)</f>
        <v>0</v>
      </c>
      <c r="BC29" s="4">
        <f>SUM(AM29:AX29)</f>
        <v>0</v>
      </c>
    </row>
    <row r="30" spans="2:55" ht="15" thickBot="1" x14ac:dyDescent="0.35">
      <c r="B30" s="1" t="s">
        <v>43</v>
      </c>
      <c r="C30" s="82">
        <f t="shared" ref="C30:AL30" si="4">+SUM(C5:C9,C11:C14,C16:C24,C26:C28,C29:C29)</f>
        <v>34139352.299999997</v>
      </c>
      <c r="D30" s="82">
        <f t="shared" si="4"/>
        <v>2149958.2999999998</v>
      </c>
      <c r="E30" s="82">
        <f t="shared" si="4"/>
        <v>2149958.2999999998</v>
      </c>
      <c r="F30" s="82">
        <f t="shared" si="4"/>
        <v>2149958.2999999998</v>
      </c>
      <c r="G30" s="82">
        <f t="shared" si="4"/>
        <v>2149958.2999999998</v>
      </c>
      <c r="H30" s="82">
        <f t="shared" si="4"/>
        <v>2149958.2999999998</v>
      </c>
      <c r="I30" s="82">
        <f t="shared" si="4"/>
        <v>2649958.2999999998</v>
      </c>
      <c r="J30" s="82">
        <f t="shared" si="4"/>
        <v>2149958.2999999998</v>
      </c>
      <c r="K30" s="82">
        <f t="shared" si="4"/>
        <v>3045958.3</v>
      </c>
      <c r="L30" s="82">
        <f t="shared" si="4"/>
        <v>2649958.2999999998</v>
      </c>
      <c r="M30" s="82">
        <f t="shared" si="4"/>
        <v>2149958.2999999998</v>
      </c>
      <c r="N30" s="82">
        <f t="shared" si="4"/>
        <v>3849958.3</v>
      </c>
      <c r="O30" s="82">
        <f t="shared" si="4"/>
        <v>2649958.2999999998</v>
      </c>
      <c r="P30" s="82">
        <f t="shared" si="4"/>
        <v>2149958.2999999998</v>
      </c>
      <c r="Q30" s="82">
        <f t="shared" si="4"/>
        <v>2149958.2999999998</v>
      </c>
      <c r="R30" s="82">
        <f t="shared" si="4"/>
        <v>4083291.6333333333</v>
      </c>
      <c r="S30" s="82">
        <f t="shared" si="4"/>
        <v>2149958.2999999998</v>
      </c>
      <c r="T30" s="82">
        <f t="shared" si="4"/>
        <v>2149958.2999999998</v>
      </c>
      <c r="U30" s="82">
        <f t="shared" si="4"/>
        <v>2649958.2999999998</v>
      </c>
      <c r="V30" s="82">
        <f t="shared" si="4"/>
        <v>2149958.2999999998</v>
      </c>
      <c r="W30" s="82">
        <f t="shared" si="4"/>
        <v>3045958.3</v>
      </c>
      <c r="X30" s="82">
        <f t="shared" si="4"/>
        <v>5749958.2999999998</v>
      </c>
      <c r="Y30" s="82">
        <f t="shared" si="4"/>
        <v>2149958.2999999998</v>
      </c>
      <c r="Z30" s="82">
        <f t="shared" si="4"/>
        <v>3149958.3</v>
      </c>
      <c r="AA30" s="82">
        <f t="shared" si="4"/>
        <v>3349958.3</v>
      </c>
      <c r="AB30" s="82">
        <f t="shared" si="4"/>
        <v>2149958.2999999998</v>
      </c>
      <c r="AC30" s="82">
        <f t="shared" si="4"/>
        <v>2149958.2999999998</v>
      </c>
      <c r="AD30" s="82">
        <f t="shared" si="4"/>
        <v>5749958.2999999998</v>
      </c>
      <c r="AE30" s="82">
        <f t="shared" si="4"/>
        <v>2149958.2999999998</v>
      </c>
      <c r="AF30" s="82">
        <f t="shared" si="4"/>
        <v>2149958.2999999998</v>
      </c>
      <c r="AG30" s="82">
        <f t="shared" si="4"/>
        <v>2649958.2999999998</v>
      </c>
      <c r="AH30" s="82">
        <f t="shared" si="4"/>
        <v>2149958.2999999998</v>
      </c>
      <c r="AI30" s="82">
        <f t="shared" si="4"/>
        <v>3045958.3</v>
      </c>
      <c r="AJ30" s="82">
        <f t="shared" si="4"/>
        <v>5749958.2999999998</v>
      </c>
      <c r="AK30" s="82">
        <f t="shared" si="4"/>
        <v>2149958.2999999998</v>
      </c>
      <c r="AL30" s="82">
        <f t="shared" si="4"/>
        <v>3849958.3</v>
      </c>
      <c r="AM30" s="82">
        <f t="shared" ref="AM30:AX30" si="5">+SUM(AM5:AM9,AM11:AM14,AM16:AM24,AM26:AM28,AM29:AM29)</f>
        <v>3349958.3</v>
      </c>
      <c r="AN30" s="82">
        <f t="shared" si="5"/>
        <v>2149958.2999999998</v>
      </c>
      <c r="AO30" s="82">
        <f t="shared" si="5"/>
        <v>2149958.2999999998</v>
      </c>
      <c r="AP30" s="82">
        <f t="shared" si="5"/>
        <v>2649958.2999999998</v>
      </c>
      <c r="AQ30" s="82">
        <f t="shared" si="5"/>
        <v>5249958.3</v>
      </c>
      <c r="AR30" s="82">
        <f t="shared" si="5"/>
        <v>2149958.2999999998</v>
      </c>
      <c r="AS30" s="82">
        <f t="shared" si="5"/>
        <v>2649958.2999999998</v>
      </c>
      <c r="AT30" s="82">
        <f t="shared" si="5"/>
        <v>2149958.2999999998</v>
      </c>
      <c r="AU30" s="82">
        <f t="shared" si="5"/>
        <v>3045958.3</v>
      </c>
      <c r="AV30" s="82">
        <f t="shared" si="5"/>
        <v>5749958.2999999998</v>
      </c>
      <c r="AW30" s="82">
        <f t="shared" si="5"/>
        <v>2149958.2999999998</v>
      </c>
      <c r="AX30" s="83">
        <f t="shared" si="5"/>
        <v>3849958.3</v>
      </c>
      <c r="AZ30" s="4"/>
      <c r="BA30" s="4"/>
      <c r="BB30" s="4"/>
      <c r="BC30" s="4"/>
    </row>
    <row r="31" spans="2:55" ht="15" thickBot="1" x14ac:dyDescent="0.35"/>
    <row r="32" spans="2:55" x14ac:dyDescent="0.3">
      <c r="B32" s="143" t="s">
        <v>0</v>
      </c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5"/>
    </row>
    <row r="33" spans="2:50" ht="15" thickBot="1" x14ac:dyDescent="0.35"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8"/>
    </row>
    <row r="34" spans="2:50" ht="15" thickBot="1" x14ac:dyDescent="0.35">
      <c r="B34" s="80" t="s">
        <v>16</v>
      </c>
      <c r="C34" s="77" t="s">
        <v>15</v>
      </c>
      <c r="D34" s="77" t="s">
        <v>17</v>
      </c>
      <c r="E34" s="77" t="s">
        <v>18</v>
      </c>
      <c r="F34" s="77" t="s">
        <v>19</v>
      </c>
      <c r="G34" s="77" t="s">
        <v>20</v>
      </c>
      <c r="H34" s="77" t="s">
        <v>23</v>
      </c>
      <c r="I34" s="77" t="s">
        <v>24</v>
      </c>
      <c r="J34" s="77" t="s">
        <v>25</v>
      </c>
      <c r="K34" s="77" t="s">
        <v>26</v>
      </c>
      <c r="L34" s="77" t="s">
        <v>27</v>
      </c>
      <c r="M34" s="77" t="s">
        <v>28</v>
      </c>
      <c r="N34" s="77" t="s">
        <v>29</v>
      </c>
      <c r="O34" s="77" t="s">
        <v>30</v>
      </c>
      <c r="P34" s="77" t="s">
        <v>31</v>
      </c>
      <c r="Q34" s="77" t="s">
        <v>32</v>
      </c>
      <c r="R34" s="77" t="s">
        <v>33</v>
      </c>
      <c r="S34" s="77" t="s">
        <v>34</v>
      </c>
      <c r="T34" s="77" t="s">
        <v>35</v>
      </c>
      <c r="U34" s="77" t="s">
        <v>36</v>
      </c>
      <c r="V34" s="77" t="s">
        <v>37</v>
      </c>
      <c r="W34" s="77" t="s">
        <v>38</v>
      </c>
      <c r="X34" s="77" t="s">
        <v>39</v>
      </c>
      <c r="Y34" s="77" t="s">
        <v>40</v>
      </c>
      <c r="Z34" s="77" t="s">
        <v>41</v>
      </c>
      <c r="AA34" s="77" t="s">
        <v>93</v>
      </c>
      <c r="AB34" s="77" t="s">
        <v>94</v>
      </c>
      <c r="AC34" s="77" t="s">
        <v>95</v>
      </c>
      <c r="AD34" s="77" t="s">
        <v>96</v>
      </c>
      <c r="AE34" s="77" t="s">
        <v>97</v>
      </c>
      <c r="AF34" s="77" t="s">
        <v>98</v>
      </c>
      <c r="AG34" s="77" t="s">
        <v>99</v>
      </c>
      <c r="AH34" s="77" t="s">
        <v>100</v>
      </c>
      <c r="AI34" s="77" t="s">
        <v>101</v>
      </c>
      <c r="AJ34" s="77" t="s">
        <v>102</v>
      </c>
      <c r="AK34" s="77" t="s">
        <v>103</v>
      </c>
      <c r="AL34" s="77" t="s">
        <v>104</v>
      </c>
      <c r="AM34" s="77" t="s">
        <v>126</v>
      </c>
      <c r="AN34" s="77" t="s">
        <v>127</v>
      </c>
      <c r="AO34" s="77" t="s">
        <v>128</v>
      </c>
      <c r="AP34" s="77" t="s">
        <v>129</v>
      </c>
      <c r="AQ34" s="77" t="s">
        <v>130</v>
      </c>
      <c r="AR34" s="77" t="s">
        <v>131</v>
      </c>
      <c r="AS34" s="77" t="s">
        <v>132</v>
      </c>
      <c r="AT34" s="77" t="s">
        <v>133</v>
      </c>
      <c r="AU34" s="77" t="s">
        <v>134</v>
      </c>
      <c r="AV34" s="77" t="s">
        <v>135</v>
      </c>
      <c r="AW34" s="77" t="s">
        <v>136</v>
      </c>
      <c r="AX34" s="81" t="s">
        <v>137</v>
      </c>
    </row>
    <row r="35" spans="2:50" ht="15" thickBot="1" x14ac:dyDescent="0.35">
      <c r="B35" s="149" t="s">
        <v>117</v>
      </c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3"/>
    </row>
    <row r="36" spans="2:50" x14ac:dyDescent="0.3">
      <c r="B36" s="1" t="s">
        <v>91</v>
      </c>
      <c r="C36" s="86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f>+'DATOS BASE '!$G$73</f>
        <v>6222080</v>
      </c>
      <c r="J36" s="87"/>
      <c r="K36" s="87">
        <v>0</v>
      </c>
      <c r="L36" s="87">
        <f>+'DATOS BASE '!$G$73</f>
        <v>6222080</v>
      </c>
      <c r="M36" s="87">
        <v>0</v>
      </c>
      <c r="N36" s="87"/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8">
        <v>0</v>
      </c>
    </row>
    <row r="37" spans="2:50" x14ac:dyDescent="0.3">
      <c r="B37" s="1" t="s">
        <v>92</v>
      </c>
      <c r="C37" s="89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f>+'DATOS BASE '!$G$74</f>
        <v>6735360</v>
      </c>
      <c r="P37" s="2">
        <v>0</v>
      </c>
      <c r="Q37" s="2">
        <v>0</v>
      </c>
      <c r="R37" s="2">
        <f>+'DATOS BASE '!$G$74</f>
        <v>6735360</v>
      </c>
      <c r="S37" s="2">
        <v>0</v>
      </c>
      <c r="T37" s="2">
        <v>0</v>
      </c>
      <c r="U37" s="2">
        <f>+'DATOS BASE '!$G$74</f>
        <v>6735360</v>
      </c>
      <c r="W37" s="2">
        <v>0</v>
      </c>
      <c r="X37" s="2">
        <f>+'DATOS BASE '!$G$74</f>
        <v>6735360</v>
      </c>
      <c r="Y37" s="2">
        <v>0</v>
      </c>
      <c r="Z37" s="2"/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3">
        <v>0</v>
      </c>
    </row>
    <row r="38" spans="2:50" x14ac:dyDescent="0.3">
      <c r="B38" s="1" t="s">
        <v>138</v>
      </c>
      <c r="C38" s="89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f>'DATOS BASE '!$G$75</f>
        <v>7248640</v>
      </c>
      <c r="AB38" s="2">
        <v>0</v>
      </c>
      <c r="AC38" s="2">
        <v>0</v>
      </c>
      <c r="AD38" s="2">
        <f>'DATOS BASE '!$G$75</f>
        <v>7248640</v>
      </c>
      <c r="AE38" s="2">
        <v>0</v>
      </c>
      <c r="AF38" s="2">
        <v>0</v>
      </c>
      <c r="AG38" s="2">
        <f>'DATOS BASE '!$G$75</f>
        <v>7248640</v>
      </c>
      <c r="AH38" s="2"/>
      <c r="AI38" s="2">
        <v>0</v>
      </c>
      <c r="AJ38" s="2">
        <f>'DATOS BASE '!$G$75</f>
        <v>7248640</v>
      </c>
      <c r="AK38" s="2">
        <v>0</v>
      </c>
      <c r="AL38" s="2"/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3">
        <v>0</v>
      </c>
    </row>
    <row r="39" spans="2:50" x14ac:dyDescent="0.3">
      <c r="B39" s="1" t="s">
        <v>139</v>
      </c>
      <c r="C39" s="89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f>+'DATOS BASE '!$G$76</f>
        <v>7761920</v>
      </c>
      <c r="AN39" s="2">
        <v>0</v>
      </c>
      <c r="AO39" s="2">
        <v>0</v>
      </c>
      <c r="AP39" s="2">
        <f>+'DATOS BASE '!$G$76</f>
        <v>7761920</v>
      </c>
      <c r="AQ39" s="2">
        <v>0</v>
      </c>
      <c r="AR39" s="2">
        <v>0</v>
      </c>
      <c r="AS39" s="2">
        <f>+'DATOS BASE '!$G$76</f>
        <v>7761920</v>
      </c>
      <c r="AU39" s="2">
        <v>0</v>
      </c>
      <c r="AV39" s="2">
        <f>+'DATOS BASE '!$G$76</f>
        <v>7761920</v>
      </c>
      <c r="AW39" s="2">
        <v>0</v>
      </c>
      <c r="AX39" s="3"/>
    </row>
    <row r="40" spans="2:50" x14ac:dyDescent="0.3">
      <c r="B40" s="1" t="s">
        <v>118</v>
      </c>
      <c r="C40" s="89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f>+'DATOS BASE '!G61</f>
        <v>9990625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3">
        <v>0</v>
      </c>
    </row>
    <row r="41" spans="2:50" x14ac:dyDescent="0.3">
      <c r="B41" s="1" t="s">
        <v>119</v>
      </c>
      <c r="C41" s="89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f>+'DATOS BASE '!$G$62</f>
        <v>29971875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3">
        <v>0</v>
      </c>
    </row>
    <row r="42" spans="2:50" x14ac:dyDescent="0.3">
      <c r="B42" s="1" t="s">
        <v>120</v>
      </c>
      <c r="C42" s="89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f>'DATOS BASE '!G63</f>
        <v>31856250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/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3">
        <v>0</v>
      </c>
    </row>
    <row r="43" spans="2:50" x14ac:dyDescent="0.3">
      <c r="B43" s="1" t="s">
        <v>121</v>
      </c>
      <c r="C43" s="89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f>'DATOS BASE '!G64</f>
        <v>31856250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/>
      <c r="AW43" s="2">
        <v>0</v>
      </c>
      <c r="AX43" s="3">
        <v>0</v>
      </c>
    </row>
    <row r="44" spans="2:50" x14ac:dyDescent="0.3">
      <c r="B44" s="1" t="s">
        <v>141</v>
      </c>
      <c r="C44" s="89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f>+'DATOS BASE '!G65</f>
        <v>33750000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3">
        <v>0</v>
      </c>
    </row>
    <row r="45" spans="2:50" x14ac:dyDescent="0.3">
      <c r="B45" s="1" t="s">
        <v>142</v>
      </c>
      <c r="C45" s="89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f>+'DATOS BASE '!G66</f>
        <v>33750000</v>
      </c>
      <c r="AW45" s="2">
        <v>0</v>
      </c>
      <c r="AX45" s="3">
        <v>0</v>
      </c>
    </row>
    <row r="46" spans="2:50" ht="15" thickBot="1" x14ac:dyDescent="0.35">
      <c r="B46" s="1" t="s">
        <v>122</v>
      </c>
      <c r="C46" s="90">
        <f t="shared" ref="C46:AU46" si="6">SUM(C36:C45)</f>
        <v>0</v>
      </c>
      <c r="D46" s="84">
        <f t="shared" si="6"/>
        <v>0</v>
      </c>
      <c r="E46" s="84">
        <f t="shared" si="6"/>
        <v>0</v>
      </c>
      <c r="F46" s="84">
        <f t="shared" si="6"/>
        <v>0</v>
      </c>
      <c r="G46" s="84">
        <f t="shared" si="6"/>
        <v>0</v>
      </c>
      <c r="H46" s="84">
        <f t="shared" si="6"/>
        <v>0</v>
      </c>
      <c r="I46" s="84">
        <f t="shared" si="6"/>
        <v>6222080</v>
      </c>
      <c r="J46" s="84">
        <f t="shared" si="6"/>
        <v>0</v>
      </c>
      <c r="K46" s="84">
        <f t="shared" si="6"/>
        <v>0</v>
      </c>
      <c r="L46" s="84">
        <f t="shared" si="6"/>
        <v>6222080</v>
      </c>
      <c r="M46" s="84">
        <f t="shared" si="6"/>
        <v>0</v>
      </c>
      <c r="N46" s="84">
        <f t="shared" si="6"/>
        <v>0</v>
      </c>
      <c r="O46" s="84">
        <f t="shared" si="6"/>
        <v>6735360</v>
      </c>
      <c r="P46" s="84">
        <f t="shared" si="6"/>
        <v>0</v>
      </c>
      <c r="Q46" s="84">
        <f t="shared" si="6"/>
        <v>0</v>
      </c>
      <c r="R46" s="84">
        <f t="shared" si="6"/>
        <v>16725985</v>
      </c>
      <c r="S46" s="84">
        <f t="shared" si="6"/>
        <v>0</v>
      </c>
      <c r="T46" s="84">
        <f t="shared" si="6"/>
        <v>0</v>
      </c>
      <c r="U46" s="84">
        <f t="shared" si="6"/>
        <v>6735360</v>
      </c>
      <c r="V46" s="84">
        <f t="shared" si="6"/>
        <v>0</v>
      </c>
      <c r="W46" s="84">
        <f t="shared" si="6"/>
        <v>0</v>
      </c>
      <c r="X46" s="84">
        <f t="shared" si="6"/>
        <v>36707235</v>
      </c>
      <c r="Y46" s="84">
        <f t="shared" si="6"/>
        <v>0</v>
      </c>
      <c r="Z46" s="84">
        <f t="shared" si="6"/>
        <v>0</v>
      </c>
      <c r="AA46" s="84">
        <f t="shared" si="6"/>
        <v>7248640</v>
      </c>
      <c r="AB46" s="84">
        <f t="shared" si="6"/>
        <v>0</v>
      </c>
      <c r="AC46" s="84">
        <f t="shared" si="6"/>
        <v>0</v>
      </c>
      <c r="AD46" s="84">
        <f t="shared" si="6"/>
        <v>39104890</v>
      </c>
      <c r="AE46" s="84">
        <f t="shared" si="6"/>
        <v>0</v>
      </c>
      <c r="AF46" s="84">
        <f t="shared" si="6"/>
        <v>0</v>
      </c>
      <c r="AG46" s="84">
        <f t="shared" si="6"/>
        <v>7248640</v>
      </c>
      <c r="AH46" s="84">
        <f t="shared" si="6"/>
        <v>0</v>
      </c>
      <c r="AI46" s="84">
        <f t="shared" si="6"/>
        <v>0</v>
      </c>
      <c r="AJ46" s="84">
        <f t="shared" si="6"/>
        <v>39104890</v>
      </c>
      <c r="AK46" s="84">
        <f t="shared" si="6"/>
        <v>0</v>
      </c>
      <c r="AL46" s="84">
        <f t="shared" si="6"/>
        <v>0</v>
      </c>
      <c r="AM46" s="84">
        <f t="shared" si="6"/>
        <v>7761920</v>
      </c>
      <c r="AN46" s="84">
        <f t="shared" si="6"/>
        <v>0</v>
      </c>
      <c r="AO46" s="84">
        <f t="shared" si="6"/>
        <v>0</v>
      </c>
      <c r="AP46" s="84">
        <f t="shared" si="6"/>
        <v>7761920</v>
      </c>
      <c r="AQ46" s="84">
        <f t="shared" si="6"/>
        <v>33750000</v>
      </c>
      <c r="AR46" s="84">
        <f t="shared" si="6"/>
        <v>0</v>
      </c>
      <c r="AS46" s="84">
        <f t="shared" si="6"/>
        <v>7761920</v>
      </c>
      <c r="AT46" s="84">
        <f t="shared" si="6"/>
        <v>0</v>
      </c>
      <c r="AU46" s="84">
        <f t="shared" si="6"/>
        <v>0</v>
      </c>
      <c r="AV46" s="84">
        <f>SUM(AV36:AV44)</f>
        <v>7761920</v>
      </c>
      <c r="AW46" s="84">
        <f>SUM(AW36:AW45)</f>
        <v>0</v>
      </c>
      <c r="AX46" s="85">
        <f>SUM(AX36:AX45)</f>
        <v>0</v>
      </c>
    </row>
    <row r="47" spans="2:50" ht="15" thickBot="1" x14ac:dyDescent="0.35"/>
    <row r="48" spans="2:50" x14ac:dyDescent="0.3">
      <c r="B48" s="143" t="s">
        <v>145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5"/>
    </row>
    <row r="49" spans="2:51" ht="15" thickBot="1" x14ac:dyDescent="0.35">
      <c r="B49" s="146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8"/>
    </row>
    <row r="50" spans="2:51" ht="15" thickBot="1" x14ac:dyDescent="0.35">
      <c r="B50" s="1" t="s">
        <v>146</v>
      </c>
      <c r="C50" s="82">
        <f>(SUM(C46))-(C30)</f>
        <v>-34139352.299999997</v>
      </c>
      <c r="D50" s="82">
        <f>(SUM(D46))-(D30)+C50</f>
        <v>-36289310.599999994</v>
      </c>
      <c r="E50" s="82">
        <f t="shared" ref="E50:AX50" si="7">(SUM(E46))-(E30)+D50</f>
        <v>-38439268.899999991</v>
      </c>
      <c r="F50" s="82">
        <f t="shared" si="7"/>
        <v>-40589227.199999988</v>
      </c>
      <c r="G50" s="82">
        <f t="shared" si="7"/>
        <v>-42739185.499999985</v>
      </c>
      <c r="H50" s="82">
        <f t="shared" si="7"/>
        <v>-44889143.799999982</v>
      </c>
      <c r="I50" s="82">
        <f t="shared" si="7"/>
        <v>-41317022.099999979</v>
      </c>
      <c r="J50" s="82">
        <f t="shared" si="7"/>
        <v>-43466980.399999976</v>
      </c>
      <c r="K50" s="82">
        <f t="shared" si="7"/>
        <v>-46512938.699999973</v>
      </c>
      <c r="L50" s="82">
        <f t="shared" si="7"/>
        <v>-42940816.99999997</v>
      </c>
      <c r="M50" s="82">
        <f t="shared" si="7"/>
        <v>-45090775.299999967</v>
      </c>
      <c r="N50" s="82">
        <f t="shared" si="7"/>
        <v>-48940733.599999964</v>
      </c>
      <c r="O50" s="82">
        <f>(SUM(O46))-(O30)+N50</f>
        <v>-44855331.899999961</v>
      </c>
      <c r="P50" s="82">
        <f>(SUM(P46))-(P30)+O50</f>
        <v>-47005290.199999958</v>
      </c>
      <c r="Q50" s="82">
        <f t="shared" si="7"/>
        <v>-49155248.499999955</v>
      </c>
      <c r="R50" s="82">
        <f t="shared" si="7"/>
        <v>-36512555.133333288</v>
      </c>
      <c r="S50" s="82">
        <f t="shared" si="7"/>
        <v>-38662513.433333285</v>
      </c>
      <c r="T50" s="82">
        <f t="shared" si="7"/>
        <v>-40812471.733333282</v>
      </c>
      <c r="U50" s="82">
        <f t="shared" si="7"/>
        <v>-36727070.033333279</v>
      </c>
      <c r="V50" s="82">
        <f t="shared" si="7"/>
        <v>-38877028.333333276</v>
      </c>
      <c r="W50" s="82">
        <f t="shared" si="7"/>
        <v>-41922986.633333273</v>
      </c>
      <c r="X50" s="82">
        <f t="shared" si="7"/>
        <v>-10965709.933333274</v>
      </c>
      <c r="Y50" s="82">
        <f t="shared" si="7"/>
        <v>-13115668.233333275</v>
      </c>
      <c r="Z50" s="82">
        <f t="shared" si="7"/>
        <v>-16265626.533333275</v>
      </c>
      <c r="AA50" s="82">
        <f t="shared" si="7"/>
        <v>-12366944.833333276</v>
      </c>
      <c r="AB50" s="82">
        <f t="shared" si="7"/>
        <v>-14516903.133333277</v>
      </c>
      <c r="AC50" s="82">
        <f t="shared" si="7"/>
        <v>-16666861.433333278</v>
      </c>
      <c r="AD50" s="82">
        <f t="shared" si="7"/>
        <v>16688070.266666722</v>
      </c>
      <c r="AE50" s="82">
        <f t="shared" si="7"/>
        <v>14538111.966666721</v>
      </c>
      <c r="AF50" s="82">
        <f t="shared" si="7"/>
        <v>12388153.66666672</v>
      </c>
      <c r="AG50" s="82">
        <f t="shared" si="7"/>
        <v>16986835.366666719</v>
      </c>
      <c r="AH50" s="82">
        <f t="shared" si="7"/>
        <v>14836877.066666719</v>
      </c>
      <c r="AI50" s="82">
        <f t="shared" si="7"/>
        <v>11790918.766666718</v>
      </c>
      <c r="AJ50" s="82">
        <f t="shared" si="7"/>
        <v>45145850.466666713</v>
      </c>
      <c r="AK50" s="82">
        <f t="shared" si="7"/>
        <v>42995892.166666716</v>
      </c>
      <c r="AL50" s="82">
        <f t="shared" si="7"/>
        <v>39145933.866666719</v>
      </c>
      <c r="AM50" s="82">
        <f t="shared" si="7"/>
        <v>43557895.566666722</v>
      </c>
      <c r="AN50" s="82">
        <f t="shared" si="7"/>
        <v>41407937.266666725</v>
      </c>
      <c r="AO50" s="82">
        <f t="shared" si="7"/>
        <v>39257978.966666728</v>
      </c>
      <c r="AP50" s="82">
        <f t="shared" si="7"/>
        <v>44369940.666666731</v>
      </c>
      <c r="AQ50" s="82">
        <f t="shared" si="7"/>
        <v>72869982.366666734</v>
      </c>
      <c r="AR50" s="82">
        <f t="shared" si="7"/>
        <v>70720024.066666737</v>
      </c>
      <c r="AS50" s="82">
        <f t="shared" si="7"/>
        <v>75831985.76666674</v>
      </c>
      <c r="AT50" s="82">
        <f t="shared" si="7"/>
        <v>73682027.466666743</v>
      </c>
      <c r="AU50" s="82">
        <f t="shared" si="7"/>
        <v>70636069.166666746</v>
      </c>
      <c r="AV50" s="82">
        <f t="shared" si="7"/>
        <v>72648030.866666749</v>
      </c>
      <c r="AW50" s="82">
        <f t="shared" si="7"/>
        <v>70498072.566666752</v>
      </c>
      <c r="AX50" s="83">
        <f t="shared" si="7"/>
        <v>66648114.266666755</v>
      </c>
      <c r="AY50" s="97" t="e">
        <f>+AX50/#REF!</f>
        <v>#REF!</v>
      </c>
    </row>
    <row r="51" spans="2:51" x14ac:dyDescent="0.3">
      <c r="AY51" s="97" t="e">
        <f>+AY50/4</f>
        <v>#REF!</v>
      </c>
    </row>
  </sheetData>
  <mergeCells count="8">
    <mergeCell ref="B32:AX33"/>
    <mergeCell ref="B1:AX2"/>
    <mergeCell ref="B48:AX49"/>
    <mergeCell ref="B4:AX4"/>
    <mergeCell ref="B10:AX10"/>
    <mergeCell ref="B15:AX15"/>
    <mergeCell ref="B25:AX25"/>
    <mergeCell ref="B35:AX35"/>
  </mergeCells>
  <phoneticPr fontId="2" type="noConversion"/>
  <pageMargins left="0.25" right="0.25" top="0.75" bottom="0.75" header="0.3" footer="0.3"/>
  <pageSetup scale="1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AE3E-D424-4CEA-B359-D141061BFF19}">
  <dimension ref="A1:L53"/>
  <sheetViews>
    <sheetView zoomScale="70" zoomScaleNormal="70" workbookViewId="0">
      <selection activeCell="C12" sqref="C12"/>
    </sheetView>
  </sheetViews>
  <sheetFormatPr baseColWidth="10" defaultRowHeight="14.4" x14ac:dyDescent="0.3"/>
  <cols>
    <col min="1" max="1" width="58.33203125" bestFit="1" customWidth="1"/>
    <col min="2" max="2" width="15.88671875" bestFit="1" customWidth="1"/>
    <col min="3" max="3" width="22.77734375" bestFit="1" customWidth="1"/>
    <col min="4" max="4" width="23.33203125" bestFit="1" customWidth="1"/>
    <col min="5" max="6" width="15.88671875" bestFit="1" customWidth="1"/>
    <col min="7" max="7" width="5.6640625" bestFit="1" customWidth="1"/>
    <col min="8" max="8" width="14.5546875" bestFit="1" customWidth="1"/>
    <col min="9" max="9" width="17.109375" bestFit="1" customWidth="1"/>
    <col min="10" max="10" width="14" bestFit="1" customWidth="1"/>
    <col min="11" max="11" width="19.5546875" bestFit="1" customWidth="1"/>
    <col min="12" max="12" width="14.33203125" bestFit="1" customWidth="1"/>
  </cols>
  <sheetData>
    <row r="1" spans="2:4" ht="15" thickBot="1" x14ac:dyDescent="0.35"/>
    <row r="2" spans="2:4" ht="15" thickBot="1" x14ac:dyDescent="0.35">
      <c r="B2" s="131" t="s">
        <v>155</v>
      </c>
      <c r="C2" s="132" t="s">
        <v>158</v>
      </c>
      <c r="D2" s="133" t="s">
        <v>159</v>
      </c>
    </row>
    <row r="3" spans="2:4" x14ac:dyDescent="0.3">
      <c r="B3" s="100">
        <v>2026</v>
      </c>
      <c r="C3" s="106">
        <f>+'MODELO AL 100%'!N50</f>
        <v>-48940733.599999964</v>
      </c>
      <c r="D3" s="103">
        <f>+C3</f>
        <v>-48940733.599999964</v>
      </c>
    </row>
    <row r="4" spans="2:4" x14ac:dyDescent="0.3">
      <c r="B4" s="101">
        <v>2027</v>
      </c>
      <c r="C4" s="107">
        <f>+'MODELO AL 100%'!Z50</f>
        <v>-16265626.533333275</v>
      </c>
      <c r="D4" s="104">
        <f>+D3+C4</f>
        <v>-65206360.133333236</v>
      </c>
    </row>
    <row r="5" spans="2:4" x14ac:dyDescent="0.3">
      <c r="B5" s="101">
        <v>2028</v>
      </c>
      <c r="C5" s="107">
        <f>+'MODELO AL 100%'!AL50</f>
        <v>39145933.866666719</v>
      </c>
      <c r="D5" s="104">
        <f>+D4+C5</f>
        <v>-26060426.266666517</v>
      </c>
    </row>
    <row r="6" spans="2:4" ht="15" thickBot="1" x14ac:dyDescent="0.35">
      <c r="B6" s="102">
        <v>2029</v>
      </c>
      <c r="C6" s="108">
        <f>+'MODELO AL 100%'!AX50</f>
        <v>66648114.266666755</v>
      </c>
      <c r="D6" s="105">
        <f>+C6+D5</f>
        <v>40587688.000000238</v>
      </c>
    </row>
    <row r="7" spans="2:4" x14ac:dyDescent="0.3">
      <c r="B7" s="98" t="s">
        <v>157</v>
      </c>
      <c r="C7" s="99">
        <v>0.1</v>
      </c>
    </row>
    <row r="8" spans="2:4" x14ac:dyDescent="0.3">
      <c r="B8" s="98" t="s">
        <v>156</v>
      </c>
      <c r="C8" s="99">
        <f>IRR(C3:C6,10)</f>
        <v>0.22602702061208091</v>
      </c>
    </row>
    <row r="16" spans="2:4" ht="15" thickBot="1" x14ac:dyDescent="0.35"/>
    <row r="17" spans="1:12" ht="15" thickBot="1" x14ac:dyDescent="0.35">
      <c r="A17" s="114" t="s">
        <v>160</v>
      </c>
      <c r="B17" s="154" t="s">
        <v>155</v>
      </c>
      <c r="C17" s="154"/>
      <c r="D17" s="154"/>
      <c r="E17" s="155"/>
      <c r="G17" s="98" t="s">
        <v>155</v>
      </c>
      <c r="H17" s="98" t="s">
        <v>2</v>
      </c>
      <c r="I17" s="98" t="s">
        <v>1</v>
      </c>
      <c r="J17" s="98" t="s">
        <v>163</v>
      </c>
      <c r="K17" s="98" t="s">
        <v>10</v>
      </c>
      <c r="L17" s="98" t="s">
        <v>162</v>
      </c>
    </row>
    <row r="18" spans="1:12" ht="15" thickBot="1" x14ac:dyDescent="0.35">
      <c r="A18" s="123" t="s">
        <v>2</v>
      </c>
      <c r="B18" s="117">
        <v>2026</v>
      </c>
      <c r="C18" s="115">
        <v>2027</v>
      </c>
      <c r="D18" s="115">
        <v>2028</v>
      </c>
      <c r="E18" s="116">
        <v>2029</v>
      </c>
      <c r="G18" s="98">
        <v>2026</v>
      </c>
      <c r="H18" s="109">
        <f>+B24</f>
        <v>7140499.5999999996</v>
      </c>
      <c r="I18" s="109">
        <f>+B32</f>
        <v>31286394</v>
      </c>
      <c r="J18" s="109">
        <f>+B45</f>
        <v>1896000</v>
      </c>
      <c r="K18" s="109">
        <f>+B53</f>
        <v>21062000</v>
      </c>
      <c r="L18" s="109">
        <f>SUM(H18:K18)</f>
        <v>61384893.600000001</v>
      </c>
    </row>
    <row r="19" spans="1:12" x14ac:dyDescent="0.3">
      <c r="A19" s="124" t="str">
        <f>+'MODELO AL 100%'!B5</f>
        <v xml:space="preserve">PREPARACION DE TERRENO </v>
      </c>
      <c r="B19" s="118">
        <f>+'MODELO AL 100%'!AZ5</f>
        <v>2000000</v>
      </c>
      <c r="C19" s="119">
        <f>+'MODELO AL 100%'!BA5</f>
        <v>1000000</v>
      </c>
      <c r="D19" s="119">
        <f>+'MODELO AL 100%'!BB5</f>
        <v>1000000</v>
      </c>
      <c r="E19" s="120">
        <f>+'MODELO AL 100%'!BC5</f>
        <v>1000000</v>
      </c>
      <c r="G19" s="98">
        <v>2027</v>
      </c>
      <c r="H19" s="109">
        <f>+C24</f>
        <v>5637499.5999999996</v>
      </c>
      <c r="I19" s="109">
        <f>+C32</f>
        <v>600000</v>
      </c>
      <c r="J19" s="109">
        <f>+C45</f>
        <v>7429333.333333334</v>
      </c>
      <c r="K19" s="109">
        <f>+C53</f>
        <v>20562000</v>
      </c>
      <c r="L19" s="109">
        <f t="shared" ref="L19:L21" si="0">SUM(H19:K19)</f>
        <v>34228832.933333337</v>
      </c>
    </row>
    <row r="20" spans="1:12" x14ac:dyDescent="0.3">
      <c r="A20" s="124" t="str">
        <f>+'MODELO AL 100%'!B6</f>
        <v>PLANTULAS</v>
      </c>
      <c r="B20" s="121">
        <f>+'MODELO AL 100%'!AZ6</f>
        <v>503000</v>
      </c>
      <c r="C20" s="110">
        <f>+'MODELO AL 100%'!BA6</f>
        <v>0</v>
      </c>
      <c r="D20" s="110">
        <f>+'MODELO AL 100%'!BB6</f>
        <v>0</v>
      </c>
      <c r="E20" s="111">
        <f>+'MODELO AL 100%'!BC6</f>
        <v>0</v>
      </c>
      <c r="G20" s="98">
        <v>2028</v>
      </c>
      <c r="H20" s="109">
        <f>+D24</f>
        <v>5637499.5999999996</v>
      </c>
      <c r="I20" s="109">
        <f>+D32</f>
        <v>2000000</v>
      </c>
      <c r="J20" s="109">
        <f>+D45</f>
        <v>9096000</v>
      </c>
      <c r="K20" s="109">
        <f>+D53</f>
        <v>20562000</v>
      </c>
      <c r="L20" s="109">
        <f t="shared" si="0"/>
        <v>37295499.600000001</v>
      </c>
    </row>
    <row r="21" spans="1:12" x14ac:dyDescent="0.3">
      <c r="A21" s="124" t="str">
        <f>+'MODELO AL 100%'!B7</f>
        <v>FERTILIZANTE Y NUTRIENTES</v>
      </c>
      <c r="B21" s="121">
        <f>+'MODELO AL 100%'!AZ7</f>
        <v>1200000</v>
      </c>
      <c r="C21" s="110">
        <f>+'MODELO AL 100%'!BA7</f>
        <v>1200000</v>
      </c>
      <c r="D21" s="110">
        <f>+'MODELO AL 100%'!BB7</f>
        <v>1200000</v>
      </c>
      <c r="E21" s="111">
        <f>+'MODELO AL 100%'!BC7</f>
        <v>1200000</v>
      </c>
      <c r="G21" s="98">
        <v>2029</v>
      </c>
      <c r="H21" s="109">
        <f>+E24</f>
        <v>5637499.5999999996</v>
      </c>
      <c r="I21" s="109">
        <f>+E32</f>
        <v>2000000</v>
      </c>
      <c r="J21" s="109">
        <f>+E45</f>
        <v>9096000</v>
      </c>
      <c r="K21" s="109">
        <f>+E53</f>
        <v>20562000</v>
      </c>
      <c r="L21" s="109">
        <f t="shared" si="0"/>
        <v>37295499.600000001</v>
      </c>
    </row>
    <row r="22" spans="1:12" x14ac:dyDescent="0.3">
      <c r="A22" s="124" t="str">
        <f>+'MODELO AL 100%'!B8</f>
        <v xml:space="preserve">MANEJO DE PLAGAS Y ENFERMEDADES </v>
      </c>
      <c r="B22" s="121">
        <f>+'MODELO AL 100%'!AZ8</f>
        <v>600000</v>
      </c>
      <c r="C22" s="110">
        <f>+'MODELO AL 100%'!BA8</f>
        <v>600000</v>
      </c>
      <c r="D22" s="110">
        <f>+'MODELO AL 100%'!BB8</f>
        <v>600000</v>
      </c>
      <c r="E22" s="111">
        <f>+'MODELO AL 100%'!BC8</f>
        <v>600000</v>
      </c>
    </row>
    <row r="23" spans="1:12" ht="15" thickBot="1" x14ac:dyDescent="0.35">
      <c r="A23" s="124" t="str">
        <f>+'MODELO AL 100%'!B9</f>
        <v xml:space="preserve">MANO DE OBRA </v>
      </c>
      <c r="B23" s="121">
        <f>+'MODELO AL 100%'!AZ9</f>
        <v>2837499.5999999996</v>
      </c>
      <c r="C23" s="110">
        <f>+'MODELO AL 100%'!BA9</f>
        <v>2837499.5999999996</v>
      </c>
      <c r="D23" s="110">
        <f>+'MODELO AL 100%'!BB9</f>
        <v>2837499.5999999996</v>
      </c>
      <c r="E23" s="111">
        <f>+'MODELO AL 100%'!BC9</f>
        <v>2837499.5999999996</v>
      </c>
    </row>
    <row r="24" spans="1:12" ht="15" thickBot="1" x14ac:dyDescent="0.35">
      <c r="A24" s="128" t="s">
        <v>161</v>
      </c>
      <c r="B24" s="122">
        <f>SUM(B19:B23)</f>
        <v>7140499.5999999996</v>
      </c>
      <c r="C24" s="112">
        <f t="shared" ref="C24:E24" si="1">SUM(C19:C23)</f>
        <v>5637499.5999999996</v>
      </c>
      <c r="D24" s="112">
        <f t="shared" si="1"/>
        <v>5637499.5999999996</v>
      </c>
      <c r="E24" s="113">
        <f t="shared" si="1"/>
        <v>5637499.5999999996</v>
      </c>
    </row>
    <row r="25" spans="1:12" ht="15" thickBot="1" x14ac:dyDescent="0.35">
      <c r="B25" s="109"/>
      <c r="C25" s="109"/>
      <c r="D25" s="109"/>
      <c r="E25" s="109"/>
    </row>
    <row r="26" spans="1:12" ht="15" thickBot="1" x14ac:dyDescent="0.35">
      <c r="A26" s="114" t="s">
        <v>160</v>
      </c>
      <c r="B26" s="154" t="s">
        <v>155</v>
      </c>
      <c r="C26" s="154"/>
      <c r="D26" s="154"/>
      <c r="E26" s="155"/>
    </row>
    <row r="27" spans="1:12" ht="15" thickBot="1" x14ac:dyDescent="0.35">
      <c r="A27" s="125" t="str">
        <f>+'MODELO AL 100%'!B10</f>
        <v xml:space="preserve">INSTALACIONES </v>
      </c>
      <c r="B27" s="117">
        <v>2026</v>
      </c>
      <c r="C27" s="115">
        <v>2027</v>
      </c>
      <c r="D27" s="115">
        <v>2028</v>
      </c>
      <c r="E27" s="116">
        <v>2029</v>
      </c>
    </row>
    <row r="28" spans="1:12" x14ac:dyDescent="0.3">
      <c r="A28" s="126" t="str">
        <f>+'MODELO AL 100%'!B11</f>
        <v xml:space="preserve">SISTEMA DE RIEGO POR GOTEO </v>
      </c>
      <c r="B28" s="118">
        <f>+'MODELO AL 100%'!AZ11</f>
        <v>29286394</v>
      </c>
      <c r="C28" s="119">
        <f>+'MODELO AL 100%'!BA11</f>
        <v>0</v>
      </c>
      <c r="D28" s="119">
        <f>+'MODELO AL 100%'!BB11</f>
        <v>0</v>
      </c>
      <c r="E28" s="120">
        <f>+'MODELO AL 100%'!BC11</f>
        <v>0</v>
      </c>
    </row>
    <row r="29" spans="1:12" x14ac:dyDescent="0.3">
      <c r="A29" s="126" t="str">
        <f>+'MODELO AL 100%'!B12</f>
        <v xml:space="preserve">HERRAMIENTAS Y EQUIPOS </v>
      </c>
      <c r="B29" s="121">
        <f>+'MODELO AL 100%'!AZ12</f>
        <v>400000</v>
      </c>
      <c r="C29" s="110">
        <f>+'MODELO AL 100%'!BA12</f>
        <v>0</v>
      </c>
      <c r="D29" s="110">
        <f>+'MODELO AL 100%'!BB12</f>
        <v>400000</v>
      </c>
      <c r="E29" s="111">
        <f>+'MODELO AL 100%'!BC12</f>
        <v>400000</v>
      </c>
    </row>
    <row r="30" spans="1:12" x14ac:dyDescent="0.3">
      <c r="A30" s="126" t="str">
        <f>+'MODELO AL 100%'!B13</f>
        <v>SISTEMA DE TUTORIA (ENREDADERA)</v>
      </c>
      <c r="B30" s="121">
        <f>+'MODELO AL 100%'!AZ13</f>
        <v>1000000</v>
      </c>
      <c r="C30" s="110">
        <f>+'MODELO AL 100%'!BA13</f>
        <v>0</v>
      </c>
      <c r="D30" s="110">
        <f>+'MODELO AL 100%'!BB13</f>
        <v>1000000</v>
      </c>
      <c r="E30" s="111">
        <f>+'MODELO AL 100%'!BC13</f>
        <v>1000000</v>
      </c>
    </row>
    <row r="31" spans="1:12" ht="15" thickBot="1" x14ac:dyDescent="0.35">
      <c r="A31" s="126" t="str">
        <f>+'MODELO AL 100%'!B14</f>
        <v>MANTENIMIENTO DE RIEGO POR GOTEO</v>
      </c>
      <c r="B31" s="121">
        <f>+'MODELO AL 100%'!AZ14</f>
        <v>600000</v>
      </c>
      <c r="C31" s="110">
        <f>+'MODELO AL 100%'!BA14</f>
        <v>600000</v>
      </c>
      <c r="D31" s="110">
        <f>+'MODELO AL 100%'!BB14</f>
        <v>600000</v>
      </c>
      <c r="E31" s="111">
        <f>+'MODELO AL 100%'!BC14</f>
        <v>600000</v>
      </c>
    </row>
    <row r="32" spans="1:12" ht="15" thickBot="1" x14ac:dyDescent="0.35">
      <c r="A32" s="128" t="s">
        <v>162</v>
      </c>
      <c r="B32" s="127">
        <f>SUM(B28:B31)</f>
        <v>31286394</v>
      </c>
      <c r="C32" s="82">
        <f t="shared" ref="C32" si="2">SUM(C28:C31)</f>
        <v>600000</v>
      </c>
      <c r="D32" s="82">
        <f t="shared" ref="D32" si="3">SUM(D28:D31)</f>
        <v>2000000</v>
      </c>
      <c r="E32" s="83">
        <f t="shared" ref="E32" si="4">SUM(E28:E31)</f>
        <v>2000000</v>
      </c>
    </row>
    <row r="33" spans="1:5" ht="15" thickBot="1" x14ac:dyDescent="0.35">
      <c r="B33" s="109"/>
      <c r="C33" s="109"/>
      <c r="D33" s="109"/>
      <c r="E33" s="109"/>
    </row>
    <row r="34" spans="1:5" ht="15" thickBot="1" x14ac:dyDescent="0.35">
      <c r="A34" s="114" t="s">
        <v>160</v>
      </c>
      <c r="B34" s="154" t="s">
        <v>155</v>
      </c>
      <c r="C34" s="154"/>
      <c r="D34" s="154"/>
      <c r="E34" s="155"/>
    </row>
    <row r="35" spans="1:5" ht="15" thickBot="1" x14ac:dyDescent="0.35">
      <c r="A35" s="125" t="str">
        <f>+'MODELO AL 100%'!B15</f>
        <v>LOGISTICA</v>
      </c>
      <c r="B35" s="117">
        <v>2026</v>
      </c>
      <c r="C35" s="115">
        <v>2027</v>
      </c>
      <c r="D35" s="115">
        <v>2028</v>
      </c>
      <c r="E35" s="116">
        <v>2029</v>
      </c>
    </row>
    <row r="36" spans="1:5" x14ac:dyDescent="0.3">
      <c r="A36" s="126" t="str">
        <f>+'MODELO AL 100%'!B16</f>
        <v>COMPRA DE CANASTILLAS PARA MARACUYA</v>
      </c>
      <c r="B36" s="118">
        <f>+'MODELO AL 100%'!AZ16</f>
        <v>896000</v>
      </c>
      <c r="C36" s="119">
        <f>+'MODELO AL 100%'!BA16</f>
        <v>896000</v>
      </c>
      <c r="D36" s="119">
        <f>+'MODELO AL 100%'!BB16</f>
        <v>896000</v>
      </c>
      <c r="E36" s="120">
        <f>+'MODELO AL 100%'!BC16</f>
        <v>896000</v>
      </c>
    </row>
    <row r="37" spans="1:5" x14ac:dyDescent="0.3">
      <c r="A37" s="126" t="str">
        <f>+'MODELO AL 100%'!B17</f>
        <v xml:space="preserve">COMPRA DE GUACALES PARA PIÑA PRIMERA COSECHA </v>
      </c>
      <c r="B37" s="121">
        <f>+'MODELO AL 100%'!AZ17</f>
        <v>0</v>
      </c>
      <c r="C37" s="110">
        <f>+'MODELO AL 100%'!BA17</f>
        <v>833333.33333333337</v>
      </c>
      <c r="D37" s="110">
        <f>+'MODELO AL 100%'!BB17</f>
        <v>0</v>
      </c>
      <c r="E37" s="111">
        <f>+'MODELO AL 100%'!BC17</f>
        <v>0</v>
      </c>
    </row>
    <row r="38" spans="1:5" x14ac:dyDescent="0.3">
      <c r="A38" s="126" t="str">
        <f>+'MODELO AL 100%'!B18</f>
        <v xml:space="preserve">COMPRA DE GUACALES PARA PIÑA SEGUNDA COSECHA </v>
      </c>
      <c r="B38" s="121">
        <f>+'MODELO AL 100%'!AZ18</f>
        <v>0</v>
      </c>
      <c r="C38" s="110">
        <f>+'MODELO AL 100%'!BA18</f>
        <v>2500000</v>
      </c>
      <c r="D38" s="110">
        <f>+'MODELO AL 100%'!BB18</f>
        <v>0</v>
      </c>
      <c r="E38" s="111">
        <f>+'MODELO AL 100%'!BC18</f>
        <v>0</v>
      </c>
    </row>
    <row r="39" spans="1:5" x14ac:dyDescent="0.3">
      <c r="A39" s="126" t="str">
        <f>+'MODELO AL 100%'!B19</f>
        <v xml:space="preserve">COMPRA DE GUACALES PARA PIÑA TERCER COSECHA </v>
      </c>
      <c r="B39" s="121">
        <f>+'MODELO AL 100%'!AZ19</f>
        <v>0</v>
      </c>
      <c r="C39" s="110">
        <f>+'MODELO AL 100%'!BA19</f>
        <v>0</v>
      </c>
      <c r="D39" s="110">
        <f>+'MODELO AL 100%'!BB19</f>
        <v>2500000</v>
      </c>
      <c r="E39" s="111">
        <f>+'MODELO AL 100%'!BC19</f>
        <v>0</v>
      </c>
    </row>
    <row r="40" spans="1:5" x14ac:dyDescent="0.3">
      <c r="A40" s="126" t="str">
        <f>+'MODELO AL 100%'!B20</f>
        <v xml:space="preserve">COMPRA DE GUACALES PARA PIÑA CUARTA COSECHA </v>
      </c>
      <c r="B40" s="121">
        <f>+'MODELO AL 100%'!AZ20</f>
        <v>0</v>
      </c>
      <c r="C40" s="110">
        <f>+'MODELO AL 100%'!BA20</f>
        <v>0</v>
      </c>
      <c r="D40" s="110">
        <f>+'MODELO AL 100%'!BB20</f>
        <v>2500000</v>
      </c>
      <c r="E40" s="111">
        <f>+'MODELO AL 100%'!BC20</f>
        <v>0</v>
      </c>
    </row>
    <row r="41" spans="1:5" x14ac:dyDescent="0.3">
      <c r="A41" s="126" t="str">
        <f>+'MODELO AL 100%'!B21</f>
        <v xml:space="preserve">COMPRA DE GUACALES PARA PIÑA QUINTA COSECHA </v>
      </c>
      <c r="B41" s="121">
        <f>+'MODELO AL 100%'!AZ21</f>
        <v>0</v>
      </c>
      <c r="C41" s="110">
        <f>+'MODELO AL 100%'!BA21</f>
        <v>0</v>
      </c>
      <c r="D41" s="110">
        <f>+'MODELO AL 100%'!BB21</f>
        <v>0</v>
      </c>
      <c r="E41" s="111">
        <f>+'MODELO AL 100%'!BC21</f>
        <v>2500000</v>
      </c>
    </row>
    <row r="42" spans="1:5" x14ac:dyDescent="0.3">
      <c r="A42" s="126" t="str">
        <f>+'MODELO AL 100%'!B22</f>
        <v xml:space="preserve">COMPRA DE GUACALES PARA PIÑA SEXTA COSECHA </v>
      </c>
      <c r="B42" s="121">
        <f>+'MODELO AL 100%'!AZ22</f>
        <v>0</v>
      </c>
      <c r="C42" s="110">
        <f>+'MODELO AL 100%'!BA22</f>
        <v>0</v>
      </c>
      <c r="D42" s="110">
        <f>+'MODELO AL 100%'!BB22</f>
        <v>0</v>
      </c>
      <c r="E42" s="111">
        <f>+'MODELO AL 100%'!BC22</f>
        <v>2500000</v>
      </c>
    </row>
    <row r="43" spans="1:5" x14ac:dyDescent="0.3">
      <c r="A43" s="126" t="str">
        <f>+'MODELO AL 100%'!B23</f>
        <v xml:space="preserve">TRANSPORTE MARACUYA A CORABASTOS </v>
      </c>
      <c r="B43" s="121">
        <f>+'MODELO AL 100%'!AZ23</f>
        <v>1000000</v>
      </c>
      <c r="C43" s="110">
        <f>+'MODELO AL 100%'!BA23</f>
        <v>2000000</v>
      </c>
      <c r="D43" s="110">
        <f>+'MODELO AL 100%'!BB23</f>
        <v>2000000</v>
      </c>
      <c r="E43" s="111">
        <f>+'MODELO AL 100%'!BC23</f>
        <v>2000000</v>
      </c>
    </row>
    <row r="44" spans="1:5" ht="15" thickBot="1" x14ac:dyDescent="0.35">
      <c r="A44" s="126" t="str">
        <f>+'MODELO AL 100%'!B24</f>
        <v xml:space="preserve">TRANSPORTE PIÑA A CORABASTOS </v>
      </c>
      <c r="B44" s="121">
        <f>+'MODELO AL 100%'!AZ24</f>
        <v>0</v>
      </c>
      <c r="C44" s="110">
        <f>+'MODELO AL 100%'!BA24</f>
        <v>1200000</v>
      </c>
      <c r="D44" s="110">
        <f>+'MODELO AL 100%'!BB24</f>
        <v>1200000</v>
      </c>
      <c r="E44" s="111">
        <f>+'MODELO AL 100%'!BC24</f>
        <v>1200000</v>
      </c>
    </row>
    <row r="45" spans="1:5" ht="15" thickBot="1" x14ac:dyDescent="0.35">
      <c r="A45" s="128" t="s">
        <v>162</v>
      </c>
      <c r="B45" s="127">
        <f>SUM(B36:B44)</f>
        <v>1896000</v>
      </c>
      <c r="C45" s="82">
        <f t="shared" ref="C45:E45" si="5">SUM(C36:C44)</f>
        <v>7429333.333333334</v>
      </c>
      <c r="D45" s="82">
        <f t="shared" si="5"/>
        <v>9096000</v>
      </c>
      <c r="E45" s="83">
        <f t="shared" si="5"/>
        <v>9096000</v>
      </c>
    </row>
    <row r="46" spans="1:5" ht="15" thickBot="1" x14ac:dyDescent="0.35">
      <c r="B46" s="109"/>
      <c r="C46" s="109"/>
      <c r="D46" s="109"/>
      <c r="E46" s="109"/>
    </row>
    <row r="47" spans="1:5" ht="15" thickBot="1" x14ac:dyDescent="0.35">
      <c r="A47" s="114" t="s">
        <v>160</v>
      </c>
      <c r="B47" s="154" t="s">
        <v>155</v>
      </c>
      <c r="C47" s="154"/>
      <c r="D47" s="154"/>
      <c r="E47" s="155"/>
    </row>
    <row r="48" spans="1:5" ht="15" thickBot="1" x14ac:dyDescent="0.35">
      <c r="A48" s="125" t="str">
        <f>+'MODELO AL 100%'!B25</f>
        <v xml:space="preserve">ADMINISTRATIVOS </v>
      </c>
      <c r="B48" s="117">
        <v>2026</v>
      </c>
      <c r="C48" s="115">
        <v>2027</v>
      </c>
      <c r="D48" s="115">
        <v>2028</v>
      </c>
      <c r="E48" s="116">
        <v>2029</v>
      </c>
    </row>
    <row r="49" spans="1:5" x14ac:dyDescent="0.3">
      <c r="A49" s="126" t="str">
        <f>+'MODELO AL 100%'!B26</f>
        <v xml:space="preserve">SALARIOS Y BENEFICIOS </v>
      </c>
      <c r="B49" s="118">
        <f>+'MODELO AL 100%'!AZ26</f>
        <v>19482000</v>
      </c>
      <c r="C49" s="119">
        <f>+'MODELO AL 100%'!BA26</f>
        <v>19482000</v>
      </c>
      <c r="D49" s="119">
        <f>+'MODELO AL 100%'!BB26</f>
        <v>19482000</v>
      </c>
      <c r="E49" s="120">
        <f>+'MODELO AL 100%'!BC26</f>
        <v>19482000</v>
      </c>
    </row>
    <row r="50" spans="1:5" x14ac:dyDescent="0.3">
      <c r="A50" s="126" t="str">
        <f>+'MODELO AL 100%'!B27</f>
        <v>SERVICIOS PUBLICOS</v>
      </c>
      <c r="B50" s="121">
        <f>+'MODELO AL 100%'!AZ27</f>
        <v>480000</v>
      </c>
      <c r="C50" s="110">
        <f>+'MODELO AL 100%'!BA27</f>
        <v>480000</v>
      </c>
      <c r="D50" s="110">
        <f>+'MODELO AL 100%'!BB27</f>
        <v>480000</v>
      </c>
      <c r="E50" s="111">
        <f>+'MODELO AL 100%'!BC27</f>
        <v>480000</v>
      </c>
    </row>
    <row r="51" spans="1:5" x14ac:dyDescent="0.3">
      <c r="A51" s="126" t="str">
        <f>+'MODELO AL 100%'!B28</f>
        <v xml:space="preserve">IMPREVISTOS </v>
      </c>
      <c r="B51" s="121">
        <f>+'MODELO AL 100%'!AZ28</f>
        <v>600000</v>
      </c>
      <c r="C51" s="110">
        <f>+'MODELO AL 100%'!BA28</f>
        <v>600000</v>
      </c>
      <c r="D51" s="110">
        <f>+'MODELO AL 100%'!BB28</f>
        <v>600000</v>
      </c>
      <c r="E51" s="111">
        <f>+'MODELO AL 100%'!BC28</f>
        <v>600000</v>
      </c>
    </row>
    <row r="52" spans="1:5" ht="15" thickBot="1" x14ac:dyDescent="0.35">
      <c r="A52" s="126" t="str">
        <f>+'MODELO AL 100%'!B29</f>
        <v xml:space="preserve">PERMISOS Y LICENCIAS </v>
      </c>
      <c r="B52" s="121">
        <f>+'MODELO AL 100%'!AZ29</f>
        <v>500000</v>
      </c>
      <c r="C52" s="110">
        <f>+'MODELO AL 100%'!BA29</f>
        <v>0</v>
      </c>
      <c r="D52" s="110">
        <f>+'MODELO AL 100%'!BB29</f>
        <v>0</v>
      </c>
      <c r="E52" s="111">
        <f>+'MODELO AL 100%'!BC29</f>
        <v>0</v>
      </c>
    </row>
    <row r="53" spans="1:5" ht="15" thickBot="1" x14ac:dyDescent="0.35">
      <c r="A53" s="128" t="s">
        <v>162</v>
      </c>
      <c r="B53" s="127">
        <f>SUM(B49:B52)</f>
        <v>21062000</v>
      </c>
      <c r="C53" s="82">
        <f t="shared" ref="C53:E53" si="6">SUM(C49:C52)</f>
        <v>20562000</v>
      </c>
      <c r="D53" s="82">
        <f t="shared" si="6"/>
        <v>20562000</v>
      </c>
      <c r="E53" s="83">
        <f t="shared" si="6"/>
        <v>20562000</v>
      </c>
    </row>
  </sheetData>
  <mergeCells count="4">
    <mergeCell ref="B17:E17"/>
    <mergeCell ref="B26:E26"/>
    <mergeCell ref="B34:E34"/>
    <mergeCell ref="B47:E4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9071-342B-4B1F-9D1F-DE05DD5E941B}">
  <dimension ref="A2:M19"/>
  <sheetViews>
    <sheetView tabSelected="1" workbookViewId="0">
      <selection activeCell="J6" sqref="J6"/>
    </sheetView>
  </sheetViews>
  <sheetFormatPr baseColWidth="10" defaultRowHeight="14.4" x14ac:dyDescent="0.3"/>
  <cols>
    <col min="1" max="1" width="18.109375" customWidth="1"/>
    <col min="2" max="2" width="19.5546875" customWidth="1"/>
    <col min="3" max="3" width="16" customWidth="1"/>
    <col min="6" max="7" width="11.5546875" customWidth="1"/>
    <col min="10" max="10" width="15.77734375" customWidth="1"/>
    <col min="11" max="11" width="15.88671875" customWidth="1"/>
    <col min="12" max="12" width="18.5546875" customWidth="1"/>
  </cols>
  <sheetData>
    <row r="2" spans="1:13" ht="28.8" x14ac:dyDescent="0.3">
      <c r="A2" s="156" t="s">
        <v>164</v>
      </c>
      <c r="B2" s="156" t="s">
        <v>165</v>
      </c>
      <c r="C2" s="156" t="s">
        <v>166</v>
      </c>
      <c r="D2" s="157" t="s">
        <v>167</v>
      </c>
      <c r="E2" s="157"/>
      <c r="F2" s="165" t="s">
        <v>195</v>
      </c>
      <c r="G2" s="166"/>
      <c r="I2" s="158" t="s">
        <v>190</v>
      </c>
      <c r="J2" s="158" t="s">
        <v>196</v>
      </c>
      <c r="K2" s="158" t="s">
        <v>191</v>
      </c>
      <c r="L2" s="158" t="s">
        <v>192</v>
      </c>
    </row>
    <row r="3" spans="1:13" x14ac:dyDescent="0.3">
      <c r="A3" s="156"/>
      <c r="B3" s="156"/>
      <c r="C3" s="156"/>
      <c r="D3" s="158" t="s">
        <v>168</v>
      </c>
      <c r="E3" s="158" t="s">
        <v>169</v>
      </c>
      <c r="F3" s="158" t="s">
        <v>168</v>
      </c>
      <c r="G3" s="158" t="s">
        <v>169</v>
      </c>
      <c r="I3" s="163" t="s">
        <v>193</v>
      </c>
      <c r="J3" s="159">
        <f>SUM(G4:G19)</f>
        <v>94421098.400000006</v>
      </c>
      <c r="K3" s="159">
        <v>50000</v>
      </c>
      <c r="L3" s="169">
        <f>J3/K3</f>
        <v>1888.4219680000001</v>
      </c>
    </row>
    <row r="4" spans="1:13" ht="28.8" x14ac:dyDescent="0.3">
      <c r="A4" s="164" t="s">
        <v>170</v>
      </c>
      <c r="B4" s="162" t="s">
        <v>171</v>
      </c>
      <c r="C4" s="167">
        <v>5000000</v>
      </c>
      <c r="D4" s="160">
        <v>0.1</v>
      </c>
      <c r="E4" s="161">
        <v>0.9</v>
      </c>
      <c r="F4" s="168">
        <f>(C4*D4)</f>
        <v>500000</v>
      </c>
      <c r="G4" s="168">
        <f>E4*C4</f>
        <v>4500000</v>
      </c>
      <c r="I4" s="163" t="s">
        <v>194</v>
      </c>
      <c r="J4" s="159">
        <f>SUM(F4:F19)</f>
        <v>43543899.600000001</v>
      </c>
      <c r="K4" s="159">
        <v>17920</v>
      </c>
      <c r="L4" s="169">
        <f>J4/K4</f>
        <v>2429.9051116071428</v>
      </c>
    </row>
    <row r="5" spans="1:13" x14ac:dyDescent="0.3">
      <c r="A5" s="164"/>
      <c r="B5" s="162" t="s">
        <v>172</v>
      </c>
      <c r="C5" s="167">
        <v>503000</v>
      </c>
      <c r="D5" s="160">
        <v>0.5</v>
      </c>
      <c r="E5" s="161">
        <v>0.5</v>
      </c>
      <c r="F5" s="168">
        <f t="shared" ref="F5:F19" si="0">(C5*D5)</f>
        <v>251500</v>
      </c>
      <c r="G5" s="168">
        <f t="shared" ref="G5:G19" si="1">E5*C5</f>
        <v>251500</v>
      </c>
    </row>
    <row r="6" spans="1:13" ht="28.8" x14ac:dyDescent="0.3">
      <c r="A6" s="164"/>
      <c r="B6" s="162" t="s">
        <v>173</v>
      </c>
      <c r="C6" s="167">
        <v>2400000</v>
      </c>
      <c r="D6" s="160">
        <v>0.5</v>
      </c>
      <c r="E6" s="161">
        <v>0.5</v>
      </c>
      <c r="F6" s="168">
        <f t="shared" si="0"/>
        <v>1200000</v>
      </c>
      <c r="G6" s="168">
        <f t="shared" si="1"/>
        <v>1200000</v>
      </c>
      <c r="J6" s="172"/>
      <c r="K6" s="172"/>
      <c r="L6" s="172"/>
    </row>
    <row r="7" spans="1:13" ht="28.8" x14ac:dyDescent="0.3">
      <c r="A7" s="164"/>
      <c r="B7" s="162" t="s">
        <v>174</v>
      </c>
      <c r="C7" s="167">
        <v>2400000</v>
      </c>
      <c r="D7" s="160">
        <v>0.5</v>
      </c>
      <c r="E7" s="161">
        <v>0.5</v>
      </c>
      <c r="F7" s="168">
        <f t="shared" si="0"/>
        <v>1200000</v>
      </c>
      <c r="G7" s="168">
        <f t="shared" si="1"/>
        <v>1200000</v>
      </c>
      <c r="J7" s="172"/>
      <c r="K7" s="173"/>
      <c r="L7" s="174"/>
      <c r="M7" s="170"/>
    </row>
    <row r="8" spans="1:13" x14ac:dyDescent="0.3">
      <c r="A8" s="164"/>
      <c r="B8" s="162" t="s">
        <v>175</v>
      </c>
      <c r="C8" s="167">
        <v>11349998</v>
      </c>
      <c r="D8" s="160">
        <v>0.2</v>
      </c>
      <c r="E8" s="161">
        <v>0.8</v>
      </c>
      <c r="F8" s="168">
        <f t="shared" si="0"/>
        <v>2269999.6</v>
      </c>
      <c r="G8" s="168">
        <f t="shared" si="1"/>
        <v>9079998.4000000004</v>
      </c>
      <c r="J8" s="172"/>
      <c r="K8" s="173"/>
      <c r="L8" s="174"/>
      <c r="M8" s="170"/>
    </row>
    <row r="9" spans="1:13" ht="57.6" x14ac:dyDescent="0.3">
      <c r="A9" s="164" t="s">
        <v>176</v>
      </c>
      <c r="B9" s="162" t="s">
        <v>177</v>
      </c>
      <c r="C9" s="167">
        <v>1200000</v>
      </c>
      <c r="D9" s="160">
        <v>0.5</v>
      </c>
      <c r="E9" s="161">
        <v>0.5</v>
      </c>
      <c r="F9" s="168">
        <f t="shared" si="0"/>
        <v>600000</v>
      </c>
      <c r="G9" s="168">
        <f t="shared" si="1"/>
        <v>600000</v>
      </c>
      <c r="I9" s="158" t="s">
        <v>190</v>
      </c>
      <c r="J9" s="158" t="s">
        <v>197</v>
      </c>
      <c r="K9" s="158" t="s">
        <v>191</v>
      </c>
      <c r="L9" s="158" t="s">
        <v>192</v>
      </c>
      <c r="M9" s="158" t="s">
        <v>198</v>
      </c>
    </row>
    <row r="10" spans="1:13" ht="28.8" x14ac:dyDescent="0.3">
      <c r="A10" s="164"/>
      <c r="B10" s="162" t="s">
        <v>178</v>
      </c>
      <c r="C10" s="167">
        <v>3000000</v>
      </c>
      <c r="D10" s="160">
        <v>1</v>
      </c>
      <c r="E10" s="161">
        <v>0</v>
      </c>
      <c r="F10" s="168">
        <f t="shared" si="0"/>
        <v>3000000</v>
      </c>
      <c r="G10" s="168">
        <f t="shared" si="1"/>
        <v>0</v>
      </c>
      <c r="I10" s="163" t="s">
        <v>193</v>
      </c>
      <c r="J10" s="171">
        <f>'MODELO AL 100%'!R40+'MODELO AL 100%'!X41+'MODELO AL 100%'!AD42+'MODELO AL 100%'!AJ43+'MODELO AL 100%'!AQ44+'MODELO AL 100%'!AV45</f>
        <v>171175000</v>
      </c>
      <c r="K10" s="159">
        <v>50000</v>
      </c>
      <c r="L10" s="169">
        <f>J10/K10</f>
        <v>3423.5</v>
      </c>
      <c r="M10" s="175">
        <f>L10-L3</f>
        <v>1535.0780319999999</v>
      </c>
    </row>
    <row r="11" spans="1:13" ht="28.8" x14ac:dyDescent="0.3">
      <c r="A11" s="164"/>
      <c r="B11" s="162" t="s">
        <v>179</v>
      </c>
      <c r="C11" s="167">
        <v>800000</v>
      </c>
      <c r="D11" s="160">
        <v>0.2</v>
      </c>
      <c r="E11" s="161">
        <v>0.8</v>
      </c>
      <c r="F11" s="168">
        <f t="shared" si="0"/>
        <v>160000</v>
      </c>
      <c r="G11" s="168">
        <f t="shared" si="1"/>
        <v>640000</v>
      </c>
      <c r="I11" s="163" t="s">
        <v>194</v>
      </c>
      <c r="J11" s="171">
        <f>'MODELO AL 100%'!I36+'MODELO AL 100%'!L36+'MODELO AL 100%'!O37+'MODELO AL 100%'!R37+'MODELO AL 100%'!U37+'MODELO AL 100%'!X37+'MODELO AL 100%'!AA38+'MODELO AL 100%'!AD38+'MODELO AL 100%'!AG38+'MODELO AL 100%'!AJ38+'MODELO AL 100%'!AM39+'MODELO AL 100%'!AP39+'MODELO AL 100%'!AS39+'MODELO AL 100%'!AV39</f>
        <v>99427840</v>
      </c>
      <c r="K11" s="159">
        <v>17920</v>
      </c>
      <c r="L11" s="169">
        <f>J11/K11</f>
        <v>5548.4285714285716</v>
      </c>
      <c r="M11" s="175">
        <f>L11-L4</f>
        <v>3118.5234598214288</v>
      </c>
    </row>
    <row r="12" spans="1:13" ht="28.8" x14ac:dyDescent="0.3">
      <c r="A12" s="164" t="s">
        <v>180</v>
      </c>
      <c r="B12" s="162" t="s">
        <v>181</v>
      </c>
      <c r="C12" s="167">
        <v>3584000</v>
      </c>
      <c r="D12" s="160">
        <v>1</v>
      </c>
      <c r="E12" s="161">
        <v>0</v>
      </c>
      <c r="F12" s="168">
        <f t="shared" si="0"/>
        <v>3584000</v>
      </c>
      <c r="G12" s="168">
        <f t="shared" si="1"/>
        <v>0</v>
      </c>
    </row>
    <row r="13" spans="1:13" ht="28.8" x14ac:dyDescent="0.3">
      <c r="A13" s="164"/>
      <c r="B13" s="162" t="s">
        <v>182</v>
      </c>
      <c r="C13" s="167">
        <v>15000000</v>
      </c>
      <c r="D13" s="160">
        <v>0</v>
      </c>
      <c r="E13" s="161">
        <v>1</v>
      </c>
      <c r="F13" s="168">
        <f t="shared" si="0"/>
        <v>0</v>
      </c>
      <c r="G13" s="168">
        <f t="shared" si="1"/>
        <v>15000000</v>
      </c>
    </row>
    <row r="14" spans="1:13" ht="28.8" x14ac:dyDescent="0.3">
      <c r="A14" s="164"/>
      <c r="B14" s="162" t="s">
        <v>183</v>
      </c>
      <c r="C14" s="167">
        <v>3600000</v>
      </c>
      <c r="D14" s="160">
        <v>0</v>
      </c>
      <c r="E14" s="161">
        <v>1</v>
      </c>
      <c r="F14" s="168">
        <f t="shared" si="0"/>
        <v>0</v>
      </c>
      <c r="G14" s="168">
        <f t="shared" si="1"/>
        <v>3600000</v>
      </c>
    </row>
    <row r="15" spans="1:13" ht="28.8" x14ac:dyDescent="0.3">
      <c r="A15" s="164"/>
      <c r="B15" s="162" t="s">
        <v>184</v>
      </c>
      <c r="C15" s="167">
        <v>3600000</v>
      </c>
      <c r="D15" s="160">
        <v>1</v>
      </c>
      <c r="E15" s="161">
        <v>0</v>
      </c>
      <c r="F15" s="168">
        <f t="shared" si="0"/>
        <v>3600000</v>
      </c>
      <c r="G15" s="168">
        <f t="shared" si="1"/>
        <v>0</v>
      </c>
    </row>
    <row r="16" spans="1:13" x14ac:dyDescent="0.3">
      <c r="A16" s="164" t="s">
        <v>185</v>
      </c>
      <c r="B16" s="162" t="s">
        <v>186</v>
      </c>
      <c r="C16" s="167">
        <v>77928000</v>
      </c>
      <c r="D16" s="160">
        <v>0.3</v>
      </c>
      <c r="E16" s="161">
        <v>0.7</v>
      </c>
      <c r="F16" s="168">
        <f t="shared" si="0"/>
        <v>23378400</v>
      </c>
      <c r="G16" s="168">
        <f t="shared" si="1"/>
        <v>54549600</v>
      </c>
    </row>
    <row r="17" spans="1:7" x14ac:dyDescent="0.3">
      <c r="A17" s="164"/>
      <c r="B17" s="162" t="s">
        <v>187</v>
      </c>
      <c r="C17" s="167">
        <v>4000000</v>
      </c>
      <c r="D17" s="160">
        <v>0.5</v>
      </c>
      <c r="E17" s="161">
        <v>0.5</v>
      </c>
      <c r="F17" s="168">
        <f t="shared" si="0"/>
        <v>2000000</v>
      </c>
      <c r="G17" s="168">
        <f t="shared" si="1"/>
        <v>2000000</v>
      </c>
    </row>
    <row r="18" spans="1:7" x14ac:dyDescent="0.3">
      <c r="A18" s="164"/>
      <c r="B18" s="162" t="s">
        <v>188</v>
      </c>
      <c r="C18" s="167">
        <v>2400000</v>
      </c>
      <c r="D18" s="160">
        <v>0.5</v>
      </c>
      <c r="E18" s="161">
        <v>0.5</v>
      </c>
      <c r="F18" s="168">
        <f t="shared" si="0"/>
        <v>1200000</v>
      </c>
      <c r="G18" s="168">
        <f t="shared" si="1"/>
        <v>1200000</v>
      </c>
    </row>
    <row r="19" spans="1:7" x14ac:dyDescent="0.3">
      <c r="A19" s="164"/>
      <c r="B19" s="162" t="s">
        <v>189</v>
      </c>
      <c r="C19" s="167">
        <v>1200000</v>
      </c>
      <c r="D19" s="160">
        <v>0.5</v>
      </c>
      <c r="E19" s="161">
        <v>0.5</v>
      </c>
      <c r="F19" s="168">
        <f t="shared" si="0"/>
        <v>600000</v>
      </c>
      <c r="G19" s="168">
        <f t="shared" si="1"/>
        <v>600000</v>
      </c>
    </row>
  </sheetData>
  <mergeCells count="9">
    <mergeCell ref="A12:A15"/>
    <mergeCell ref="A16:A19"/>
    <mergeCell ref="F2:G2"/>
    <mergeCell ref="A2:A3"/>
    <mergeCell ref="B2:B3"/>
    <mergeCell ref="C2:C3"/>
    <mergeCell ref="D2:E2"/>
    <mergeCell ref="A4:A8"/>
    <mergeCell ref="A9:A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595E0DAE9FE045BBDA74156FE0942C" ma:contentTypeVersion="3" ma:contentTypeDescription="Create a new document." ma:contentTypeScope="" ma:versionID="8119fc5f7a258604526802b6dd9b66d3">
  <xsd:schema xmlns:xsd="http://www.w3.org/2001/XMLSchema" xmlns:xs="http://www.w3.org/2001/XMLSchema" xmlns:p="http://schemas.microsoft.com/office/2006/metadata/properties" xmlns:ns2="02f49b0b-bf86-4e57-ab5b-ab2b6b301d70" targetNamespace="http://schemas.microsoft.com/office/2006/metadata/properties" ma:root="true" ma:fieldsID="5288255ae0329612eab0eed49994b2f1" ns2:_="">
    <xsd:import namespace="02f49b0b-bf86-4e57-ab5b-ab2b6b301d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49b0b-bf86-4e57-ab5b-ab2b6b301d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9CD3F3-14C5-40CF-B3B8-67CE509E93B0}">
  <ds:schemaRefs>
    <ds:schemaRef ds:uri="02f49b0b-bf86-4e57-ab5b-ab2b6b301d7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9E10DB8-272B-4C13-AF01-24CCC6D26C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4536DF-4EB7-4510-90BA-F7ED2BF3E0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 BASE </vt:lpstr>
      <vt:lpstr>MODELO AL 100%</vt:lpstr>
      <vt:lpstr>GRAFICAS</vt:lpstr>
      <vt:lpstr>COSTEO ABC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Sarmiento</dc:creator>
  <cp:lastModifiedBy>MARIA ALEJANDRA BOHORQUEZ ENCISO</cp:lastModifiedBy>
  <cp:lastPrinted>2025-10-13T01:59:02Z</cp:lastPrinted>
  <dcterms:created xsi:type="dcterms:W3CDTF">2025-09-27T01:42:39Z</dcterms:created>
  <dcterms:modified xsi:type="dcterms:W3CDTF">2025-10-21T04:20:57Z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0x010100E5595E0DAE9FE045BBDA74156FE0942C</vt:lpwstr>
  </property>
</Properties>
</file>