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1. MAESTRIA EN GERENCIA DE PROYECTOS_Unipiloto\4. CUARTO CUATRIMESTRE - MGP4-4\2. TRABAJO DE GRADO II\TRABAJODEGRADO_GUTIERREZ_MGP4-1\Anexos\"/>
    </mc:Choice>
  </mc:AlternateContent>
  <xr:revisionPtr revIDLastSave="0" documentId="13_ncr:1_{A50BF9D9-0F74-4A7A-A2FE-C2B5C464845A}" xr6:coauthVersionLast="47" xr6:coauthVersionMax="47" xr10:uidLastSave="{00000000-0000-0000-0000-000000000000}"/>
  <bookViews>
    <workbookView xWindow="-120" yWindow="-120" windowWidth="20730" windowHeight="11160" tabRatio="853" firstSheet="3" activeTab="9" xr2:uid="{00000000-000D-0000-FFFF-FFFF00000000}"/>
  </bookViews>
  <sheets>
    <sheet name="1. PERSONAL" sheetId="2" r:id="rId1"/>
    <sheet name="2. INVERSION" sheetId="3" r:id="rId2"/>
    <sheet name="3, INVENTARIO" sheetId="4" r:id="rId3"/>
    <sheet name="4. COSTOS" sheetId="5" r:id="rId4"/>
    <sheet name="5. EVALUACIÓN" sheetId="8" r:id="rId5"/>
    <sheet name="6. ESTADOS FINANCIEROS" sheetId="6" r:id="rId6"/>
    <sheet name="7. EJERCICIO DE ESTIMACIÓN" sheetId="11" r:id="rId7"/>
    <sheet name="8. PUNTO EQ" sheetId="10" r:id="rId8"/>
    <sheet name="9. PRESTAMO" sheetId="7" r:id="rId9"/>
    <sheet name="10. GAO.GAF" sheetId="9" r:id="rId10"/>
  </sheets>
  <definedNames>
    <definedName name="_xlnm.Print_Area" localSheetId="0">'1. PERSONAL'!$A$68:$D$105</definedName>
    <definedName name="_xlnm.Print_Area" localSheetId="1">'2. INVERSION'!$A$1:$D$77</definedName>
    <definedName name="_xlnm.Print_Area" localSheetId="2">'3, INVENTARIO'!$A$82:$K$128</definedName>
    <definedName name="_xlnm.Print_Area" localSheetId="3">'4. COSTOS'!$A$91:$E$94</definedName>
    <definedName name="_xlnm.Print_Area" localSheetId="5">'6. ESTADOS FINANCIEROS'!$A$61:$G$96</definedName>
    <definedName name="BALANCE">'6. ESTADOS FINANCIEROS'!$A$61:$G$96</definedName>
    <definedName name="COMPUTADOR_A">'3, INVENTARIO'!$A$32:$K$55</definedName>
    <definedName name="FACTORES">'1. PERSONAL'!$A$68:$D$105</definedName>
    <definedName name="FLUJO">'6. ESTADOS FINANCIEROS'!$A$98:$G$154</definedName>
    <definedName name="INGRESOS">'3, INVENTARIO'!$A$1:$H$23</definedName>
    <definedName name="INVERSION">'2. INVERSION'!$A$1:$D$77</definedName>
    <definedName name="LIBRE">'6. ESTADOS FINANCIEROS'!$A$156:$G$181</definedName>
    <definedName name="PERSONAL">'1. PERSONAL'!$A$1:$I$31</definedName>
    <definedName name="PYG">'6. ESTADOS FINANCIEROS'!$A$1:$G$59</definedName>
    <definedName name="_xlnm.Print_Titles" localSheetId="2">'3, INVENTARIO'!$28:$31</definedName>
    <definedName name="_xlnm.Print_Titles" localSheetId="3">'4. COSTOS'!$1:$2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8" l="1"/>
  <c r="D32" i="8"/>
  <c r="B90" i="9"/>
  <c r="J8" i="9"/>
  <c r="D42" i="2"/>
  <c r="D40" i="5"/>
  <c r="E40" i="5"/>
  <c r="B106" i="5" s="1"/>
  <c r="D12" i="8" l="1"/>
  <c r="D7" i="8"/>
  <c r="D5" i="8"/>
  <c r="H24" i="10"/>
  <c r="K12" i="7"/>
  <c r="G12" i="7"/>
  <c r="B91" i="5"/>
  <c r="D79" i="2"/>
  <c r="D87" i="5"/>
  <c r="B82" i="2"/>
  <c r="D74" i="5"/>
  <c r="D73" i="5" s="1"/>
  <c r="D72" i="5" s="1"/>
  <c r="D82" i="2"/>
  <c r="D80" i="2"/>
  <c r="E21" i="4"/>
  <c r="D9" i="6"/>
  <c r="D26" i="8"/>
  <c r="D75" i="2" l="1"/>
  <c r="D73" i="2"/>
  <c r="D37" i="5"/>
  <c r="D12" i="10"/>
  <c r="D11" i="10"/>
  <c r="D10" i="10"/>
  <c r="D13" i="10" s="1"/>
  <c r="E109" i="4"/>
  <c r="D16" i="6"/>
  <c r="D6" i="10"/>
  <c r="D39" i="2"/>
  <c r="D41" i="2"/>
  <c r="B101" i="5"/>
  <c r="K111" i="4"/>
  <c r="K112" i="4"/>
  <c r="D23" i="6"/>
  <c r="D28" i="6"/>
  <c r="E14" i="4"/>
  <c r="B44" i="3"/>
  <c r="D30" i="5"/>
  <c r="B62" i="3"/>
  <c r="B46" i="3"/>
  <c r="F8" i="4"/>
  <c r="F7" i="4"/>
  <c r="E7" i="4"/>
  <c r="E172" i="6" l="1"/>
  <c r="B51" i="3"/>
  <c r="D20" i="3"/>
  <c r="D36" i="3"/>
  <c r="D7" i="4"/>
  <c r="C30" i="5"/>
  <c r="C59" i="8"/>
  <c r="B111" i="5"/>
  <c r="C20" i="5"/>
  <c r="E17" i="5"/>
  <c r="D8" i="4"/>
  <c r="L12" i="9"/>
  <c r="K12" i="9"/>
  <c r="F112" i="6"/>
  <c r="F17" i="4"/>
  <c r="D65" i="8"/>
  <c r="I12" i="7"/>
  <c r="J12" i="7"/>
  <c r="I31" i="2"/>
  <c r="D44" i="6"/>
  <c r="D81" i="2"/>
  <c r="D83" i="2"/>
  <c r="B40" i="2"/>
  <c r="E16" i="4"/>
  <c r="E15" i="4"/>
  <c r="M12" i="5"/>
  <c r="M11" i="5"/>
  <c r="D61" i="4"/>
  <c r="B26" i="5"/>
  <c r="D26" i="5" s="1"/>
  <c r="E26" i="5" s="1"/>
  <c r="D17" i="5"/>
  <c r="C17" i="5"/>
  <c r="B25" i="5" s="1"/>
  <c r="M10" i="5" s="1"/>
  <c r="D9" i="4"/>
  <c r="D28" i="5"/>
  <c r="E28" i="5" s="1"/>
  <c r="K7" i="2"/>
  <c r="I7" i="2" s="1"/>
  <c r="I8" i="2"/>
  <c r="C42" i="2"/>
  <c r="B75" i="2"/>
  <c r="B79" i="2"/>
  <c r="B80" i="2"/>
  <c r="B39" i="2"/>
  <c r="D58" i="5"/>
  <c r="D55" i="5" s="1"/>
  <c r="B55" i="3"/>
  <c r="B42" i="3"/>
  <c r="B54" i="3"/>
  <c r="B53" i="3"/>
  <c r="B48" i="3"/>
  <c r="B47" i="3"/>
  <c r="D40" i="3"/>
  <c r="E40" i="3"/>
  <c r="F40" i="3" s="1"/>
  <c r="G40" i="3" s="1"/>
  <c r="C40" i="3"/>
  <c r="B40" i="3"/>
  <c r="F3" i="5" l="1"/>
  <c r="G3" i="5" s="1"/>
  <c r="H3" i="5" s="1"/>
  <c r="I3" i="5" s="1"/>
  <c r="C4" i="7"/>
  <c r="D10" i="3"/>
  <c r="E7" i="3"/>
  <c r="F7" i="3" s="1"/>
  <c r="G7" i="3" s="1"/>
  <c r="H7" i="3" s="1"/>
  <c r="I7" i="3" s="1"/>
  <c r="I20" i="3" l="1"/>
  <c r="H20" i="3"/>
  <c r="G20" i="3"/>
  <c r="F20" i="3"/>
  <c r="E20" i="3"/>
  <c r="G48" i="3"/>
  <c r="F48" i="3"/>
  <c r="E48" i="3"/>
  <c r="D48" i="3"/>
  <c r="C48" i="3"/>
  <c r="G47" i="3"/>
  <c r="F47" i="3"/>
  <c r="E47" i="3"/>
  <c r="D47" i="3"/>
  <c r="C47" i="3"/>
  <c r="C44" i="3" s="1"/>
  <c r="C42" i="3" s="1"/>
  <c r="G46" i="3"/>
  <c r="F46" i="3"/>
  <c r="E46" i="3"/>
  <c r="D46" i="3"/>
  <c r="C46" i="3"/>
  <c r="D150" i="6"/>
  <c r="H30" i="9"/>
  <c r="L89" i="9"/>
  <c r="F14" i="4"/>
  <c r="E9" i="4"/>
  <c r="E8" i="4"/>
  <c r="D35" i="3"/>
  <c r="B58" i="3" s="1"/>
  <c r="D33" i="3"/>
  <c r="D32" i="3"/>
  <c r="D41" i="5"/>
  <c r="E41" i="5" s="1"/>
  <c r="F41" i="5" s="1"/>
  <c r="G41" i="5" s="1"/>
  <c r="H41" i="5" s="1"/>
  <c r="I41" i="5" s="1"/>
  <c r="J12" i="9"/>
  <c r="D25" i="5"/>
  <c r="C81" i="5"/>
  <c r="C80" i="5"/>
  <c r="C79" i="5"/>
  <c r="C78" i="5"/>
  <c r="C77" i="5"/>
  <c r="B201" i="9"/>
  <c r="E201" i="9"/>
  <c r="G201" i="9" s="1"/>
  <c r="I201" i="9" s="1"/>
  <c r="B55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B136" i="9"/>
  <c r="B133" i="9"/>
  <c r="B134" i="9" s="1"/>
  <c r="B135" i="9" s="1"/>
  <c r="C89" i="9"/>
  <c r="D89" i="9" s="1"/>
  <c r="D90" i="9" s="1"/>
  <c r="C61" i="8"/>
  <c r="C63" i="8" s="1"/>
  <c r="C60" i="8"/>
  <c r="C62" i="8" s="1"/>
  <c r="H7" i="8"/>
  <c r="G7" i="8"/>
  <c r="F7" i="8"/>
  <c r="E7" i="8"/>
  <c r="E85" i="5"/>
  <c r="E62" i="5"/>
  <c r="B114" i="5" s="1"/>
  <c r="E20" i="4"/>
  <c r="D43" i="5"/>
  <c r="E43" i="5" s="1"/>
  <c r="F43" i="5" s="1"/>
  <c r="G43" i="5" s="1"/>
  <c r="H43" i="5" s="1"/>
  <c r="I43" i="5" s="1"/>
  <c r="D12" i="3"/>
  <c r="E92" i="5" s="1"/>
  <c r="F92" i="5" s="1"/>
  <c r="G92" i="5" s="1"/>
  <c r="H92" i="5" s="1"/>
  <c r="I92" i="5" s="1"/>
  <c r="D70" i="5"/>
  <c r="H12" i="7"/>
  <c r="D65" i="2"/>
  <c r="D75" i="5" s="1"/>
  <c r="E75" i="5" s="1"/>
  <c r="F75" i="5" s="1"/>
  <c r="D20" i="5"/>
  <c r="E20" i="5"/>
  <c r="B27" i="5" s="1"/>
  <c r="D33" i="5"/>
  <c r="D34" i="5"/>
  <c r="E34" i="5" s="1"/>
  <c r="E42" i="5"/>
  <c r="D44" i="5"/>
  <c r="E44" i="5" s="1"/>
  <c r="F44" i="5" s="1"/>
  <c r="E56" i="5"/>
  <c r="E57" i="5"/>
  <c r="D60" i="5"/>
  <c r="D61" i="5"/>
  <c r="E61" i="5" s="1"/>
  <c r="F82" i="5"/>
  <c r="G82" i="5" s="1"/>
  <c r="H82" i="5" s="1"/>
  <c r="F83" i="5"/>
  <c r="G83" i="5" s="1"/>
  <c r="D84" i="5"/>
  <c r="E90" i="5"/>
  <c r="B122" i="5"/>
  <c r="D43" i="6" s="1"/>
  <c r="B123" i="5"/>
  <c r="D14" i="6"/>
  <c r="E18" i="6"/>
  <c r="F18" i="6" s="1"/>
  <c r="G18" i="6" s="1"/>
  <c r="H18" i="6" s="1"/>
  <c r="D73" i="6"/>
  <c r="E112" i="6"/>
  <c r="G112" i="6"/>
  <c r="H112" i="6"/>
  <c r="I112" i="6"/>
  <c r="D113" i="6"/>
  <c r="E165" i="6"/>
  <c r="E169" i="6"/>
  <c r="F172" i="6"/>
  <c r="G172" i="6"/>
  <c r="H172" i="6"/>
  <c r="I172" i="6"/>
  <c r="E173" i="6"/>
  <c r="F173" i="6"/>
  <c r="G173" i="6"/>
  <c r="H173" i="6"/>
  <c r="I173" i="6"/>
  <c r="E12" i="8"/>
  <c r="F12" i="8"/>
  <c r="G12" i="8"/>
  <c r="H12" i="8"/>
  <c r="G17" i="4"/>
  <c r="H17" i="4"/>
  <c r="I17" i="4"/>
  <c r="D11" i="3"/>
  <c r="D28" i="3"/>
  <c r="D29" i="3"/>
  <c r="D30" i="3"/>
  <c r="D31" i="3"/>
  <c r="D34" i="3"/>
  <c r="D7" i="2"/>
  <c r="H7" i="2" s="1"/>
  <c r="D8" i="2"/>
  <c r="H8" i="2"/>
  <c r="D11" i="2"/>
  <c r="G11" i="2" s="1"/>
  <c r="D12" i="2"/>
  <c r="D13" i="2"/>
  <c r="D16" i="2"/>
  <c r="D17" i="2"/>
  <c r="H17" i="2" s="1"/>
  <c r="D18" i="2"/>
  <c r="H18" i="2" s="1"/>
  <c r="D19" i="2"/>
  <c r="H19" i="2" s="1"/>
  <c r="D20" i="2"/>
  <c r="H21" i="2"/>
  <c r="D24" i="2"/>
  <c r="D25" i="2"/>
  <c r="E25" i="2" s="1"/>
  <c r="D26" i="2"/>
  <c r="D27" i="2"/>
  <c r="C74" i="2" s="1"/>
  <c r="D28" i="2"/>
  <c r="F28" i="2" s="1"/>
  <c r="D29" i="2"/>
  <c r="D30" i="2"/>
  <c r="F30" i="2" s="1"/>
  <c r="B31" i="2"/>
  <c r="B48" i="2"/>
  <c r="B57" i="2" s="1"/>
  <c r="B60" i="2"/>
  <c r="B73" i="2"/>
  <c r="B74" i="2"/>
  <c r="B76" i="2"/>
  <c r="B77" i="2"/>
  <c r="B78" i="2"/>
  <c r="B81" i="2"/>
  <c r="C90" i="2"/>
  <c r="C94" i="2" s="1"/>
  <c r="C95" i="2" s="1"/>
  <c r="C102" i="2"/>
  <c r="A12" i="7"/>
  <c r="A13" i="7" s="1"/>
  <c r="G13" i="7"/>
  <c r="H13" i="7" s="1"/>
  <c r="I13" i="7" s="1"/>
  <c r="J13" i="7" s="1"/>
  <c r="K13" i="7" s="1"/>
  <c r="A14" i="7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G14" i="7"/>
  <c r="H14" i="7" s="1"/>
  <c r="I14" i="7" s="1"/>
  <c r="J14" i="7" s="1"/>
  <c r="K14" i="7" s="1"/>
  <c r="G15" i="7"/>
  <c r="H15" i="7" s="1"/>
  <c r="I15" i="7" s="1"/>
  <c r="J15" i="7" s="1"/>
  <c r="K15" i="7" s="1"/>
  <c r="G16" i="7"/>
  <c r="H16" i="7" s="1"/>
  <c r="I16" i="7" s="1"/>
  <c r="J16" i="7" s="1"/>
  <c r="K16" i="7" s="1"/>
  <c r="G17" i="7"/>
  <c r="H17" i="7" s="1"/>
  <c r="I17" i="7" s="1"/>
  <c r="J17" i="7" s="1"/>
  <c r="K17" i="7" s="1"/>
  <c r="G18" i="7"/>
  <c r="H18" i="7" s="1"/>
  <c r="I18" i="7" s="1"/>
  <c r="J18" i="7" s="1"/>
  <c r="K18" i="7" s="1"/>
  <c r="G19" i="7"/>
  <c r="H19" i="7" s="1"/>
  <c r="I19" i="7" s="1"/>
  <c r="J19" i="7" s="1"/>
  <c r="K19" i="7" s="1"/>
  <c r="G20" i="7"/>
  <c r="H20" i="7" s="1"/>
  <c r="I20" i="7" s="1"/>
  <c r="J20" i="7" s="1"/>
  <c r="K20" i="7" s="1"/>
  <c r="G21" i="7"/>
  <c r="H21" i="7" s="1"/>
  <c r="I21" i="7" s="1"/>
  <c r="J21" i="7" s="1"/>
  <c r="K21" i="7" s="1"/>
  <c r="G22" i="7"/>
  <c r="H22" i="7" s="1"/>
  <c r="I22" i="7" s="1"/>
  <c r="J22" i="7" s="1"/>
  <c r="K22" i="7" s="1"/>
  <c r="G23" i="7"/>
  <c r="H23" i="7" s="1"/>
  <c r="I23" i="7" s="1"/>
  <c r="J23" i="7" s="1"/>
  <c r="G24" i="7"/>
  <c r="H24" i="7" s="1"/>
  <c r="I24" i="7" s="1"/>
  <c r="J24" i="7" s="1"/>
  <c r="K24" i="7" s="1"/>
  <c r="E5" i="8" s="1"/>
  <c r="G25" i="7"/>
  <c r="H25" i="7" s="1"/>
  <c r="I25" i="7" s="1"/>
  <c r="J25" i="7" s="1"/>
  <c r="K25" i="7" s="1"/>
  <c r="G26" i="7"/>
  <c r="H26" i="7" s="1"/>
  <c r="I26" i="7" s="1"/>
  <c r="J26" i="7" s="1"/>
  <c r="K26" i="7" s="1"/>
  <c r="G27" i="7"/>
  <c r="H27" i="7" s="1"/>
  <c r="I27" i="7" s="1"/>
  <c r="J27" i="7" s="1"/>
  <c r="K27" i="7" s="1"/>
  <c r="G28" i="7"/>
  <c r="H28" i="7" s="1"/>
  <c r="I28" i="7" s="1"/>
  <c r="J28" i="7" s="1"/>
  <c r="K28" i="7" s="1"/>
  <c r="G29" i="7"/>
  <c r="H29" i="7" s="1"/>
  <c r="I29" i="7" s="1"/>
  <c r="J29" i="7" s="1"/>
  <c r="K29" i="7" s="1"/>
  <c r="G30" i="7"/>
  <c r="H30" i="7" s="1"/>
  <c r="I30" i="7" s="1"/>
  <c r="J30" i="7" s="1"/>
  <c r="K30" i="7" s="1"/>
  <c r="G31" i="7"/>
  <c r="H31" i="7" s="1"/>
  <c r="I31" i="7" s="1"/>
  <c r="J31" i="7" s="1"/>
  <c r="K31" i="7" s="1"/>
  <c r="G32" i="7"/>
  <c r="H32" i="7" s="1"/>
  <c r="I32" i="7" s="1"/>
  <c r="J32" i="7" s="1"/>
  <c r="K32" i="7" s="1"/>
  <c r="G33" i="7"/>
  <c r="H33" i="7"/>
  <c r="I33" i="7" s="1"/>
  <c r="J33" i="7" s="1"/>
  <c r="K33" i="7" s="1"/>
  <c r="G34" i="7"/>
  <c r="H34" i="7" s="1"/>
  <c r="I34" i="7" s="1"/>
  <c r="J34" i="7" s="1"/>
  <c r="K34" i="7" s="1"/>
  <c r="G35" i="7"/>
  <c r="H35" i="7" s="1"/>
  <c r="I35" i="7" s="1"/>
  <c r="J35" i="7" s="1"/>
  <c r="K35" i="7" s="1"/>
  <c r="G36" i="7"/>
  <c r="H36" i="7" s="1"/>
  <c r="I36" i="7" s="1"/>
  <c r="J36" i="7" s="1"/>
  <c r="K36" i="7" s="1"/>
  <c r="F5" i="8" s="1"/>
  <c r="F26" i="8" s="1"/>
  <c r="F65" i="8" s="1"/>
  <c r="G37" i="7"/>
  <c r="H37" i="7" s="1"/>
  <c r="I37" i="7" s="1"/>
  <c r="J37" i="7" s="1"/>
  <c r="K37" i="7" s="1"/>
  <c r="G38" i="7"/>
  <c r="H38" i="7" s="1"/>
  <c r="I38" i="7" s="1"/>
  <c r="J38" i="7" s="1"/>
  <c r="K38" i="7" s="1"/>
  <c r="G39" i="7"/>
  <c r="H39" i="7" s="1"/>
  <c r="I39" i="7" s="1"/>
  <c r="J39" i="7" s="1"/>
  <c r="K39" i="7" s="1"/>
  <c r="G40" i="7"/>
  <c r="H40" i="7" s="1"/>
  <c r="I40" i="7" s="1"/>
  <c r="J40" i="7" s="1"/>
  <c r="K40" i="7" s="1"/>
  <c r="G41" i="7"/>
  <c r="H41" i="7" s="1"/>
  <c r="I41" i="7" s="1"/>
  <c r="J41" i="7" s="1"/>
  <c r="K41" i="7" s="1"/>
  <c r="G42" i="7"/>
  <c r="H42" i="7" s="1"/>
  <c r="I42" i="7" s="1"/>
  <c r="J42" i="7" s="1"/>
  <c r="K42" i="7" s="1"/>
  <c r="G43" i="7"/>
  <c r="H43" i="7" s="1"/>
  <c r="I43" i="7" s="1"/>
  <c r="J43" i="7" s="1"/>
  <c r="K43" i="7" s="1"/>
  <c r="G44" i="7"/>
  <c r="H44" i="7" s="1"/>
  <c r="I44" i="7" s="1"/>
  <c r="J44" i="7" s="1"/>
  <c r="K44" i="7" s="1"/>
  <c r="G45" i="7"/>
  <c r="H45" i="7" s="1"/>
  <c r="I45" i="7" s="1"/>
  <c r="J45" i="7" s="1"/>
  <c r="K45" i="7" s="1"/>
  <c r="G46" i="7"/>
  <c r="H46" i="7" s="1"/>
  <c r="I46" i="7" s="1"/>
  <c r="J46" i="7" s="1"/>
  <c r="K46" i="7" s="1"/>
  <c r="G47" i="7"/>
  <c r="H47" i="7" s="1"/>
  <c r="I47" i="7" s="1"/>
  <c r="J47" i="7" s="1"/>
  <c r="K47" i="7" s="1"/>
  <c r="G48" i="7"/>
  <c r="H48" i="7" s="1"/>
  <c r="I48" i="7" s="1"/>
  <c r="J48" i="7" s="1"/>
  <c r="K48" i="7" s="1"/>
  <c r="G5" i="8" s="1"/>
  <c r="G26" i="8" s="1"/>
  <c r="G65" i="8" s="1"/>
  <c r="G49" i="7"/>
  <c r="H49" i="7" s="1"/>
  <c r="I49" i="7" s="1"/>
  <c r="J49" i="7" s="1"/>
  <c r="K49" i="7" s="1"/>
  <c r="G50" i="7"/>
  <c r="H50" i="7" s="1"/>
  <c r="I50" i="7" s="1"/>
  <c r="J50" i="7" s="1"/>
  <c r="K50" i="7" s="1"/>
  <c r="G51" i="7"/>
  <c r="H51" i="7" s="1"/>
  <c r="I51" i="7" s="1"/>
  <c r="J51" i="7" s="1"/>
  <c r="K51" i="7" s="1"/>
  <c r="G52" i="7"/>
  <c r="H52" i="7" s="1"/>
  <c r="I52" i="7" s="1"/>
  <c r="J52" i="7" s="1"/>
  <c r="K52" i="7" s="1"/>
  <c r="G53" i="7"/>
  <c r="H53" i="7" s="1"/>
  <c r="I53" i="7" s="1"/>
  <c r="J53" i="7" s="1"/>
  <c r="K53" i="7" s="1"/>
  <c r="G54" i="7"/>
  <c r="H54" i="7" s="1"/>
  <c r="I54" i="7" s="1"/>
  <c r="J54" i="7" s="1"/>
  <c r="K54" i="7" s="1"/>
  <c r="G55" i="7"/>
  <c r="H55" i="7" s="1"/>
  <c r="I55" i="7" s="1"/>
  <c r="J55" i="7" s="1"/>
  <c r="K55" i="7" s="1"/>
  <c r="G56" i="7"/>
  <c r="H56" i="7" s="1"/>
  <c r="I56" i="7" s="1"/>
  <c r="J56" i="7" s="1"/>
  <c r="K56" i="7" s="1"/>
  <c r="G57" i="7"/>
  <c r="H57" i="7" s="1"/>
  <c r="I57" i="7" s="1"/>
  <c r="J57" i="7" s="1"/>
  <c r="K57" i="7" s="1"/>
  <c r="G58" i="7"/>
  <c r="H58" i="7" s="1"/>
  <c r="I58" i="7" s="1"/>
  <c r="J58" i="7" s="1"/>
  <c r="K58" i="7" s="1"/>
  <c r="G59" i="7"/>
  <c r="H59" i="7" s="1"/>
  <c r="I59" i="7" s="1"/>
  <c r="J59" i="7" s="1"/>
  <c r="K59" i="7" s="1"/>
  <c r="G60" i="7"/>
  <c r="H60" i="7" s="1"/>
  <c r="I60" i="7" s="1"/>
  <c r="J60" i="7" s="1"/>
  <c r="K60" i="7" s="1"/>
  <c r="H5" i="8" s="1"/>
  <c r="H26" i="8" s="1"/>
  <c r="H65" i="8" s="1"/>
  <c r="G61" i="7"/>
  <c r="H61" i="7" s="1"/>
  <c r="I61" i="7" s="1"/>
  <c r="J61" i="7" s="1"/>
  <c r="K61" i="7" s="1"/>
  <c r="G62" i="7"/>
  <c r="H62" i="7" s="1"/>
  <c r="I62" i="7" s="1"/>
  <c r="J62" i="7" s="1"/>
  <c r="K62" i="7" s="1"/>
  <c r="G63" i="7"/>
  <c r="H63" i="7" s="1"/>
  <c r="I63" i="7" s="1"/>
  <c r="J63" i="7" s="1"/>
  <c r="K63" i="7" s="1"/>
  <c r="G64" i="7"/>
  <c r="H64" i="7" s="1"/>
  <c r="I64" i="7" s="1"/>
  <c r="J64" i="7" s="1"/>
  <c r="K64" i="7" s="1"/>
  <c r="G65" i="7"/>
  <c r="H65" i="7" s="1"/>
  <c r="I65" i="7" s="1"/>
  <c r="J65" i="7" s="1"/>
  <c r="K65" i="7" s="1"/>
  <c r="G66" i="7"/>
  <c r="H66" i="7" s="1"/>
  <c r="I66" i="7" s="1"/>
  <c r="J66" i="7" s="1"/>
  <c r="K66" i="7" s="1"/>
  <c r="G67" i="7"/>
  <c r="H67" i="7" s="1"/>
  <c r="I67" i="7" s="1"/>
  <c r="J67" i="7" s="1"/>
  <c r="K67" i="7" s="1"/>
  <c r="G68" i="7"/>
  <c r="H68" i="7" s="1"/>
  <c r="I68" i="7" s="1"/>
  <c r="J68" i="7" s="1"/>
  <c r="K68" i="7" s="1"/>
  <c r="G69" i="7"/>
  <c r="H69" i="7" s="1"/>
  <c r="I69" i="7" s="1"/>
  <c r="J69" i="7" s="1"/>
  <c r="K69" i="7" s="1"/>
  <c r="G70" i="7"/>
  <c r="H70" i="7" s="1"/>
  <c r="I70" i="7" s="1"/>
  <c r="J70" i="7" s="1"/>
  <c r="K70" i="7" s="1"/>
  <c r="G71" i="7"/>
  <c r="H71" i="7" s="1"/>
  <c r="I71" i="7" s="1"/>
  <c r="J71" i="7" s="1"/>
  <c r="K71" i="7" s="1"/>
  <c r="F26" i="2"/>
  <c r="C78" i="2"/>
  <c r="H20" i="2"/>
  <c r="B52" i="2"/>
  <c r="B53" i="2" s="1"/>
  <c r="D91" i="5"/>
  <c r="D13" i="3"/>
  <c r="B53" i="5" s="1"/>
  <c r="D53" i="5" s="1"/>
  <c r="D14" i="3"/>
  <c r="D15" i="3"/>
  <c r="B77" i="5" s="1"/>
  <c r="D77" i="5" s="1"/>
  <c r="D16" i="3"/>
  <c r="B78" i="5" s="1"/>
  <c r="D78" i="5" s="1"/>
  <c r="E78" i="5" s="1"/>
  <c r="D17" i="3"/>
  <c r="B79" i="5" s="1"/>
  <c r="D79" i="5" s="1"/>
  <c r="E79" i="5" s="1"/>
  <c r="D19" i="3"/>
  <c r="B81" i="5" s="1"/>
  <c r="E81" i="5" s="1"/>
  <c r="D81" i="5" s="1"/>
  <c r="D18" i="3"/>
  <c r="B80" i="5" s="1"/>
  <c r="D80" i="5" s="1"/>
  <c r="E80" i="5" s="1"/>
  <c r="H34" i="9"/>
  <c r="G166" i="9"/>
  <c r="H43" i="9"/>
  <c r="H33" i="9"/>
  <c r="H36" i="9"/>
  <c r="H42" i="9"/>
  <c r="B99" i="9"/>
  <c r="G174" i="9"/>
  <c r="H38" i="9"/>
  <c r="G168" i="9"/>
  <c r="G171" i="9"/>
  <c r="G175" i="9"/>
  <c r="G178" i="9"/>
  <c r="G165" i="9"/>
  <c r="G169" i="9"/>
  <c r="G177" i="9"/>
  <c r="B51" i="5"/>
  <c r="D51" i="5" s="1"/>
  <c r="G13" i="2"/>
  <c r="C123" i="5"/>
  <c r="E44" i="6" s="1"/>
  <c r="D35" i="4"/>
  <c r="D66" i="5"/>
  <c r="E66" i="5" s="1"/>
  <c r="F44" i="3"/>
  <c r="F42" i="3" s="1"/>
  <c r="G44" i="3"/>
  <c r="G42" i="3"/>
  <c r="H35" i="9"/>
  <c r="H39" i="9"/>
  <c r="H45" i="9"/>
  <c r="H40" i="9"/>
  <c r="H29" i="9"/>
  <c r="G180" i="9"/>
  <c r="G170" i="9"/>
  <c r="H37" i="9"/>
  <c r="G172" i="9"/>
  <c r="H31" i="9"/>
  <c r="G176" i="9"/>
  <c r="H44" i="9"/>
  <c r="H46" i="9"/>
  <c r="H41" i="9"/>
  <c r="G173" i="9"/>
  <c r="G179" i="9"/>
  <c r="G167" i="9"/>
  <c r="H32" i="9"/>
  <c r="F56" i="5" l="1"/>
  <c r="G56" i="5" s="1"/>
  <c r="H56" i="5" s="1"/>
  <c r="I56" i="5" s="1"/>
  <c r="E25" i="5"/>
  <c r="C85" i="4"/>
  <c r="F86" i="4" s="1"/>
  <c r="E22" i="4"/>
  <c r="F9" i="4"/>
  <c r="E26" i="8"/>
  <c r="E65" i="8" s="1"/>
  <c r="C35" i="4"/>
  <c r="I35" i="4" s="1"/>
  <c r="F37" i="4"/>
  <c r="F15" i="4"/>
  <c r="G9" i="4"/>
  <c r="C93" i="4" s="1"/>
  <c r="F87" i="4"/>
  <c r="C88" i="4" s="1"/>
  <c r="F62" i="5"/>
  <c r="C114" i="5" s="1"/>
  <c r="D122" i="5"/>
  <c r="F43" i="6" s="1"/>
  <c r="K23" i="7"/>
  <c r="C81" i="2"/>
  <c r="D59" i="5"/>
  <c r="B66" i="3" s="1"/>
  <c r="C79" i="2"/>
  <c r="G12" i="2"/>
  <c r="G31" i="2" s="1"/>
  <c r="B83" i="2"/>
  <c r="B84" i="2" s="1"/>
  <c r="B41" i="2"/>
  <c r="B42" i="2" s="1"/>
  <c r="E27" i="2"/>
  <c r="D123" i="5"/>
  <c r="F44" i="6" s="1"/>
  <c r="H83" i="5"/>
  <c r="I83" i="5" s="1"/>
  <c r="F123" i="5" s="1"/>
  <c r="H44" i="6" s="1"/>
  <c r="I82" i="5"/>
  <c r="F122" i="5" s="1"/>
  <c r="H43" i="6" s="1"/>
  <c r="E122" i="5"/>
  <c r="G43" i="6" s="1"/>
  <c r="E73" i="6"/>
  <c r="C101" i="2"/>
  <c r="G15" i="4"/>
  <c r="H15" i="4" s="1"/>
  <c r="I15" i="4" s="1"/>
  <c r="I19" i="2"/>
  <c r="G14" i="4"/>
  <c r="H14" i="4" s="1"/>
  <c r="I14" i="4" s="1"/>
  <c r="C89" i="4"/>
  <c r="B61" i="2"/>
  <c r="C100" i="2"/>
  <c r="B51" i="2"/>
  <c r="N10" i="5"/>
  <c r="C96" i="2"/>
  <c r="B54" i="2"/>
  <c r="C122" i="5"/>
  <c r="E43" i="6" s="1"/>
  <c r="D32" i="5"/>
  <c r="E33" i="5"/>
  <c r="E32" i="5" s="1"/>
  <c r="E10" i="4"/>
  <c r="F10" i="4" s="1"/>
  <c r="C61" i="4"/>
  <c r="F63" i="4"/>
  <c r="C65" i="4"/>
  <c r="F66" i="4" s="1"/>
  <c r="F29" i="2"/>
  <c r="C77" i="2"/>
  <c r="B116" i="5"/>
  <c r="E136" i="6" s="1"/>
  <c r="F66" i="5"/>
  <c r="H77" i="5"/>
  <c r="G77" i="5"/>
  <c r="F77" i="5"/>
  <c r="E77" i="5"/>
  <c r="D76" i="5"/>
  <c r="E76" i="5" s="1"/>
  <c r="I77" i="5"/>
  <c r="G91" i="5"/>
  <c r="I91" i="5"/>
  <c r="E91" i="5"/>
  <c r="D75" i="6" s="1"/>
  <c r="E135" i="6" s="1"/>
  <c r="H91" i="5"/>
  <c r="F91" i="5"/>
  <c r="D69" i="5"/>
  <c r="E70" i="5"/>
  <c r="B74" i="3"/>
  <c r="D140" i="6"/>
  <c r="D72" i="6"/>
  <c r="E123" i="5"/>
  <c r="G44" i="6" s="1"/>
  <c r="F51" i="5"/>
  <c r="I51" i="5"/>
  <c r="E51" i="5"/>
  <c r="H51" i="5"/>
  <c r="G51" i="5"/>
  <c r="B52" i="5"/>
  <c r="D52" i="5" s="1"/>
  <c r="E24" i="2"/>
  <c r="E31" i="2" s="1"/>
  <c r="C75" i="2"/>
  <c r="C73" i="2"/>
  <c r="H16" i="2"/>
  <c r="H31" i="2" s="1"/>
  <c r="C80" i="2"/>
  <c r="D31" i="2"/>
  <c r="B63" i="3" s="1"/>
  <c r="C82" i="2"/>
  <c r="H53" i="5"/>
  <c r="G53" i="5"/>
  <c r="I53" i="5"/>
  <c r="F53" i="5"/>
  <c r="E53" i="5"/>
  <c r="C38" i="4"/>
  <c r="E58" i="5"/>
  <c r="E55" i="5" s="1"/>
  <c r="B112" i="5" s="1"/>
  <c r="C76" i="2"/>
  <c r="C40" i="2"/>
  <c r="E60" i="5"/>
  <c r="E59" i="5" s="1"/>
  <c r="B113" i="5" s="1"/>
  <c r="F31" i="2"/>
  <c r="D27" i="5"/>
  <c r="D8" i="9" s="1"/>
  <c r="E84" i="5"/>
  <c r="F85" i="5"/>
  <c r="G85" i="5" s="1"/>
  <c r="H85" i="5" s="1"/>
  <c r="I85" i="5" s="1"/>
  <c r="N11" i="5"/>
  <c r="C39" i="2"/>
  <c r="B50" i="5"/>
  <c r="D50" i="5" s="1"/>
  <c r="C93" i="2"/>
  <c r="C99" i="2"/>
  <c r="C103" i="2"/>
  <c r="B58" i="2"/>
  <c r="B63" i="2" s="1"/>
  <c r="B59" i="2"/>
  <c r="D92" i="5"/>
  <c r="G181" i="9"/>
  <c r="E44" i="3"/>
  <c r="E42" i="3" s="1"/>
  <c r="D44" i="3"/>
  <c r="D42" i="3" s="1"/>
  <c r="G62" i="5" l="1"/>
  <c r="D89" i="5"/>
  <c r="E89" i="5" s="1"/>
  <c r="F20" i="4"/>
  <c r="F25" i="5"/>
  <c r="C39" i="4"/>
  <c r="E35" i="4"/>
  <c r="H9" i="4"/>
  <c r="I9" i="4" s="1"/>
  <c r="C101" i="4" s="1"/>
  <c r="C112" i="4"/>
  <c r="I85" i="4"/>
  <c r="I86" i="4" s="1"/>
  <c r="I87" i="4" s="1"/>
  <c r="I88" i="4" s="1"/>
  <c r="I89" i="4" s="1"/>
  <c r="E23" i="4"/>
  <c r="I61" i="4"/>
  <c r="F62" i="4"/>
  <c r="E61" i="4"/>
  <c r="K61" i="4" s="1"/>
  <c r="C109" i="4"/>
  <c r="I109" i="4" s="1"/>
  <c r="B65" i="3"/>
  <c r="H62" i="5"/>
  <c r="D114" i="5"/>
  <c r="M19" i="2"/>
  <c r="D134" i="6"/>
  <c r="D141" i="6" s="1"/>
  <c r="O10" i="5"/>
  <c r="D39" i="4"/>
  <c r="F73" i="6"/>
  <c r="F32" i="5"/>
  <c r="E129" i="6"/>
  <c r="F90" i="4"/>
  <c r="F91" i="4"/>
  <c r="C92" i="4" s="1"/>
  <c r="F21" i="4"/>
  <c r="G8" i="4"/>
  <c r="F55" i="5"/>
  <c r="F95" i="4"/>
  <c r="F94" i="4"/>
  <c r="C41" i="2"/>
  <c r="E69" i="5"/>
  <c r="B117" i="5"/>
  <c r="F70" i="5"/>
  <c r="F36" i="4"/>
  <c r="I36" i="4" s="1"/>
  <c r="I37" i="4" s="1"/>
  <c r="K32" i="2"/>
  <c r="C105" i="2"/>
  <c r="O11" i="5"/>
  <c r="F26" i="5" s="1"/>
  <c r="D65" i="4"/>
  <c r="B124" i="5"/>
  <c r="F84" i="5"/>
  <c r="F59" i="5"/>
  <c r="F111" i="4"/>
  <c r="D29" i="5"/>
  <c r="F76" i="5"/>
  <c r="B121" i="5"/>
  <c r="D42" i="6" s="1"/>
  <c r="G66" i="5"/>
  <c r="C116" i="5"/>
  <c r="F136" i="6" s="1"/>
  <c r="G50" i="5"/>
  <c r="F50" i="5"/>
  <c r="I50" i="5"/>
  <c r="H50" i="5"/>
  <c r="E50" i="5"/>
  <c r="D49" i="5"/>
  <c r="E27" i="5"/>
  <c r="E30" i="5" s="1"/>
  <c r="C47" i="2"/>
  <c r="C48" i="2" s="1"/>
  <c r="G7" i="4"/>
  <c r="F41" i="4"/>
  <c r="C83" i="2"/>
  <c r="I52" i="5"/>
  <c r="E52" i="5"/>
  <c r="H52" i="5"/>
  <c r="G52" i="5"/>
  <c r="F52" i="5"/>
  <c r="F16" i="4"/>
  <c r="B129" i="5" l="1"/>
  <c r="D38" i="6" s="1"/>
  <c r="F89" i="5"/>
  <c r="C97" i="4"/>
  <c r="K35" i="4"/>
  <c r="K8" i="9"/>
  <c r="B64" i="3"/>
  <c r="L8" i="9"/>
  <c r="F110" i="4"/>
  <c r="I110" i="4" s="1"/>
  <c r="I111" i="4" s="1"/>
  <c r="I62" i="4"/>
  <c r="I63" i="4" s="1"/>
  <c r="D45" i="6"/>
  <c r="I38" i="4"/>
  <c r="I39" i="4" s="1"/>
  <c r="F99" i="4"/>
  <c r="C100" i="4" s="1"/>
  <c r="F98" i="4"/>
  <c r="E65" i="4"/>
  <c r="I90" i="4"/>
  <c r="I91" i="4" s="1"/>
  <c r="I92" i="4" s="1"/>
  <c r="I93" i="4" s="1"/>
  <c r="I94" i="4" s="1"/>
  <c r="I95" i="4" s="1"/>
  <c r="E114" i="5"/>
  <c r="I62" i="5"/>
  <c r="F114" i="5" s="1"/>
  <c r="F40" i="5"/>
  <c r="B73" i="3"/>
  <c r="D74" i="6"/>
  <c r="E74" i="6" s="1"/>
  <c r="D43" i="4"/>
  <c r="P10" i="5"/>
  <c r="G25" i="5" s="1"/>
  <c r="C101" i="5"/>
  <c r="E28" i="6" s="1"/>
  <c r="F129" i="6" s="1"/>
  <c r="G32" i="5"/>
  <c r="G73" i="6"/>
  <c r="H73" i="6"/>
  <c r="E49" i="5"/>
  <c r="I64" i="4"/>
  <c r="G21" i="4"/>
  <c r="C69" i="4"/>
  <c r="F70" i="4" s="1"/>
  <c r="H8" i="4"/>
  <c r="J61" i="4"/>
  <c r="F67" i="4"/>
  <c r="C68" i="4" s="1"/>
  <c r="F40" i="4"/>
  <c r="C113" i="4"/>
  <c r="E39" i="4"/>
  <c r="F49" i="5"/>
  <c r="H7" i="4"/>
  <c r="C43" i="4"/>
  <c r="G20" i="4"/>
  <c r="G10" i="4"/>
  <c r="D116" i="5"/>
  <c r="G136" i="6" s="1"/>
  <c r="H66" i="5"/>
  <c r="N12" i="5"/>
  <c r="D85" i="4"/>
  <c r="E85" i="4" s="1"/>
  <c r="E72" i="6"/>
  <c r="F72" i="6" s="1"/>
  <c r="C124" i="5"/>
  <c r="E45" i="6" s="1"/>
  <c r="G84" i="5"/>
  <c r="D78" i="2"/>
  <c r="F102" i="4"/>
  <c r="F103" i="4"/>
  <c r="C104" i="4" s="1"/>
  <c r="C58" i="2"/>
  <c r="C57" i="2"/>
  <c r="C52" i="2"/>
  <c r="C53" i="2" s="1"/>
  <c r="C61" i="2"/>
  <c r="C60" i="2"/>
  <c r="C59" i="2"/>
  <c r="C54" i="2"/>
  <c r="C51" i="2"/>
  <c r="G89" i="5"/>
  <c r="C129" i="5"/>
  <c r="E38" i="6" s="1"/>
  <c r="E29" i="5"/>
  <c r="E6" i="5" s="1"/>
  <c r="G55" i="5"/>
  <c r="C112" i="5"/>
  <c r="C84" i="2"/>
  <c r="B89" i="2"/>
  <c r="B90" i="2" s="1"/>
  <c r="G16" i="4"/>
  <c r="F22" i="4"/>
  <c r="F23" i="4" s="1"/>
  <c r="E9" i="6" s="1"/>
  <c r="C42" i="4"/>
  <c r="F115" i="4"/>
  <c r="C121" i="5"/>
  <c r="E42" i="6" s="1"/>
  <c r="G76" i="5"/>
  <c r="G59" i="5"/>
  <c r="C113" i="5"/>
  <c r="P11" i="5"/>
  <c r="G26" i="5" s="1"/>
  <c r="F27" i="5"/>
  <c r="F30" i="5" s="1"/>
  <c r="D69" i="4"/>
  <c r="F69" i="5"/>
  <c r="G70" i="5"/>
  <c r="C117" i="5"/>
  <c r="C96" i="4"/>
  <c r="I65" i="4" l="1"/>
  <c r="I66" i="4" s="1"/>
  <c r="I67" i="4" s="1"/>
  <c r="I68" i="4" s="1"/>
  <c r="I69" i="4" s="1"/>
  <c r="I70" i="4" s="1"/>
  <c r="G62" i="4"/>
  <c r="H62" i="4" s="1"/>
  <c r="K62" i="4" s="1"/>
  <c r="J62" i="4" s="1"/>
  <c r="G63" i="4" s="1"/>
  <c r="H63" i="4" s="1"/>
  <c r="K63" i="4" s="1"/>
  <c r="J63" i="4" s="1"/>
  <c r="K85" i="4"/>
  <c r="E69" i="4"/>
  <c r="B60" i="3"/>
  <c r="B75" i="3" s="1"/>
  <c r="B76" i="3" s="1"/>
  <c r="C1" i="7" s="1"/>
  <c r="C3" i="7" s="1"/>
  <c r="G40" i="5"/>
  <c r="C106" i="5"/>
  <c r="D47" i="4"/>
  <c r="Q10" i="5"/>
  <c r="I40" i="4"/>
  <c r="I41" i="4" s="1"/>
  <c r="I42" i="4" s="1"/>
  <c r="I43" i="4" s="1"/>
  <c r="H32" i="5"/>
  <c r="D101" i="5"/>
  <c r="F28" i="6" s="1"/>
  <c r="G129" i="6" s="1"/>
  <c r="F71" i="4"/>
  <c r="C72" i="4" s="1"/>
  <c r="I8" i="4"/>
  <c r="C73" i="4"/>
  <c r="H21" i="4"/>
  <c r="F114" i="4"/>
  <c r="C116" i="4"/>
  <c r="B101" i="2"/>
  <c r="B94" i="2"/>
  <c r="B95" i="2" s="1"/>
  <c r="B100" i="2"/>
  <c r="B93" i="2"/>
  <c r="B103" i="2"/>
  <c r="B99" i="2"/>
  <c r="B102" i="2"/>
  <c r="B96" i="2"/>
  <c r="C63" i="2"/>
  <c r="D40" i="2" s="1"/>
  <c r="E87" i="5"/>
  <c r="H84" i="5"/>
  <c r="D124" i="5"/>
  <c r="F45" i="6" s="1"/>
  <c r="C47" i="4"/>
  <c r="H10" i="4"/>
  <c r="H20" i="4"/>
  <c r="I7" i="4"/>
  <c r="G49" i="5"/>
  <c r="C111" i="5"/>
  <c r="D73" i="4"/>
  <c r="Q11" i="5"/>
  <c r="H26" i="5" s="1"/>
  <c r="G27" i="5"/>
  <c r="G30" i="5" s="1"/>
  <c r="D121" i="5"/>
  <c r="F42" i="6" s="1"/>
  <c r="H76" i="5"/>
  <c r="I112" i="4"/>
  <c r="I113" i="4" s="1"/>
  <c r="I66" i="5"/>
  <c r="F116" i="5" s="1"/>
  <c r="I136" i="6" s="1"/>
  <c r="E116" i="5"/>
  <c r="H136" i="6" s="1"/>
  <c r="I96" i="4"/>
  <c r="I97" i="4" s="1"/>
  <c r="I98" i="4" s="1"/>
  <c r="I99" i="4" s="1"/>
  <c r="I100" i="4" s="1"/>
  <c r="I101" i="4" s="1"/>
  <c r="I102" i="4" s="1"/>
  <c r="I103" i="4" s="1"/>
  <c r="I104" i="4" s="1"/>
  <c r="H70" i="5"/>
  <c r="D117" i="5"/>
  <c r="G69" i="5"/>
  <c r="J35" i="4"/>
  <c r="G36" i="4" s="1"/>
  <c r="H36" i="4" s="1"/>
  <c r="K36" i="4" s="1"/>
  <c r="H89" i="5"/>
  <c r="D129" i="5"/>
  <c r="F38" i="6" s="1"/>
  <c r="H59" i="5"/>
  <c r="D113" i="5"/>
  <c r="H16" i="4"/>
  <c r="G22" i="4"/>
  <c r="G23" i="4" s="1"/>
  <c r="F9" i="6" s="1"/>
  <c r="D112" i="5"/>
  <c r="H55" i="5"/>
  <c r="F74" i="6"/>
  <c r="D89" i="4"/>
  <c r="E89" i="4" s="1"/>
  <c r="E113" i="4" s="1"/>
  <c r="O12" i="5"/>
  <c r="F28" i="5" s="1"/>
  <c r="E43" i="4"/>
  <c r="F44" i="4"/>
  <c r="F45" i="4"/>
  <c r="C117" i="4"/>
  <c r="F118" i="4" s="1"/>
  <c r="D109" i="4" l="1"/>
  <c r="J85" i="4"/>
  <c r="G86" i="4" s="1"/>
  <c r="H86" i="4" s="1"/>
  <c r="D64" i="4"/>
  <c r="E64" i="4" s="1"/>
  <c r="K64" i="4" s="1"/>
  <c r="K65" i="4" s="1"/>
  <c r="J65" i="4" s="1"/>
  <c r="K109" i="4"/>
  <c r="L109" i="4" s="1"/>
  <c r="I114" i="4"/>
  <c r="I115" i="4" s="1"/>
  <c r="I116" i="4" s="1"/>
  <c r="I117" i="4" s="1"/>
  <c r="I118" i="4" s="1"/>
  <c r="D106" i="5"/>
  <c r="H40" i="5"/>
  <c r="D51" i="4"/>
  <c r="R10" i="5"/>
  <c r="I25" i="5" s="1"/>
  <c r="H25" i="5"/>
  <c r="E73" i="4"/>
  <c r="E101" i="5"/>
  <c r="G28" i="6" s="1"/>
  <c r="H129" i="6" s="1"/>
  <c r="I32" i="5"/>
  <c r="F101" i="5" s="1"/>
  <c r="H28" i="6" s="1"/>
  <c r="I129" i="6" s="1"/>
  <c r="G72" i="6"/>
  <c r="H72" i="6" s="1"/>
  <c r="I71" i="4"/>
  <c r="I72" i="4" s="1"/>
  <c r="I73" i="4" s="1"/>
  <c r="C77" i="4"/>
  <c r="I21" i="4"/>
  <c r="F75" i="4"/>
  <c r="C76" i="4" s="1"/>
  <c r="F74" i="4"/>
  <c r="I74" i="4" s="1"/>
  <c r="D113" i="4"/>
  <c r="E16" i="6"/>
  <c r="H49" i="5"/>
  <c r="D111" i="5"/>
  <c r="B105" i="2"/>
  <c r="I24" i="2" s="1"/>
  <c r="G74" i="6"/>
  <c r="I16" i="4"/>
  <c r="I22" i="4" s="1"/>
  <c r="H22" i="4"/>
  <c r="H23" i="4" s="1"/>
  <c r="G9" i="6" s="1"/>
  <c r="D77" i="4"/>
  <c r="R11" i="5"/>
  <c r="H27" i="5"/>
  <c r="I44" i="4"/>
  <c r="I45" i="4" s="1"/>
  <c r="E47" i="4"/>
  <c r="F49" i="4"/>
  <c r="F48" i="4"/>
  <c r="C121" i="4"/>
  <c r="F122" i="4" s="1"/>
  <c r="I84" i="5"/>
  <c r="F124" i="5" s="1"/>
  <c r="H45" i="6" s="1"/>
  <c r="E124" i="5"/>
  <c r="G45" i="6" s="1"/>
  <c r="F29" i="5"/>
  <c r="F6" i="5" s="1"/>
  <c r="P12" i="5"/>
  <c r="G28" i="5" s="1"/>
  <c r="D93" i="4"/>
  <c r="E93" i="4" s="1"/>
  <c r="E117" i="4" s="1"/>
  <c r="C46" i="4"/>
  <c r="F119" i="4"/>
  <c r="E117" i="5"/>
  <c r="I70" i="5"/>
  <c r="H69" i="5"/>
  <c r="E75" i="6"/>
  <c r="D76" i="6"/>
  <c r="E112" i="5"/>
  <c r="I55" i="5"/>
  <c r="F112" i="5" s="1"/>
  <c r="I89" i="5"/>
  <c r="F129" i="5" s="1"/>
  <c r="H38" i="6" s="1"/>
  <c r="E129" i="5"/>
  <c r="G38" i="6" s="1"/>
  <c r="E121" i="5"/>
  <c r="G42" i="6" s="1"/>
  <c r="I76" i="5"/>
  <c r="F121" i="5" s="1"/>
  <c r="H42" i="6" s="1"/>
  <c r="I10" i="4"/>
  <c r="C51" i="4"/>
  <c r="I20" i="4"/>
  <c r="E113" i="5"/>
  <c r="I59" i="5"/>
  <c r="F113" i="5" s="1"/>
  <c r="J36" i="4"/>
  <c r="G37" i="4" s="1"/>
  <c r="H37" i="4" s="1"/>
  <c r="K37" i="4" s="1"/>
  <c r="J37" i="4" s="1"/>
  <c r="B127" i="5"/>
  <c r="F87" i="5"/>
  <c r="H30" i="5" l="1"/>
  <c r="K86" i="4"/>
  <c r="J86" i="4" s="1"/>
  <c r="G87" i="4" s="1"/>
  <c r="H87" i="4" s="1"/>
  <c r="K87" i="4" s="1"/>
  <c r="J87" i="4" s="1"/>
  <c r="D88" i="4" s="1"/>
  <c r="E88" i="4" s="1"/>
  <c r="K88" i="4" s="1"/>
  <c r="J88" i="4" s="1"/>
  <c r="H110" i="4"/>
  <c r="G110" i="4" s="1"/>
  <c r="J109" i="4"/>
  <c r="J64" i="4"/>
  <c r="I27" i="5"/>
  <c r="I26" i="5"/>
  <c r="I30" i="5" s="1"/>
  <c r="E77" i="4"/>
  <c r="E106" i="5"/>
  <c r="I40" i="5"/>
  <c r="F106" i="5" s="1"/>
  <c r="I17" i="2"/>
  <c r="I12" i="2"/>
  <c r="I18" i="2"/>
  <c r="I46" i="4"/>
  <c r="I47" i="4" s="1"/>
  <c r="I48" i="4" s="1"/>
  <c r="I49" i="4" s="1"/>
  <c r="I75" i="4"/>
  <c r="I76" i="4" s="1"/>
  <c r="I77" i="4" s="1"/>
  <c r="I78" i="4" s="1"/>
  <c r="F79" i="4"/>
  <c r="C80" i="4" s="1"/>
  <c r="I13" i="2"/>
  <c r="I29" i="2"/>
  <c r="B68" i="3"/>
  <c r="F52" i="4"/>
  <c r="E51" i="4"/>
  <c r="F53" i="4"/>
  <c r="C125" i="4"/>
  <c r="F126" i="4" s="1"/>
  <c r="G87" i="5"/>
  <c r="C127" i="5"/>
  <c r="D117" i="4"/>
  <c r="F16" i="6"/>
  <c r="H74" i="6"/>
  <c r="D36" i="6"/>
  <c r="G66" i="4"/>
  <c r="H66" i="4" s="1"/>
  <c r="K66" i="4" s="1"/>
  <c r="F117" i="5"/>
  <c r="I69" i="5"/>
  <c r="C120" i="4"/>
  <c r="C50" i="4"/>
  <c r="F123" i="4"/>
  <c r="E111" i="5"/>
  <c r="I49" i="5"/>
  <c r="H111" i="4"/>
  <c r="G111" i="4" s="1"/>
  <c r="I23" i="4"/>
  <c r="H9" i="6" s="1"/>
  <c r="F135" i="6"/>
  <c r="F75" i="6"/>
  <c r="E76" i="6"/>
  <c r="I20" i="2"/>
  <c r="I11" i="2"/>
  <c r="I26" i="2"/>
  <c r="I21" i="2"/>
  <c r="I30" i="2"/>
  <c r="D74" i="2"/>
  <c r="I27" i="2"/>
  <c r="I16" i="2"/>
  <c r="I25" i="2"/>
  <c r="D77" i="2"/>
  <c r="D76" i="2" s="1"/>
  <c r="D45" i="5" s="1"/>
  <c r="D39" i="5" s="1"/>
  <c r="I28" i="2"/>
  <c r="I119" i="4"/>
  <c r="D38" i="4"/>
  <c r="E38" i="4" s="1"/>
  <c r="Q12" i="5"/>
  <c r="H28" i="5" s="1"/>
  <c r="G29" i="5"/>
  <c r="G6" i="5" s="1"/>
  <c r="D97" i="4"/>
  <c r="E97" i="4" s="1"/>
  <c r="E121" i="4" s="1"/>
  <c r="I79" i="4" l="1"/>
  <c r="I80" i="4" s="1"/>
  <c r="E73" i="5"/>
  <c r="B120" i="5" s="1"/>
  <c r="B119" i="5" s="1"/>
  <c r="K110" i="4"/>
  <c r="J110" i="4" s="1"/>
  <c r="D17" i="6"/>
  <c r="D19" i="6" s="1"/>
  <c r="D21" i="6" s="1"/>
  <c r="D25" i="6" s="1"/>
  <c r="B100" i="5" s="1"/>
  <c r="E112" i="4"/>
  <c r="D10" i="6" s="1"/>
  <c r="D11" i="6" s="1"/>
  <c r="I50" i="4"/>
  <c r="I51" i="4" s="1"/>
  <c r="I52" i="4" s="1"/>
  <c r="I53" i="4" s="1"/>
  <c r="I120" i="4"/>
  <c r="I121" i="4" s="1"/>
  <c r="I122" i="4" s="1"/>
  <c r="I123" i="4" s="1"/>
  <c r="C2" i="7"/>
  <c r="F2" i="7" s="1"/>
  <c r="D121" i="4"/>
  <c r="G16" i="6"/>
  <c r="D101" i="4"/>
  <c r="E101" i="4" s="1"/>
  <c r="E125" i="4" s="1"/>
  <c r="R12" i="5"/>
  <c r="H29" i="5"/>
  <c r="H6" i="5" s="1"/>
  <c r="E37" i="5"/>
  <c r="D84" i="2"/>
  <c r="E74" i="5"/>
  <c r="F74" i="5" s="1"/>
  <c r="G75" i="6"/>
  <c r="G135" i="6"/>
  <c r="F76" i="6"/>
  <c r="F111" i="5"/>
  <c r="E36" i="6"/>
  <c r="F127" i="4"/>
  <c r="C54" i="4"/>
  <c r="J66" i="4"/>
  <c r="G67" i="4" s="1"/>
  <c r="H67" i="4" s="1"/>
  <c r="K67" i="4" s="1"/>
  <c r="K38" i="4"/>
  <c r="E45" i="5"/>
  <c r="E39" i="5"/>
  <c r="C124" i="4"/>
  <c r="H87" i="5"/>
  <c r="D127" i="5"/>
  <c r="C106" i="6" l="1"/>
  <c r="E88" i="5"/>
  <c r="D88" i="5" s="1"/>
  <c r="D86" i="5" s="1"/>
  <c r="E86" i="5" s="1"/>
  <c r="B102" i="5"/>
  <c r="D27" i="6" s="1"/>
  <c r="E5" i="5"/>
  <c r="C122" i="6"/>
  <c r="L110" i="4"/>
  <c r="F6" i="7"/>
  <c r="G2" i="7" s="1"/>
  <c r="I29" i="5"/>
  <c r="I28" i="5"/>
  <c r="K89" i="4"/>
  <c r="J89" i="4" s="1"/>
  <c r="G90" i="4" s="1"/>
  <c r="H90" i="4" s="1"/>
  <c r="K90" i="4" s="1"/>
  <c r="D112" i="4"/>
  <c r="I54" i="4"/>
  <c r="I124" i="4"/>
  <c r="I125" i="4" s="1"/>
  <c r="I126" i="4" s="1"/>
  <c r="I127" i="4" s="1"/>
  <c r="J67" i="4"/>
  <c r="D68" i="4" s="1"/>
  <c r="E68" i="4" s="1"/>
  <c r="K68" i="4" s="1"/>
  <c r="F45" i="5"/>
  <c r="B107" i="5"/>
  <c r="B105" i="5" s="1"/>
  <c r="D29" i="6" s="1"/>
  <c r="K39" i="4"/>
  <c r="J38" i="4"/>
  <c r="E122" i="6"/>
  <c r="E127" i="6" s="1"/>
  <c r="I34" i="2"/>
  <c r="K31" i="2"/>
  <c r="K33" i="2" s="1"/>
  <c r="K38" i="2" s="1"/>
  <c r="F37" i="5"/>
  <c r="F5" i="5" s="1"/>
  <c r="H16" i="6"/>
  <c r="D125" i="4"/>
  <c r="F11" i="7"/>
  <c r="B12" i="7" s="1"/>
  <c r="C12" i="7" s="1"/>
  <c r="E12" i="7" s="1"/>
  <c r="D12" i="7"/>
  <c r="D145" i="6"/>
  <c r="C128" i="4"/>
  <c r="H75" i="6"/>
  <c r="H135" i="6"/>
  <c r="G76" i="6"/>
  <c r="C20" i="8"/>
  <c r="D114" i="6"/>
  <c r="F36" i="6"/>
  <c r="I87" i="5"/>
  <c r="E127" i="5"/>
  <c r="B99" i="5" l="1"/>
  <c r="J111" i="4"/>
  <c r="E106" i="6"/>
  <c r="E111" i="6" s="1"/>
  <c r="L111" i="4"/>
  <c r="B128" i="5"/>
  <c r="B126" i="5" s="1"/>
  <c r="J9" i="9" s="1"/>
  <c r="G5" i="7"/>
  <c r="G4" i="7"/>
  <c r="G3" i="7"/>
  <c r="I6" i="5"/>
  <c r="E130" i="6"/>
  <c r="F122" i="6"/>
  <c r="D83" i="6" s="1"/>
  <c r="I128" i="4"/>
  <c r="C19" i="8"/>
  <c r="F12" i="7"/>
  <c r="B13" i="7" s="1"/>
  <c r="E128" i="6"/>
  <c r="D165" i="6"/>
  <c r="J39" i="4"/>
  <c r="G40" i="4" s="1"/>
  <c r="H40" i="4" s="1"/>
  <c r="H114" i="4" s="1"/>
  <c r="G45" i="5"/>
  <c r="F39" i="5"/>
  <c r="C107" i="5"/>
  <c r="C105" i="5" s="1"/>
  <c r="E29" i="6" s="1"/>
  <c r="F130" i="6" s="1"/>
  <c r="K113" i="4"/>
  <c r="J112" i="4"/>
  <c r="J90" i="4"/>
  <c r="G91" i="4" s="1"/>
  <c r="H91" i="4" s="1"/>
  <c r="K91" i="4" s="1"/>
  <c r="K69" i="4"/>
  <c r="J68" i="4"/>
  <c r="G36" i="6"/>
  <c r="E72" i="5"/>
  <c r="F73" i="5"/>
  <c r="B136" i="5"/>
  <c r="B138" i="5" s="1"/>
  <c r="L112" i="4"/>
  <c r="E64" i="5"/>
  <c r="F127" i="5"/>
  <c r="D171" i="6"/>
  <c r="D91" i="6"/>
  <c r="D117" i="6"/>
  <c r="D143" i="6" s="1"/>
  <c r="I135" i="6"/>
  <c r="H76" i="6"/>
  <c r="D13" i="7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C102" i="5"/>
  <c r="G37" i="5"/>
  <c r="B110" i="5" l="1"/>
  <c r="B115" i="5"/>
  <c r="D9" i="9"/>
  <c r="B98" i="5"/>
  <c r="B132" i="5" s="1"/>
  <c r="K9" i="9"/>
  <c r="J91" i="4"/>
  <c r="D92" i="4" s="1"/>
  <c r="E92" i="4" s="1"/>
  <c r="K92" i="4" s="1"/>
  <c r="K93" i="4" s="1"/>
  <c r="C13" i="7"/>
  <c r="E13" i="7" s="1"/>
  <c r="F13" i="7"/>
  <c r="B14" i="7" s="1"/>
  <c r="D64" i="5"/>
  <c r="D48" i="5" s="1"/>
  <c r="E48" i="5"/>
  <c r="K114" i="4"/>
  <c r="J113" i="4"/>
  <c r="D25" i="7"/>
  <c r="H36" i="6"/>
  <c r="E14" i="6"/>
  <c r="D71" i="6"/>
  <c r="L113" i="4"/>
  <c r="E17" i="6"/>
  <c r="E19" i="6" s="1"/>
  <c r="C123" i="6" s="1"/>
  <c r="G114" i="4"/>
  <c r="J69" i="4"/>
  <c r="G70" i="4" s="1"/>
  <c r="H70" i="4" s="1"/>
  <c r="K70" i="4" s="1"/>
  <c r="G39" i="5"/>
  <c r="H45" i="5"/>
  <c r="D107" i="5"/>
  <c r="D105" i="5" s="1"/>
  <c r="F29" i="6" s="1"/>
  <c r="G130" i="6" s="1"/>
  <c r="C21" i="8"/>
  <c r="D43" i="8"/>
  <c r="D44" i="8" s="1"/>
  <c r="H37" i="5"/>
  <c r="D102" i="5"/>
  <c r="G5" i="5"/>
  <c r="D144" i="6"/>
  <c r="D151" i="6"/>
  <c r="D41" i="6"/>
  <c r="D40" i="6" s="1"/>
  <c r="E133" i="6" s="1"/>
  <c r="E27" i="6"/>
  <c r="F128" i="6" s="1"/>
  <c r="N23" i="7"/>
  <c r="E91" i="6"/>
  <c r="G73" i="5"/>
  <c r="F72" i="5"/>
  <c r="C120" i="5"/>
  <c r="K40" i="4"/>
  <c r="D5" i="10" l="1"/>
  <c r="D7" i="10" s="1"/>
  <c r="D30" i="6"/>
  <c r="I27" i="6" s="1"/>
  <c r="J10" i="9"/>
  <c r="J11" i="9" s="1"/>
  <c r="E131" i="6"/>
  <c r="J93" i="4"/>
  <c r="G94" i="4" s="1"/>
  <c r="H94" i="4" s="1"/>
  <c r="K94" i="4" s="1"/>
  <c r="J94" i="4" s="1"/>
  <c r="F106" i="6"/>
  <c r="D70" i="6" s="1"/>
  <c r="E21" i="6"/>
  <c r="J92" i="4"/>
  <c r="J70" i="4"/>
  <c r="G71" i="4" s="1"/>
  <c r="H71" i="4" s="1"/>
  <c r="K71" i="4" s="1"/>
  <c r="C119" i="5"/>
  <c r="E41" i="6"/>
  <c r="E40" i="6" s="1"/>
  <c r="E146" i="6"/>
  <c r="E166" i="6" s="1"/>
  <c r="D26" i="6"/>
  <c r="D31" i="6" s="1"/>
  <c r="D33" i="6" s="1"/>
  <c r="J114" i="4"/>
  <c r="C14" i="7"/>
  <c r="F14" i="7"/>
  <c r="B15" i="7" s="1"/>
  <c r="D37" i="6"/>
  <c r="D35" i="6" s="1"/>
  <c r="E132" i="6" s="1"/>
  <c r="I37" i="5"/>
  <c r="E102" i="5"/>
  <c r="H5" i="5"/>
  <c r="D26" i="7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C136" i="5"/>
  <c r="I45" i="5"/>
  <c r="H39" i="5"/>
  <c r="E107" i="5"/>
  <c r="E105" i="5" s="1"/>
  <c r="G29" i="6" s="1"/>
  <c r="H130" i="6" s="1"/>
  <c r="J40" i="4"/>
  <c r="G41" i="4" s="1"/>
  <c r="H41" i="4" s="1"/>
  <c r="H115" i="4" s="1"/>
  <c r="G115" i="4" s="1"/>
  <c r="L114" i="4"/>
  <c r="D120" i="5"/>
  <c r="G72" i="5"/>
  <c r="H73" i="5"/>
  <c r="F91" i="6"/>
  <c r="F27" i="6"/>
  <c r="G128" i="6" s="1"/>
  <c r="F123" i="6"/>
  <c r="F127" i="6" s="1"/>
  <c r="D163" i="6"/>
  <c r="D174" i="6" s="1"/>
  <c r="D177" i="6" s="1"/>
  <c r="C18" i="8" s="1"/>
  <c r="D152" i="6"/>
  <c r="E104" i="6" s="1"/>
  <c r="D16" i="10" l="1"/>
  <c r="D17" i="10" s="1"/>
  <c r="D20" i="10"/>
  <c r="D21" i="10" s="1"/>
  <c r="D47" i="6"/>
  <c r="D11" i="9"/>
  <c r="D16" i="9" s="1"/>
  <c r="J16" i="9"/>
  <c r="F133" i="6"/>
  <c r="C23" i="9"/>
  <c r="D165" i="9" s="1"/>
  <c r="D30" i="9"/>
  <c r="D143" i="9"/>
  <c r="L9" i="9"/>
  <c r="N35" i="7"/>
  <c r="F146" i="6" s="1"/>
  <c r="F166" i="6" s="1"/>
  <c r="D37" i="7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K115" i="4"/>
  <c r="D87" i="6"/>
  <c r="K10" i="9"/>
  <c r="K13" i="9" s="1"/>
  <c r="L10" i="9"/>
  <c r="L13" i="9" s="1"/>
  <c r="J71" i="4"/>
  <c r="I73" i="5"/>
  <c r="E120" i="5"/>
  <c r="E136" i="5" s="1"/>
  <c r="H72" i="5"/>
  <c r="E14" i="7"/>
  <c r="G123" i="6"/>
  <c r="G91" i="6"/>
  <c r="F41" i="6"/>
  <c r="F40" i="6" s="1"/>
  <c r="G133" i="6" s="1"/>
  <c r="D119" i="5"/>
  <c r="D136" i="5"/>
  <c r="K41" i="4"/>
  <c r="G27" i="6"/>
  <c r="H128" i="6" s="1"/>
  <c r="C15" i="7"/>
  <c r="E15" i="7" s="1"/>
  <c r="F15" i="7"/>
  <c r="B16" i="7" s="1"/>
  <c r="F107" i="5"/>
  <c r="F105" i="5" s="1"/>
  <c r="H29" i="6" s="1"/>
  <c r="I130" i="6" s="1"/>
  <c r="I39" i="5"/>
  <c r="F102" i="5"/>
  <c r="I5" i="5"/>
  <c r="D43" i="9" l="1"/>
  <c r="D147" i="9"/>
  <c r="D171" i="9"/>
  <c r="D37" i="9"/>
  <c r="D153" i="9"/>
  <c r="D148" i="9"/>
  <c r="D44" i="9"/>
  <c r="D40" i="9"/>
  <c r="D176" i="9"/>
  <c r="D150" i="9"/>
  <c r="D33" i="9"/>
  <c r="D39" i="9"/>
  <c r="D169" i="9"/>
  <c r="D157" i="9"/>
  <c r="D179" i="9"/>
  <c r="D154" i="9"/>
  <c r="D31" i="9"/>
  <c r="B57" i="9"/>
  <c r="E55" i="9" s="1"/>
  <c r="D142" i="9"/>
  <c r="D145" i="9"/>
  <c r="D29" i="9"/>
  <c r="D175" i="9"/>
  <c r="D34" i="9"/>
  <c r="D36" i="9"/>
  <c r="D167" i="9"/>
  <c r="D41" i="9"/>
  <c r="D158" i="9"/>
  <c r="D144" i="9"/>
  <c r="D46" i="9"/>
  <c r="D181" i="9"/>
  <c r="D149" i="9"/>
  <c r="B98" i="9"/>
  <c r="D180" i="9"/>
  <c r="D177" i="9"/>
  <c r="D38" i="9"/>
  <c r="D166" i="9"/>
  <c r="D174" i="9"/>
  <c r="D146" i="9"/>
  <c r="D170" i="9"/>
  <c r="B118" i="9"/>
  <c r="D151" i="9"/>
  <c r="D156" i="9"/>
  <c r="D42" i="9"/>
  <c r="D172" i="9"/>
  <c r="B204" i="9"/>
  <c r="D152" i="9"/>
  <c r="D35" i="9"/>
  <c r="D168" i="9"/>
  <c r="D178" i="9"/>
  <c r="D45" i="9"/>
  <c r="D32" i="9"/>
  <c r="B76" i="9"/>
  <c r="D155" i="9"/>
  <c r="D173" i="9"/>
  <c r="D10" i="9"/>
  <c r="J13" i="9"/>
  <c r="D13" i="9" s="1"/>
  <c r="C22" i="9" s="1"/>
  <c r="D72" i="4"/>
  <c r="E72" i="4" s="1"/>
  <c r="K72" i="4" s="1"/>
  <c r="K11" i="9"/>
  <c r="K14" i="9" s="1"/>
  <c r="K15" i="9" s="1"/>
  <c r="L11" i="9"/>
  <c r="L14" i="9" s="1"/>
  <c r="L15" i="9" s="1"/>
  <c r="E87" i="6"/>
  <c r="N46" i="7"/>
  <c r="G146" i="6" s="1"/>
  <c r="G166" i="6" s="1"/>
  <c r="H91" i="6"/>
  <c r="H27" i="6"/>
  <c r="I128" i="6" s="1"/>
  <c r="C16" i="7"/>
  <c r="E16" i="7" s="1"/>
  <c r="F16" i="7"/>
  <c r="B17" i="7" s="1"/>
  <c r="E83" i="6"/>
  <c r="E119" i="5"/>
  <c r="G41" i="6"/>
  <c r="G40" i="6" s="1"/>
  <c r="H133" i="6" s="1"/>
  <c r="J41" i="4"/>
  <c r="D42" i="4" s="1"/>
  <c r="E42" i="4" s="1"/>
  <c r="E116" i="4" s="1"/>
  <c r="L115" i="4"/>
  <c r="I72" i="5"/>
  <c r="F120" i="5"/>
  <c r="F136" i="5" s="1"/>
  <c r="J115" i="4"/>
  <c r="D49" i="7"/>
  <c r="G95" i="4"/>
  <c r="H95" i="4" s="1"/>
  <c r="K95" i="4" s="1"/>
  <c r="J14" i="9" l="1"/>
  <c r="J15" i="9" s="1"/>
  <c r="D20" i="9" s="1"/>
  <c r="C40" i="9"/>
  <c r="E40" i="9" s="1"/>
  <c r="C178" i="9"/>
  <c r="E178" i="9" s="1"/>
  <c r="B56" i="9"/>
  <c r="C177" i="9"/>
  <c r="E177" i="9" s="1"/>
  <c r="C145" i="9"/>
  <c r="E145" i="9" s="1"/>
  <c r="C155" i="9"/>
  <c r="E155" i="9" s="1"/>
  <c r="C181" i="9"/>
  <c r="E181" i="9" s="1"/>
  <c r="C29" i="9"/>
  <c r="C165" i="9"/>
  <c r="E165" i="9" s="1"/>
  <c r="C172" i="9"/>
  <c r="E172" i="9" s="1"/>
  <c r="B117" i="9"/>
  <c r="C152" i="9"/>
  <c r="E152" i="9" s="1"/>
  <c r="C179" i="9"/>
  <c r="E179" i="9" s="1"/>
  <c r="B203" i="9"/>
  <c r="C156" i="9"/>
  <c r="E156" i="9" s="1"/>
  <c r="C167" i="9"/>
  <c r="E167" i="9" s="1"/>
  <c r="C147" i="9"/>
  <c r="E147" i="9" s="1"/>
  <c r="C153" i="9"/>
  <c r="E153" i="9" s="1"/>
  <c r="C171" i="9"/>
  <c r="E171" i="9" s="1"/>
  <c r="C176" i="9"/>
  <c r="E176" i="9" s="1"/>
  <c r="C30" i="9"/>
  <c r="E30" i="9" s="1"/>
  <c r="C41" i="9"/>
  <c r="E41" i="9" s="1"/>
  <c r="C42" i="9"/>
  <c r="E42" i="9" s="1"/>
  <c r="C37" i="9"/>
  <c r="E37" i="9" s="1"/>
  <c r="C44" i="9"/>
  <c r="E44" i="9" s="1"/>
  <c r="C180" i="9"/>
  <c r="E180" i="9" s="1"/>
  <c r="C168" i="9"/>
  <c r="E168" i="9" s="1"/>
  <c r="C157" i="9"/>
  <c r="E157" i="9" s="1"/>
  <c r="C148" i="9"/>
  <c r="E148" i="9" s="1"/>
  <c r="B75" i="9"/>
  <c r="C143" i="9"/>
  <c r="E143" i="9" s="1"/>
  <c r="C166" i="9"/>
  <c r="E166" i="9" s="1"/>
  <c r="B101" i="9"/>
  <c r="C173" i="9"/>
  <c r="E173" i="9" s="1"/>
  <c r="C146" i="9"/>
  <c r="E146" i="9" s="1"/>
  <c r="C175" i="9"/>
  <c r="E175" i="9" s="1"/>
  <c r="C170" i="9"/>
  <c r="E170" i="9" s="1"/>
  <c r="C169" i="9"/>
  <c r="E169" i="9" s="1"/>
  <c r="C158" i="9"/>
  <c r="E158" i="9" s="1"/>
  <c r="C154" i="9"/>
  <c r="E154" i="9" s="1"/>
  <c r="C150" i="9"/>
  <c r="E150" i="9" s="1"/>
  <c r="C144" i="9"/>
  <c r="E144" i="9" s="1"/>
  <c r="C142" i="9"/>
  <c r="E142" i="9" s="1"/>
  <c r="C149" i="9"/>
  <c r="E149" i="9" s="1"/>
  <c r="C35" i="9"/>
  <c r="E35" i="9" s="1"/>
  <c r="C36" i="9"/>
  <c r="E36" i="9" s="1"/>
  <c r="C31" i="9"/>
  <c r="E31" i="9" s="1"/>
  <c r="C43" i="9"/>
  <c r="E43" i="9" s="1"/>
  <c r="C45" i="9"/>
  <c r="E45" i="9" s="1"/>
  <c r="C33" i="9"/>
  <c r="E33" i="9" s="1"/>
  <c r="C39" i="9"/>
  <c r="E39" i="9" s="1"/>
  <c r="C34" i="9"/>
  <c r="E34" i="9" s="1"/>
  <c r="C32" i="9"/>
  <c r="E32" i="9" s="1"/>
  <c r="K73" i="4"/>
  <c r="J72" i="4"/>
  <c r="F87" i="6"/>
  <c r="J95" i="4"/>
  <c r="F119" i="5"/>
  <c r="H41" i="6"/>
  <c r="H40" i="6" s="1"/>
  <c r="I133" i="6" s="1"/>
  <c r="E10" i="6"/>
  <c r="E11" i="6" s="1"/>
  <c r="D116" i="4"/>
  <c r="C17" i="7"/>
  <c r="F17" i="7"/>
  <c r="B18" i="7" s="1"/>
  <c r="J73" i="4"/>
  <c r="G74" i="4" s="1"/>
  <c r="H74" i="4" s="1"/>
  <c r="K74" i="4" s="1"/>
  <c r="D50" i="7"/>
  <c r="K42" i="4"/>
  <c r="K116" i="4"/>
  <c r="D14" i="9" l="1"/>
  <c r="E29" i="9"/>
  <c r="D96" i="4"/>
  <c r="E96" i="4" s="1"/>
  <c r="K96" i="4" s="1"/>
  <c r="J74" i="4"/>
  <c r="G75" i="4" s="1"/>
  <c r="H75" i="4" s="1"/>
  <c r="K75" i="4" s="1"/>
  <c r="E23" i="6"/>
  <c r="K117" i="4"/>
  <c r="J116" i="4"/>
  <c r="J42" i="4"/>
  <c r="L116" i="4"/>
  <c r="K43" i="4"/>
  <c r="F18" i="7"/>
  <c r="B19" i="7" s="1"/>
  <c r="C18" i="7"/>
  <c r="D51" i="7"/>
  <c r="D52" i="7" s="1"/>
  <c r="D53" i="7" s="1"/>
  <c r="D54" i="7" s="1"/>
  <c r="D55" i="7" s="1"/>
  <c r="D56" i="7" s="1"/>
  <c r="D57" i="7" s="1"/>
  <c r="D58" i="7" s="1"/>
  <c r="D59" i="7" s="1"/>
  <c r="D60" i="7" s="1"/>
  <c r="E17" i="7"/>
  <c r="F64" i="5"/>
  <c r="F88" i="5"/>
  <c r="C107" i="6"/>
  <c r="D15" i="9" l="1"/>
  <c r="C20" i="9" s="1"/>
  <c r="K97" i="4"/>
  <c r="J97" i="4" s="1"/>
  <c r="G98" i="4" s="1"/>
  <c r="H98" i="4" s="1"/>
  <c r="K98" i="4" s="1"/>
  <c r="J96" i="4"/>
  <c r="J75" i="4"/>
  <c r="D76" i="4" s="1"/>
  <c r="E76" i="4" s="1"/>
  <c r="K76" i="4" s="1"/>
  <c r="D61" i="7"/>
  <c r="D62" i="7" s="1"/>
  <c r="D63" i="7" s="1"/>
  <c r="D64" i="7" s="1"/>
  <c r="D65" i="7" s="1"/>
  <c r="D66" i="7" s="1"/>
  <c r="D67" i="7" s="1"/>
  <c r="D68" i="7" s="1"/>
  <c r="D69" i="7" s="1"/>
  <c r="D70" i="7" s="1"/>
  <c r="D71" i="7" s="1"/>
  <c r="D72" i="7" s="1"/>
  <c r="E71" i="6"/>
  <c r="F14" i="6"/>
  <c r="E25" i="6"/>
  <c r="F107" i="6"/>
  <c r="F111" i="6" s="1"/>
  <c r="E18" i="7"/>
  <c r="C19" i="7"/>
  <c r="F19" i="7"/>
  <c r="B20" i="7" s="1"/>
  <c r="C128" i="5"/>
  <c r="F86" i="5"/>
  <c r="C115" i="5"/>
  <c r="C110" i="5" s="1"/>
  <c r="E30" i="6" s="1"/>
  <c r="F48" i="5"/>
  <c r="N58" i="7"/>
  <c r="J43" i="4"/>
  <c r="G44" i="4" s="1"/>
  <c r="H44" i="4" s="1"/>
  <c r="H118" i="4" s="1"/>
  <c r="L117" i="4"/>
  <c r="J117" i="4"/>
  <c r="C24" i="9" l="1"/>
  <c r="D73" i="7"/>
  <c r="K44" i="4"/>
  <c r="J44" i="4" s="1"/>
  <c r="G45" i="4" s="1"/>
  <c r="H45" i="4" s="1"/>
  <c r="H119" i="4" s="1"/>
  <c r="G119" i="4" s="1"/>
  <c r="N71" i="7"/>
  <c r="I146" i="6" s="1"/>
  <c r="I166" i="6" s="1"/>
  <c r="K77" i="4"/>
  <c r="J76" i="4"/>
  <c r="F20" i="7"/>
  <c r="B21" i="7" s="1"/>
  <c r="C20" i="7"/>
  <c r="E20" i="7" s="1"/>
  <c r="J98" i="4"/>
  <c r="G99" i="4" s="1"/>
  <c r="H99" i="4" s="1"/>
  <c r="K99" i="4" s="1"/>
  <c r="G118" i="4"/>
  <c r="F17" i="6"/>
  <c r="F19" i="6" s="1"/>
  <c r="C124" i="6" s="1"/>
  <c r="F131" i="6"/>
  <c r="E19" i="7"/>
  <c r="G107" i="6"/>
  <c r="E26" i="6"/>
  <c r="E31" i="6" s="1"/>
  <c r="E33" i="6" s="1"/>
  <c r="C100" i="5"/>
  <c r="C99" i="5" s="1"/>
  <c r="C98" i="5" s="1"/>
  <c r="K118" i="4"/>
  <c r="H146" i="6"/>
  <c r="E37" i="6"/>
  <c r="E35" i="6" s="1"/>
  <c r="F132" i="6" s="1"/>
  <c r="C126" i="5"/>
  <c r="E47" i="6" l="1"/>
  <c r="A151" i="9"/>
  <c r="A174" i="9"/>
  <c r="B38" i="9"/>
  <c r="B39" i="9"/>
  <c r="B45" i="9"/>
  <c r="G45" i="9" s="1"/>
  <c r="B44" i="9"/>
  <c r="G44" i="9" s="1"/>
  <c r="B156" i="9"/>
  <c r="F156" i="9" s="1"/>
  <c r="B145" i="9"/>
  <c r="F145" i="9" s="1"/>
  <c r="B177" i="9"/>
  <c r="F177" i="9" s="1"/>
  <c r="H177" i="9" s="1"/>
  <c r="I177" i="9" s="1"/>
  <c r="J177" i="9" s="1"/>
  <c r="K177" i="9" s="1"/>
  <c r="B149" i="9"/>
  <c r="F149" i="9" s="1"/>
  <c r="B152" i="9"/>
  <c r="F152" i="9" s="1"/>
  <c r="B168" i="9"/>
  <c r="F168" i="9" s="1"/>
  <c r="H168" i="9" s="1"/>
  <c r="I168" i="9" s="1"/>
  <c r="J168" i="9" s="1"/>
  <c r="K168" i="9" s="1"/>
  <c r="B43" i="9"/>
  <c r="G43" i="9" s="1"/>
  <c r="B180" i="9"/>
  <c r="F180" i="9" s="1"/>
  <c r="H180" i="9" s="1"/>
  <c r="I180" i="9" s="1"/>
  <c r="J180" i="9" s="1"/>
  <c r="K180" i="9" s="1"/>
  <c r="B32" i="9"/>
  <c r="B34" i="9"/>
  <c r="F34" i="9" s="1"/>
  <c r="L34" i="9" s="1"/>
  <c r="B158" i="9"/>
  <c r="F158" i="9" s="1"/>
  <c r="B179" i="9"/>
  <c r="F179" i="9" s="1"/>
  <c r="H179" i="9" s="1"/>
  <c r="I179" i="9" s="1"/>
  <c r="J179" i="9" s="1"/>
  <c r="K179" i="9" s="1"/>
  <c r="B31" i="9"/>
  <c r="B165" i="9"/>
  <c r="F165" i="9" s="1"/>
  <c r="H165" i="9" s="1"/>
  <c r="I165" i="9" s="1"/>
  <c r="J165" i="9" s="1"/>
  <c r="K165" i="9" s="1"/>
  <c r="B147" i="9"/>
  <c r="F147" i="9" s="1"/>
  <c r="B146" i="9"/>
  <c r="F146" i="9" s="1"/>
  <c r="B202" i="9"/>
  <c r="B206" i="9" s="1"/>
  <c r="B144" i="9"/>
  <c r="F144" i="9" s="1"/>
  <c r="B100" i="9"/>
  <c r="B104" i="9" s="1"/>
  <c r="B143" i="9"/>
  <c r="F143" i="9" s="1"/>
  <c r="B40" i="9"/>
  <c r="G40" i="9" s="1"/>
  <c r="B157" i="9"/>
  <c r="F157" i="9" s="1"/>
  <c r="B33" i="9"/>
  <c r="B155" i="9"/>
  <c r="F155" i="9" s="1"/>
  <c r="B29" i="9"/>
  <c r="F29" i="9" s="1"/>
  <c r="B166" i="9"/>
  <c r="F166" i="9" s="1"/>
  <c r="H166" i="9" s="1"/>
  <c r="I166" i="9" s="1"/>
  <c r="J166" i="9" s="1"/>
  <c r="K166" i="9" s="1"/>
  <c r="B178" i="9"/>
  <c r="F178" i="9" s="1"/>
  <c r="H178" i="9" s="1"/>
  <c r="I178" i="9" s="1"/>
  <c r="J178" i="9" s="1"/>
  <c r="K178" i="9" s="1"/>
  <c r="B54" i="9"/>
  <c r="B148" i="9"/>
  <c r="F148" i="9" s="1"/>
  <c r="B142" i="9"/>
  <c r="F142" i="9" s="1"/>
  <c r="B170" i="9"/>
  <c r="F170" i="9" s="1"/>
  <c r="H170" i="9" s="1"/>
  <c r="I170" i="9" s="1"/>
  <c r="J170" i="9" s="1"/>
  <c r="K170" i="9" s="1"/>
  <c r="B150" i="9"/>
  <c r="F150" i="9" s="1"/>
  <c r="B37" i="9"/>
  <c r="G37" i="9" s="1"/>
  <c r="B167" i="9"/>
  <c r="F167" i="9" s="1"/>
  <c r="H167" i="9" s="1"/>
  <c r="I167" i="9" s="1"/>
  <c r="J167" i="9" s="1"/>
  <c r="K167" i="9" s="1"/>
  <c r="B116" i="9"/>
  <c r="B30" i="9"/>
  <c r="B173" i="9"/>
  <c r="F173" i="9" s="1"/>
  <c r="H173" i="9" s="1"/>
  <c r="I173" i="9" s="1"/>
  <c r="J173" i="9" s="1"/>
  <c r="K173" i="9" s="1"/>
  <c r="B169" i="9"/>
  <c r="F169" i="9" s="1"/>
  <c r="H169" i="9" s="1"/>
  <c r="I169" i="9" s="1"/>
  <c r="J169" i="9" s="1"/>
  <c r="K169" i="9" s="1"/>
  <c r="B154" i="9"/>
  <c r="F154" i="9" s="1"/>
  <c r="B35" i="9"/>
  <c r="B171" i="9"/>
  <c r="F171" i="9" s="1"/>
  <c r="H171" i="9" s="1"/>
  <c r="I171" i="9" s="1"/>
  <c r="J171" i="9" s="1"/>
  <c r="K171" i="9" s="1"/>
  <c r="B74" i="9"/>
  <c r="B79" i="9" s="1"/>
  <c r="B36" i="9"/>
  <c r="G36" i="9" s="1"/>
  <c r="B172" i="9"/>
  <c r="F172" i="9" s="1"/>
  <c r="H172" i="9" s="1"/>
  <c r="I172" i="9" s="1"/>
  <c r="J172" i="9" s="1"/>
  <c r="K172" i="9" s="1"/>
  <c r="B175" i="9"/>
  <c r="F175" i="9" s="1"/>
  <c r="H175" i="9" s="1"/>
  <c r="I175" i="9" s="1"/>
  <c r="J175" i="9" s="1"/>
  <c r="K175" i="9" s="1"/>
  <c r="B153" i="9"/>
  <c r="F153" i="9" s="1"/>
  <c r="B41" i="9"/>
  <c r="B42" i="9"/>
  <c r="G42" i="9" s="1"/>
  <c r="B181" i="9"/>
  <c r="F181" i="9" s="1"/>
  <c r="H181" i="9" s="1"/>
  <c r="I181" i="9" s="1"/>
  <c r="J181" i="9" s="1"/>
  <c r="K181" i="9" s="1"/>
  <c r="B176" i="9"/>
  <c r="F176" i="9" s="1"/>
  <c r="H176" i="9" s="1"/>
  <c r="I176" i="9" s="1"/>
  <c r="J176" i="9" s="1"/>
  <c r="K176" i="9" s="1"/>
  <c r="F21" i="6"/>
  <c r="N73" i="7"/>
  <c r="D74" i="7" s="1"/>
  <c r="G124" i="6"/>
  <c r="G127" i="6" s="1"/>
  <c r="K45" i="4"/>
  <c r="C132" i="5"/>
  <c r="C21" i="7"/>
  <c r="E21" i="7" s="1"/>
  <c r="F21" i="7"/>
  <c r="B22" i="7" s="1"/>
  <c r="J118" i="4"/>
  <c r="K119" i="4"/>
  <c r="H166" i="6"/>
  <c r="G87" i="6"/>
  <c r="H87" i="6" s="1"/>
  <c r="L118" i="4"/>
  <c r="E70" i="6"/>
  <c r="J99" i="4"/>
  <c r="D100" i="4" s="1"/>
  <c r="E100" i="4" s="1"/>
  <c r="K100" i="4" s="1"/>
  <c r="J77" i="4"/>
  <c r="G78" i="4" s="1"/>
  <c r="H78" i="4" s="1"/>
  <c r="K78" i="4" s="1"/>
  <c r="G41" i="9" l="1"/>
  <c r="B64" i="9"/>
  <c r="I29" i="9"/>
  <c r="L29" i="9"/>
  <c r="G39" i="9"/>
  <c r="F39" i="9"/>
  <c r="F42" i="9"/>
  <c r="K153" i="9"/>
  <c r="H153" i="9"/>
  <c r="I153" i="9" s="1"/>
  <c r="J153" i="9" s="1"/>
  <c r="L153" i="9" s="1"/>
  <c r="G35" i="9"/>
  <c r="F35" i="9"/>
  <c r="F30" i="9"/>
  <c r="L30" i="9" s="1"/>
  <c r="G30" i="9"/>
  <c r="M30" i="9" s="1"/>
  <c r="H150" i="9"/>
  <c r="I150" i="9" s="1"/>
  <c r="J150" i="9" s="1"/>
  <c r="K150" i="9"/>
  <c r="H142" i="9"/>
  <c r="I142" i="9" s="1"/>
  <c r="J142" i="9" s="1"/>
  <c r="K142" i="9"/>
  <c r="B59" i="9"/>
  <c r="F55" i="9"/>
  <c r="F57" i="9" s="1"/>
  <c r="H155" i="9"/>
  <c r="I155" i="9" s="1"/>
  <c r="J155" i="9" s="1"/>
  <c r="L155" i="9" s="1"/>
  <c r="K155" i="9"/>
  <c r="H157" i="9"/>
  <c r="I157" i="9" s="1"/>
  <c r="J157" i="9" s="1"/>
  <c r="L157" i="9" s="1"/>
  <c r="K157" i="9"/>
  <c r="H143" i="9"/>
  <c r="I143" i="9" s="1"/>
  <c r="J143" i="9" s="1"/>
  <c r="K143" i="9"/>
  <c r="K144" i="9"/>
  <c r="H144" i="9"/>
  <c r="I144" i="9" s="1"/>
  <c r="J144" i="9" s="1"/>
  <c r="K146" i="9"/>
  <c r="H146" i="9"/>
  <c r="I146" i="9" s="1"/>
  <c r="J146" i="9" s="1"/>
  <c r="G34" i="9"/>
  <c r="M34" i="9" s="1"/>
  <c r="K149" i="9"/>
  <c r="H149" i="9"/>
  <c r="I149" i="9" s="1"/>
  <c r="J149" i="9" s="1"/>
  <c r="H145" i="9"/>
  <c r="I145" i="9" s="1"/>
  <c r="J145" i="9" s="1"/>
  <c r="K145" i="9"/>
  <c r="F44" i="9"/>
  <c r="F48" i="9" s="1"/>
  <c r="C174" i="9"/>
  <c r="E174" i="9" s="1"/>
  <c r="B174" i="9"/>
  <c r="F41" i="9"/>
  <c r="O48" i="9" s="1"/>
  <c r="F36" i="9"/>
  <c r="K154" i="9"/>
  <c r="H154" i="9"/>
  <c r="I154" i="9" s="1"/>
  <c r="J154" i="9" s="1"/>
  <c r="L154" i="9" s="1"/>
  <c r="F37" i="9"/>
  <c r="H148" i="9"/>
  <c r="I148" i="9" s="1"/>
  <c r="J148" i="9" s="1"/>
  <c r="K148" i="9"/>
  <c r="G29" i="9"/>
  <c r="M29" i="9" s="1"/>
  <c r="G33" i="9"/>
  <c r="F33" i="9"/>
  <c r="F40" i="9"/>
  <c r="C212" i="9"/>
  <c r="C217" i="9"/>
  <c r="K147" i="9"/>
  <c r="H147" i="9"/>
  <c r="I147" i="9" s="1"/>
  <c r="J147" i="9" s="1"/>
  <c r="G31" i="9"/>
  <c r="F31" i="9"/>
  <c r="H158" i="9"/>
  <c r="I158" i="9" s="1"/>
  <c r="J158" i="9" s="1"/>
  <c r="L158" i="9" s="1"/>
  <c r="K158" i="9"/>
  <c r="G32" i="9"/>
  <c r="F32" i="9"/>
  <c r="F43" i="9"/>
  <c r="K152" i="9"/>
  <c r="H152" i="9"/>
  <c r="I152" i="9" s="1"/>
  <c r="J152" i="9" s="1"/>
  <c r="L152" i="9" s="1"/>
  <c r="K156" i="9"/>
  <c r="H156" i="9"/>
  <c r="I156" i="9" s="1"/>
  <c r="J156" i="9" s="1"/>
  <c r="L156" i="9" s="1"/>
  <c r="F45" i="9"/>
  <c r="I49" i="9" s="1"/>
  <c r="C38" i="9"/>
  <c r="E38" i="9" s="1"/>
  <c r="F38" i="9" s="1"/>
  <c r="I38" i="9" s="1"/>
  <c r="C151" i="9"/>
  <c r="E151" i="9" s="1"/>
  <c r="B151" i="9"/>
  <c r="J100" i="4"/>
  <c r="K101" i="4"/>
  <c r="J78" i="4"/>
  <c r="G79" i="4" s="1"/>
  <c r="H79" i="4" s="1"/>
  <c r="K79" i="4" s="1"/>
  <c r="J79" i="4" s="1"/>
  <c r="D80" i="4" s="1"/>
  <c r="E80" i="4" s="1"/>
  <c r="C22" i="7"/>
  <c r="E22" i="7" s="1"/>
  <c r="F22" i="7"/>
  <c r="B23" i="7" s="1"/>
  <c r="J119" i="4"/>
  <c r="H124" i="6"/>
  <c r="J45" i="4"/>
  <c r="D46" i="4" s="1"/>
  <c r="E46" i="4" s="1"/>
  <c r="E120" i="4" s="1"/>
  <c r="L119" i="4"/>
  <c r="G38" i="9" l="1"/>
  <c r="M156" i="9"/>
  <c r="M152" i="9"/>
  <c r="M154" i="9"/>
  <c r="F174" i="9"/>
  <c r="H174" i="9" s="1"/>
  <c r="I174" i="9" s="1"/>
  <c r="J174" i="9" s="1"/>
  <c r="K174" i="9" s="1"/>
  <c r="M157" i="9"/>
  <c r="M155" i="9"/>
  <c r="L40" i="9"/>
  <c r="M40" i="9" s="1"/>
  <c r="I40" i="9"/>
  <c r="J40" i="9" s="1"/>
  <c r="K40" i="9" s="1"/>
  <c r="J29" i="9"/>
  <c r="K29" i="9" s="1"/>
  <c r="L36" i="9"/>
  <c r="M36" i="9" s="1"/>
  <c r="I36" i="9"/>
  <c r="J36" i="9" s="1"/>
  <c r="K36" i="9" s="1"/>
  <c r="I39" i="9"/>
  <c r="J39" i="9" s="1"/>
  <c r="K39" i="9" s="1"/>
  <c r="L39" i="9"/>
  <c r="M39" i="9" s="1"/>
  <c r="L44" i="9"/>
  <c r="M44" i="9" s="1"/>
  <c r="I44" i="9"/>
  <c r="J44" i="9" s="1"/>
  <c r="K44" i="9" s="1"/>
  <c r="G48" i="9"/>
  <c r="I35" i="9"/>
  <c r="J35" i="9" s="1"/>
  <c r="K35" i="9" s="1"/>
  <c r="L35" i="9"/>
  <c r="M35" i="9" s="1"/>
  <c r="I42" i="9"/>
  <c r="J42" i="9" s="1"/>
  <c r="K42" i="9" s="1"/>
  <c r="L42" i="9"/>
  <c r="M42" i="9" s="1"/>
  <c r="F151" i="9"/>
  <c r="I45" i="9"/>
  <c r="J45" i="9" s="1"/>
  <c r="K45" i="9" s="1"/>
  <c r="L45" i="9"/>
  <c r="M45" i="9" s="1"/>
  <c r="I43" i="9"/>
  <c r="J43" i="9" s="1"/>
  <c r="K43" i="9" s="1"/>
  <c r="K49" i="9" s="1"/>
  <c r="L43" i="9"/>
  <c r="M43" i="9" s="1"/>
  <c r="I32" i="9"/>
  <c r="J32" i="9" s="1"/>
  <c r="K32" i="9" s="1"/>
  <c r="L32" i="9"/>
  <c r="M32" i="9" s="1"/>
  <c r="M158" i="9"/>
  <c r="I31" i="9"/>
  <c r="J31" i="9" s="1"/>
  <c r="K31" i="9" s="1"/>
  <c r="L31" i="9"/>
  <c r="M31" i="9" s="1"/>
  <c r="I33" i="9"/>
  <c r="J33" i="9" s="1"/>
  <c r="K33" i="9" s="1"/>
  <c r="L33" i="9"/>
  <c r="M33" i="9" s="1"/>
  <c r="I37" i="9"/>
  <c r="J37" i="9" s="1"/>
  <c r="K37" i="9" s="1"/>
  <c r="L37" i="9"/>
  <c r="M37" i="9" s="1"/>
  <c r="B81" i="9"/>
  <c r="L41" i="9"/>
  <c r="M41" i="9" s="1"/>
  <c r="B110" i="9"/>
  <c r="B111" i="9" s="1"/>
  <c r="B115" i="9" s="1"/>
  <c r="B120" i="9" s="1"/>
  <c r="J85" i="9"/>
  <c r="K89" i="9" s="1"/>
  <c r="K90" i="9" s="1"/>
  <c r="A46" i="9" s="1"/>
  <c r="I41" i="9"/>
  <c r="J41" i="9" s="1"/>
  <c r="K41" i="9" s="1"/>
  <c r="I34" i="9"/>
  <c r="J34" i="9" s="1"/>
  <c r="K34" i="9" s="1"/>
  <c r="I30" i="9"/>
  <c r="J30" i="9" s="1"/>
  <c r="K30" i="9" s="1"/>
  <c r="M153" i="9"/>
  <c r="D120" i="4"/>
  <c r="F10" i="6"/>
  <c r="F11" i="6" s="1"/>
  <c r="K80" i="4"/>
  <c r="J80" i="4" s="1"/>
  <c r="K46" i="4"/>
  <c r="J101" i="4"/>
  <c r="G102" i="4" s="1"/>
  <c r="H102" i="4" s="1"/>
  <c r="K102" i="4" s="1"/>
  <c r="F83" i="6"/>
  <c r="C23" i="7"/>
  <c r="F23" i="7"/>
  <c r="B24" i="7" s="1"/>
  <c r="K120" i="4"/>
  <c r="K48" i="9" l="1"/>
  <c r="J38" i="9"/>
  <c r="K38" i="9" s="1"/>
  <c r="L38" i="9"/>
  <c r="M38" i="9" s="1"/>
  <c r="K151" i="9"/>
  <c r="H151" i="9"/>
  <c r="I151" i="9" s="1"/>
  <c r="J151" i="9" s="1"/>
  <c r="B46" i="9"/>
  <c r="C46" i="9"/>
  <c r="E46" i="9" s="1"/>
  <c r="F23" i="6"/>
  <c r="J120" i="4"/>
  <c r="K121" i="4"/>
  <c r="J102" i="4"/>
  <c r="G103" i="4" s="1"/>
  <c r="H103" i="4" s="1"/>
  <c r="K103" i="4" s="1"/>
  <c r="E23" i="7"/>
  <c r="M23" i="7"/>
  <c r="G64" i="5"/>
  <c r="G88" i="5"/>
  <c r="C108" i="6"/>
  <c r="D19" i="8"/>
  <c r="C24" i="7"/>
  <c r="F24" i="7"/>
  <c r="B25" i="7" s="1"/>
  <c r="K47" i="4"/>
  <c r="L120" i="4"/>
  <c r="J46" i="4"/>
  <c r="F46" i="9" l="1"/>
  <c r="G46" i="9"/>
  <c r="L13" i="7"/>
  <c r="L15" i="7" s="1"/>
  <c r="L121" i="4"/>
  <c r="J47" i="4"/>
  <c r="G48" i="4" s="1"/>
  <c r="H48" i="4" s="1"/>
  <c r="H122" i="4" s="1"/>
  <c r="K122" i="4" s="1"/>
  <c r="E137" i="6"/>
  <c r="E141" i="6" s="1"/>
  <c r="D53" i="6"/>
  <c r="D51" i="6" s="1"/>
  <c r="D55" i="6" s="1"/>
  <c r="D57" i="6" s="1"/>
  <c r="F139" i="6" s="1"/>
  <c r="J121" i="4"/>
  <c r="D115" i="5"/>
  <c r="D110" i="5" s="1"/>
  <c r="F30" i="6" s="1"/>
  <c r="G48" i="5"/>
  <c r="J103" i="4"/>
  <c r="D104" i="4" s="1"/>
  <c r="E104" i="4" s="1"/>
  <c r="K104" i="4" s="1"/>
  <c r="J104" i="4" s="1"/>
  <c r="F25" i="7"/>
  <c r="B26" i="7" s="1"/>
  <c r="C25" i="7"/>
  <c r="E25" i="7" s="1"/>
  <c r="G108" i="6"/>
  <c r="G111" i="6" s="1"/>
  <c r="E24" i="7"/>
  <c r="D128" i="5"/>
  <c r="G86" i="5"/>
  <c r="E43" i="8"/>
  <c r="E44" i="8" s="1"/>
  <c r="G14" i="6"/>
  <c r="F71" i="6"/>
  <c r="F25" i="6"/>
  <c r="M46" i="9" l="1"/>
  <c r="L46" i="9"/>
  <c r="I46" i="9"/>
  <c r="J46" i="9" s="1"/>
  <c r="K46" i="9" s="1"/>
  <c r="K50" i="9" s="1"/>
  <c r="J122" i="4"/>
  <c r="E167" i="6"/>
  <c r="E168" i="6" s="1"/>
  <c r="F37" i="6"/>
  <c r="F35" i="6" s="1"/>
  <c r="G132" i="6" s="1"/>
  <c r="D126" i="5"/>
  <c r="H108" i="6"/>
  <c r="G122" i="4"/>
  <c r="G17" i="6"/>
  <c r="G19" i="6" s="1"/>
  <c r="C125" i="6" s="1"/>
  <c r="E113" i="6"/>
  <c r="E117" i="6" s="1"/>
  <c r="E143" i="6" s="1"/>
  <c r="E151" i="6" s="1"/>
  <c r="K48" i="4"/>
  <c r="D100" i="5"/>
  <c r="D99" i="5" s="1"/>
  <c r="D98" i="5" s="1"/>
  <c r="F26" i="6"/>
  <c r="F31" i="6" s="1"/>
  <c r="F33" i="6" s="1"/>
  <c r="C26" i="7"/>
  <c r="E26" i="7" s="1"/>
  <c r="F26" i="7"/>
  <c r="B27" i="7" s="1"/>
  <c r="G131" i="6"/>
  <c r="E152" i="6" l="1"/>
  <c r="F104" i="6" s="1"/>
  <c r="E163" i="6"/>
  <c r="E174" i="6" s="1"/>
  <c r="E177" i="6" s="1"/>
  <c r="D69" i="6"/>
  <c r="D132" i="5"/>
  <c r="F47" i="6"/>
  <c r="H125" i="6"/>
  <c r="H127" i="6" s="1"/>
  <c r="J48" i="4"/>
  <c r="G49" i="4" s="1"/>
  <c r="H49" i="4" s="1"/>
  <c r="H123" i="4" s="1"/>
  <c r="L122" i="4"/>
  <c r="G21" i="6"/>
  <c r="D59" i="6"/>
  <c r="F138" i="6" s="1"/>
  <c r="F169" i="6" s="1"/>
  <c r="F70" i="6"/>
  <c r="F27" i="7"/>
  <c r="B28" i="7" s="1"/>
  <c r="C27" i="7"/>
  <c r="E27" i="7" s="1"/>
  <c r="D18" i="8" l="1"/>
  <c r="E144" i="6"/>
  <c r="F28" i="7"/>
  <c r="B29" i="7" s="1"/>
  <c r="C28" i="7"/>
  <c r="K49" i="4"/>
  <c r="D84" i="6"/>
  <c r="D78" i="6"/>
  <c r="G123" i="4"/>
  <c r="K123" i="4"/>
  <c r="I125" i="6"/>
  <c r="D59" i="8" l="1"/>
  <c r="G83" i="6"/>
  <c r="E28" i="7"/>
  <c r="J123" i="4"/>
  <c r="L123" i="4"/>
  <c r="J49" i="4"/>
  <c r="D50" i="4" s="1"/>
  <c r="E50" i="4" s="1"/>
  <c r="E124" i="4" s="1"/>
  <c r="D92" i="6"/>
  <c r="D88" i="6"/>
  <c r="D60" i="8" s="1"/>
  <c r="F29" i="7"/>
  <c r="B30" i="7" s="1"/>
  <c r="C29" i="7"/>
  <c r="E29" i="7" s="1"/>
  <c r="G10" i="6" l="1"/>
  <c r="G11" i="6" s="1"/>
  <c r="D124" i="4"/>
  <c r="E93" i="6"/>
  <c r="K50" i="4"/>
  <c r="C30" i="7"/>
  <c r="F30" i="7"/>
  <c r="B31" i="7" s="1"/>
  <c r="D94" i="6"/>
  <c r="K124" i="4"/>
  <c r="D62" i="8"/>
  <c r="D46" i="8"/>
  <c r="F31" i="7" l="1"/>
  <c r="B32" i="7" s="1"/>
  <c r="C31" i="7"/>
  <c r="E31" i="7" s="1"/>
  <c r="J50" i="4"/>
  <c r="K51" i="4"/>
  <c r="L124" i="4"/>
  <c r="K125" i="4"/>
  <c r="G23" i="6"/>
  <c r="J124" i="4"/>
  <c r="E30" i="7"/>
  <c r="H88" i="5"/>
  <c r="H64" i="5"/>
  <c r="C109" i="6"/>
  <c r="D61" i="8"/>
  <c r="D63" i="8" s="1"/>
  <c r="D66" i="8" s="1"/>
  <c r="D68" i="8" s="1"/>
  <c r="D96" i="6"/>
  <c r="D97" i="6" s="1"/>
  <c r="J125" i="4" l="1"/>
  <c r="F32" i="7"/>
  <c r="B33" i="7" s="1"/>
  <c r="C32" i="7"/>
  <c r="E32" i="7" s="1"/>
  <c r="H109" i="6"/>
  <c r="H111" i="6" s="1"/>
  <c r="E115" i="5"/>
  <c r="E110" i="5" s="1"/>
  <c r="G30" i="6" s="1"/>
  <c r="H48" i="5"/>
  <c r="L125" i="4"/>
  <c r="J51" i="4"/>
  <c r="G52" i="4" s="1"/>
  <c r="H52" i="4" s="1"/>
  <c r="H126" i="4" s="1"/>
  <c r="E128" i="5"/>
  <c r="H86" i="5"/>
  <c r="G71" i="6"/>
  <c r="H14" i="6"/>
  <c r="G25" i="6"/>
  <c r="K126" i="4" l="1"/>
  <c r="J126" i="4" s="1"/>
  <c r="H17" i="6"/>
  <c r="H19" i="6" s="1"/>
  <c r="H21" i="6" s="1"/>
  <c r="I109" i="6"/>
  <c r="G70" i="6" s="1"/>
  <c r="E100" i="5"/>
  <c r="E99" i="5" s="1"/>
  <c r="E98" i="5" s="1"/>
  <c r="G26" i="6"/>
  <c r="G31" i="6" s="1"/>
  <c r="G33" i="6" s="1"/>
  <c r="H131" i="6"/>
  <c r="F33" i="7"/>
  <c r="B34" i="7" s="1"/>
  <c r="C33" i="7"/>
  <c r="E33" i="7" s="1"/>
  <c r="G37" i="6"/>
  <c r="G35" i="6" s="1"/>
  <c r="H132" i="6" s="1"/>
  <c r="E126" i="5"/>
  <c r="G126" i="4"/>
  <c r="K52" i="4"/>
  <c r="C126" i="6" l="1"/>
  <c r="G47" i="6"/>
  <c r="I126" i="6"/>
  <c r="I127" i="6" s="1"/>
  <c r="E132" i="5"/>
  <c r="C34" i="7"/>
  <c r="E34" i="7" s="1"/>
  <c r="F34" i="7"/>
  <c r="B35" i="7" s="1"/>
  <c r="J52" i="4"/>
  <c r="G53" i="4" s="1"/>
  <c r="H53" i="4" s="1"/>
  <c r="H127" i="4" s="1"/>
  <c r="L126" i="4"/>
  <c r="J126" i="6" l="1"/>
  <c r="J127" i="6" s="1"/>
  <c r="G127" i="4"/>
  <c r="K127" i="4"/>
  <c r="F35" i="7"/>
  <c r="B36" i="7" s="1"/>
  <c r="C35" i="7"/>
  <c r="K53" i="4"/>
  <c r="H83" i="6" l="1"/>
  <c r="J127" i="4"/>
  <c r="L127" i="4"/>
  <c r="J53" i="4"/>
  <c r="D54" i="4" s="1"/>
  <c r="E54" i="4" s="1"/>
  <c r="E128" i="4" s="1"/>
  <c r="E19" i="8"/>
  <c r="C36" i="7"/>
  <c r="F36" i="7"/>
  <c r="B37" i="7" s="1"/>
  <c r="E35" i="7"/>
  <c r="L25" i="7" s="1"/>
  <c r="L27" i="7" s="1"/>
  <c r="M35" i="7"/>
  <c r="D128" i="4" l="1"/>
  <c r="H10" i="6"/>
  <c r="H11" i="6" s="1"/>
  <c r="I64" i="5" s="1"/>
  <c r="F115" i="5" s="1"/>
  <c r="F110" i="5" s="1"/>
  <c r="H30" i="6" s="1"/>
  <c r="I131" i="6" s="1"/>
  <c r="K54" i="4"/>
  <c r="J54" i="4" s="1"/>
  <c r="F43" i="8"/>
  <c r="F44" i="8" s="1"/>
  <c r="E53" i="6"/>
  <c r="E51" i="6" s="1"/>
  <c r="F137" i="6"/>
  <c r="F141" i="6" s="1"/>
  <c r="E36" i="7"/>
  <c r="K128" i="4"/>
  <c r="C37" i="7"/>
  <c r="E37" i="7" s="1"/>
  <c r="F37" i="7"/>
  <c r="B38" i="7" s="1"/>
  <c r="H23" i="6" l="1"/>
  <c r="J128" i="4"/>
  <c r="I88" i="5"/>
  <c r="C110" i="6"/>
  <c r="F38" i="7"/>
  <c r="B39" i="7" s="1"/>
  <c r="C38" i="7"/>
  <c r="E38" i="7" s="1"/>
  <c r="F167" i="6"/>
  <c r="F168" i="6" s="1"/>
  <c r="F113" i="6"/>
  <c r="F117" i="6" s="1"/>
  <c r="E55" i="6"/>
  <c r="L128" i="4"/>
  <c r="F143" i="6" l="1"/>
  <c r="F151" i="6" s="1"/>
  <c r="F163" i="6" s="1"/>
  <c r="F174" i="6" s="1"/>
  <c r="F177" i="6" s="1"/>
  <c r="E57" i="6"/>
  <c r="E59" i="6"/>
  <c r="E92" i="6" s="1"/>
  <c r="F128" i="5"/>
  <c r="I86" i="5"/>
  <c r="I48" i="5"/>
  <c r="C39" i="7"/>
  <c r="E39" i="7" s="1"/>
  <c r="F39" i="7"/>
  <c r="B40" i="7" s="1"/>
  <c r="I110" i="6"/>
  <c r="I111" i="6" s="1"/>
  <c r="H71" i="6"/>
  <c r="H25" i="6"/>
  <c r="F144" i="6" l="1"/>
  <c r="G139" i="6"/>
  <c r="G138" i="6"/>
  <c r="E84" i="6"/>
  <c r="J110" i="6"/>
  <c r="H26" i="6"/>
  <c r="H31" i="6" s="1"/>
  <c r="H33" i="6" s="1"/>
  <c r="F100" i="5"/>
  <c r="F99" i="5" s="1"/>
  <c r="F98" i="5" s="1"/>
  <c r="C40" i="7"/>
  <c r="F40" i="7"/>
  <c r="B41" i="7" s="1"/>
  <c r="H37" i="6"/>
  <c r="H35" i="6" s="1"/>
  <c r="I132" i="6" s="1"/>
  <c r="F126" i="5"/>
  <c r="F152" i="6" l="1"/>
  <c r="F132" i="5"/>
  <c r="E88" i="6"/>
  <c r="E60" i="8" s="1"/>
  <c r="E94" i="6"/>
  <c r="H47" i="6"/>
  <c r="G169" i="6"/>
  <c r="F93" i="6"/>
  <c r="E40" i="7"/>
  <c r="J111" i="6"/>
  <c r="H70" i="6"/>
  <c r="F41" i="7"/>
  <c r="B42" i="7" s="1"/>
  <c r="C41" i="7"/>
  <c r="E41" i="7" s="1"/>
  <c r="F42" i="7" l="1"/>
  <c r="B43" i="7" s="1"/>
  <c r="C42" i="7"/>
  <c r="E42" i="7" s="1"/>
  <c r="E96" i="6"/>
  <c r="E61" i="8"/>
  <c r="E69" i="6"/>
  <c r="E78" i="6" s="1"/>
  <c r="G104" i="6"/>
  <c r="E18" i="8"/>
  <c r="E46" i="8" l="1"/>
  <c r="E97" i="6"/>
  <c r="E59" i="8"/>
  <c r="E62" i="8" s="1"/>
  <c r="C43" i="7"/>
  <c r="E43" i="7" s="1"/>
  <c r="F43" i="7"/>
  <c r="B44" i="7" s="1"/>
  <c r="C44" i="7" l="1"/>
  <c r="E44" i="7" s="1"/>
  <c r="F44" i="7"/>
  <c r="B45" i="7" s="1"/>
  <c r="E63" i="8"/>
  <c r="E66" i="8" s="1"/>
  <c r="E68" i="8" s="1"/>
  <c r="C45" i="7" l="1"/>
  <c r="E45" i="7" s="1"/>
  <c r="F45" i="7"/>
  <c r="B46" i="7" s="1"/>
  <c r="C46" i="7" l="1"/>
  <c r="E46" i="7" s="1"/>
  <c r="F46" i="7"/>
  <c r="B47" i="7" s="1"/>
  <c r="F47" i="7" l="1"/>
  <c r="B48" i="7" s="1"/>
  <c r="C47" i="7"/>
  <c r="E47" i="7" l="1"/>
  <c r="M46" i="7"/>
  <c r="F19" i="8"/>
  <c r="F48" i="7"/>
  <c r="B49" i="7" s="1"/>
  <c r="C48" i="7"/>
  <c r="F49" i="7" l="1"/>
  <c r="B50" i="7" s="1"/>
  <c r="C49" i="7"/>
  <c r="E49" i="7" s="1"/>
  <c r="F53" i="6"/>
  <c r="F51" i="6" s="1"/>
  <c r="F55" i="6" s="1"/>
  <c r="G137" i="6"/>
  <c r="G43" i="8"/>
  <c r="G44" i="8" s="1"/>
  <c r="E48" i="7"/>
  <c r="L37" i="7"/>
  <c r="L39" i="7" s="1"/>
  <c r="G113" i="6" l="1"/>
  <c r="G117" i="6" s="1"/>
  <c r="G167" i="6"/>
  <c r="G168" i="6" s="1"/>
  <c r="G141" i="6"/>
  <c r="C50" i="7"/>
  <c r="F50" i="7"/>
  <c r="B51" i="7" s="1"/>
  <c r="G143" i="6" l="1"/>
  <c r="G144" i="6" s="1"/>
  <c r="F51" i="7"/>
  <c r="B52" i="7" s="1"/>
  <c r="C51" i="7"/>
  <c r="E51" i="7" s="1"/>
  <c r="F57" i="6"/>
  <c r="E50" i="7"/>
  <c r="G151" i="6" l="1"/>
  <c r="H139" i="6"/>
  <c r="F84" i="6"/>
  <c r="F59" i="6"/>
  <c r="F52" i="7"/>
  <c r="B53" i="7" s="1"/>
  <c r="C52" i="7"/>
  <c r="G163" i="6" l="1"/>
  <c r="G174" i="6" s="1"/>
  <c r="G152" i="6"/>
  <c r="F69" i="6" s="1"/>
  <c r="F78" i="6" s="1"/>
  <c r="F53" i="7"/>
  <c r="B54" i="7" s="1"/>
  <c r="C53" i="7"/>
  <c r="E53" i="7" s="1"/>
  <c r="F88" i="6"/>
  <c r="F60" i="8" s="1"/>
  <c r="E52" i="7"/>
  <c r="H138" i="6"/>
  <c r="F92" i="6"/>
  <c r="H104" i="6" l="1"/>
  <c r="G177" i="6"/>
  <c r="G93" i="6"/>
  <c r="H169" i="6"/>
  <c r="F94" i="6"/>
  <c r="F59" i="8"/>
  <c r="F62" i="8" s="1"/>
  <c r="F54" i="7"/>
  <c r="B55" i="7" s="1"/>
  <c r="C54" i="7"/>
  <c r="F18" i="8" l="1"/>
  <c r="F46" i="8" s="1"/>
  <c r="F96" i="6"/>
  <c r="F97" i="6" s="1"/>
  <c r="F61" i="8"/>
  <c r="F63" i="8" s="1"/>
  <c r="F66" i="8" s="1"/>
  <c r="F68" i="8" s="1"/>
  <c r="E54" i="7"/>
  <c r="C55" i="7"/>
  <c r="E55" i="7" s="1"/>
  <c r="F55" i="7"/>
  <c r="B56" i="7" s="1"/>
  <c r="C56" i="7" l="1"/>
  <c r="F56" i="7"/>
  <c r="B57" i="7" s="1"/>
  <c r="F57" i="7" l="1"/>
  <c r="B58" i="7" s="1"/>
  <c r="C57" i="7"/>
  <c r="E57" i="7" s="1"/>
  <c r="E56" i="7"/>
  <c r="C58" i="7" l="1"/>
  <c r="E58" i="7" s="1"/>
  <c r="L48" i="7" s="1"/>
  <c r="L50" i="7" s="1"/>
  <c r="F58" i="7"/>
  <c r="B59" i="7" s="1"/>
  <c r="F59" i="7" l="1"/>
  <c r="B60" i="7" s="1"/>
  <c r="C59" i="7"/>
  <c r="E59" i="7" l="1"/>
  <c r="M58" i="7"/>
  <c r="F60" i="7"/>
  <c r="B61" i="7" s="1"/>
  <c r="C60" i="7"/>
  <c r="G19" i="8"/>
  <c r="E60" i="7" l="1"/>
  <c r="F61" i="7"/>
  <c r="B62" i="7" s="1"/>
  <c r="C61" i="7"/>
  <c r="E61" i="7" s="1"/>
  <c r="G53" i="6"/>
  <c r="G51" i="6" s="1"/>
  <c r="H137" i="6"/>
  <c r="H43" i="8"/>
  <c r="H44" i="8" s="1"/>
  <c r="C62" i="7" l="1"/>
  <c r="E62" i="7" s="1"/>
  <c r="F62" i="7"/>
  <c r="B63" i="7" s="1"/>
  <c r="H167" i="6"/>
  <c r="H168" i="6" s="1"/>
  <c r="H141" i="6"/>
  <c r="H113" i="6"/>
  <c r="H117" i="6" s="1"/>
  <c r="G55" i="6"/>
  <c r="H143" i="6" l="1"/>
  <c r="H144" i="6" s="1"/>
  <c r="F63" i="7"/>
  <c r="B64" i="7" s="1"/>
  <c r="C63" i="7"/>
  <c r="G57" i="6"/>
  <c r="H151" i="6" l="1"/>
  <c r="H152" i="6" s="1"/>
  <c r="E63" i="7"/>
  <c r="F64" i="7"/>
  <c r="B65" i="7" s="1"/>
  <c r="C64" i="7"/>
  <c r="E64" i="7" s="1"/>
  <c r="I139" i="6"/>
  <c r="G84" i="6"/>
  <c r="G59" i="6"/>
  <c r="I138" i="6" s="1"/>
  <c r="H163" i="6" l="1"/>
  <c r="H174" i="6" s="1"/>
  <c r="H177" i="6" s="1"/>
  <c r="G88" i="6"/>
  <c r="G60" i="8" s="1"/>
  <c r="G69" i="6"/>
  <c r="G78" i="6" s="1"/>
  <c r="I104" i="6"/>
  <c r="G92" i="6"/>
  <c r="F65" i="7"/>
  <c r="B66" i="7" s="1"/>
  <c r="C65" i="7"/>
  <c r="E65" i="7" s="1"/>
  <c r="G18" i="8" l="1"/>
  <c r="I169" i="6"/>
  <c r="H93" i="6"/>
  <c r="G94" i="6"/>
  <c r="C66" i="7"/>
  <c r="E66" i="7" s="1"/>
  <c r="F66" i="7"/>
  <c r="B67" i="7" s="1"/>
  <c r="G59" i="8"/>
  <c r="G62" i="8" s="1"/>
  <c r="G46" i="8"/>
  <c r="F67" i="7" l="1"/>
  <c r="B68" i="7" s="1"/>
  <c r="C67" i="7"/>
  <c r="E67" i="7" s="1"/>
  <c r="G96" i="6"/>
  <c r="G97" i="6" s="1"/>
  <c r="G61" i="8"/>
  <c r="G63" i="8" s="1"/>
  <c r="G66" i="8" s="1"/>
  <c r="G68" i="8" s="1"/>
  <c r="C68" i="7" l="1"/>
  <c r="E68" i="7" s="1"/>
  <c r="F68" i="7"/>
  <c r="B69" i="7" s="1"/>
  <c r="F69" i="7" l="1"/>
  <c r="B70" i="7" s="1"/>
  <c r="C69" i="7"/>
  <c r="E69" i="7" s="1"/>
  <c r="F70" i="7" l="1"/>
  <c r="B71" i="7" s="1"/>
  <c r="C70" i="7"/>
  <c r="E70" i="7" s="1"/>
  <c r="L60" i="7" s="1"/>
  <c r="L62" i="7" s="1"/>
  <c r="F71" i="7" l="1"/>
  <c r="C71" i="7"/>
  <c r="H19" i="8"/>
  <c r="E71" i="7" l="1"/>
  <c r="C72" i="7"/>
  <c r="M71" i="7"/>
  <c r="I137" i="6" l="1"/>
  <c r="I141" i="6" s="1"/>
  <c r="H53" i="6"/>
  <c r="H51" i="6" s="1"/>
  <c r="M73" i="7"/>
  <c r="C74" i="7" s="1"/>
  <c r="I167" i="6" l="1"/>
  <c r="I113" i="6"/>
  <c r="H55" i="6"/>
  <c r="I168" i="6" l="1"/>
  <c r="I174" i="6" s="1"/>
  <c r="I117" i="6"/>
  <c r="I143" i="6" s="1"/>
  <c r="I151" i="6" s="1"/>
  <c r="I163" i="6" s="1"/>
  <c r="H57" i="6"/>
  <c r="H59" i="6" s="1"/>
  <c r="J174" i="6" l="1"/>
  <c r="K174" i="6"/>
  <c r="I175" i="6" s="1"/>
  <c r="I176" i="6" s="1"/>
  <c r="I177" i="6" s="1"/>
  <c r="L174" i="6"/>
  <c r="J138" i="6"/>
  <c r="H92" i="6"/>
  <c r="H94" i="6" s="1"/>
  <c r="I144" i="6"/>
  <c r="J139" i="6"/>
  <c r="H84" i="6"/>
  <c r="H88" i="6" s="1"/>
  <c r="H60" i="8" s="1"/>
  <c r="I152" i="6" l="1"/>
  <c r="H69" i="6" s="1"/>
  <c r="H78" i="6" s="1"/>
  <c r="H61" i="8"/>
  <c r="H96" i="6"/>
  <c r="J141" i="6"/>
  <c r="H97" i="6" l="1"/>
  <c r="H59" i="8"/>
  <c r="H62" i="8" s="1"/>
  <c r="H63" i="8" l="1"/>
  <c r="H66" i="8" s="1"/>
  <c r="H68" i="8" s="1"/>
  <c r="D180" i="6" l="1"/>
  <c r="H186" i="6" s="1"/>
  <c r="D183" i="6"/>
  <c r="D186" i="6"/>
  <c r="H18" i="8"/>
  <c r="H46" i="8" s="1"/>
  <c r="G48" i="8" s="1"/>
  <c r="F48" i="8" l="1"/>
  <c r="G37" i="8"/>
  <c r="G70" i="8"/>
  <c r="F70" i="8" s="1"/>
  <c r="E70" i="8" s="1"/>
  <c r="D70" i="8" s="1"/>
  <c r="C70" i="8" s="1"/>
  <c r="E48" i="8" l="1"/>
  <c r="F37" i="8"/>
  <c r="D48" i="8" l="1"/>
  <c r="E37" i="8"/>
  <c r="F25" i="8" s="1"/>
  <c r="G25" i="8"/>
  <c r="G27" i="8"/>
  <c r="G30" i="8"/>
  <c r="G31" i="8"/>
  <c r="G32" i="8" s="1"/>
  <c r="G34" i="8" s="1"/>
  <c r="H25" i="8"/>
  <c r="H27" i="8" s="1"/>
  <c r="H30" i="8"/>
  <c r="F30" i="8" l="1"/>
  <c r="F31" i="8" s="1"/>
  <c r="F32" i="8" s="1"/>
  <c r="F34" i="8" s="1"/>
  <c r="F27" i="8"/>
  <c r="C48" i="8"/>
  <c r="D37" i="8"/>
  <c r="E25" i="8" s="1"/>
  <c r="H31" i="8"/>
  <c r="H32" i="8" s="1"/>
  <c r="H34" i="8" s="1"/>
  <c r="E27" i="8" l="1"/>
  <c r="E30" i="8"/>
  <c r="E31" i="8" s="1"/>
  <c r="E32" i="8" s="1"/>
  <c r="C37" i="8"/>
  <c r="C53" i="8"/>
  <c r="E34" i="8" l="1"/>
  <c r="C38" i="8"/>
  <c r="D25" i="8"/>
  <c r="D27" i="8" l="1"/>
  <c r="D30" i="8"/>
  <c r="D31" i="8" s="1"/>
  <c r="D50" i="8" l="1"/>
  <c r="E50" i="8" s="1"/>
  <c r="F50" i="8" s="1"/>
  <c r="G50" i="8" s="1"/>
  <c r="H50" i="8" s="1"/>
  <c r="C51" i="8" s="1"/>
  <c r="I3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SalaVirtual</author>
    <author>HP</author>
  </authors>
  <commentList>
    <comment ref="D1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SalaVirtual:</t>
        </r>
        <r>
          <rPr>
            <sz val="9"/>
            <color indexed="81"/>
            <rFont val="Tahoma"/>
            <family val="2"/>
          </rPr>
          <t xml:space="preserve">
Este valor se toma manualmente de C14 para evitar doble circularidad de Punto e /D14</t>
        </r>
      </text>
    </comment>
    <comment ref="F17" authorId="1" shapeId="0" xr:uid="{AAB7902A-58D1-4ED7-832D-5234D5CF73B7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El Crecimiento del precio se proyecta conforme a la Tasa de Cambio Representativa del Mercado y a la Inflación Proyectada.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  <author>SF305-14</author>
  </authors>
  <commentList>
    <comment ref="L8" authorId="0" shapeId="0" xr:uid="{4DF9410B-55F6-46C7-8FB3-0ED46F8D6E47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TCRM=Tasa de Cambio Representativa del Mercado</t>
        </r>
      </text>
    </comment>
    <comment ref="A98" authorId="1" shapeId="0" xr:uid="{173460DD-0D64-44BE-BE64-558DFE08F494}">
      <text>
        <r>
          <rPr>
            <b/>
            <sz val="9"/>
            <color indexed="81"/>
            <rFont val="Tahoma"/>
            <family val="2"/>
          </rPr>
          <t>SF305-14:</t>
        </r>
        <r>
          <rPr>
            <sz val="9"/>
            <color indexed="81"/>
            <rFont val="Tahoma"/>
            <family val="2"/>
          </rPr>
          <t xml:space="preserve">
COSTOS VARIABLES</t>
        </r>
      </text>
    </comment>
    <comment ref="A119" authorId="1" shapeId="0" xr:uid="{5C47A9DB-5721-4281-BCA1-8C22886B38F0}">
      <text>
        <r>
          <rPr>
            <b/>
            <sz val="9"/>
            <color indexed="81"/>
            <rFont val="Tahoma"/>
            <family val="2"/>
          </rPr>
          <t>SF305-14:</t>
        </r>
        <r>
          <rPr>
            <sz val="9"/>
            <color indexed="81"/>
            <rFont val="Tahoma"/>
            <family val="2"/>
          </rPr>
          <t xml:space="preserve">
GASTOS FIJOS</t>
        </r>
      </text>
    </comment>
    <comment ref="A126" authorId="1" shapeId="0" xr:uid="{523FB6F8-79AF-43ED-89C2-9CBEE3157B8F}">
      <text>
        <r>
          <rPr>
            <b/>
            <sz val="9"/>
            <color indexed="81"/>
            <rFont val="Tahoma"/>
            <family val="2"/>
          </rPr>
          <t>SF305-14:</t>
        </r>
        <r>
          <rPr>
            <sz val="9"/>
            <color indexed="81"/>
            <rFont val="Tahoma"/>
            <family val="2"/>
          </rPr>
          <t xml:space="preserve">
GASTOS FIJOS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D5" authorId="0" shapeId="0" xr:uid="{43C9EEEC-F448-4F38-9B4A-0A2098F2677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Tasa Efectiva Anual de la Deuda</t>
        </r>
      </text>
    </comment>
    <comment ref="D7" authorId="0" shapeId="0" xr:uid="{61A8057B-F114-4076-8BFE-681B70B999CC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Tasa de Impuestos en la Importación</t>
        </r>
      </text>
    </comment>
    <comment ref="D8" authorId="0" shapeId="0" xr:uid="{5619B59E-296D-44CE-8B70-3C0F32C611B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Inflación proyectada Colombia 2026</t>
        </r>
      </text>
    </comment>
    <comment ref="D9" authorId="0" shapeId="0" xr:uid="{477FDEBE-C18D-41F9-B865-5348CDE33055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TES 2025 a 2027=9,25%
TES a 8 años=11,65%</t>
        </r>
      </text>
    </comment>
    <comment ref="C38" authorId="0" shapeId="0" xr:uid="{AA729023-3A19-4D71-BDD4-8EA63BF46557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C37+C18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SalaVirtual</author>
  </authors>
  <commentList>
    <comment ref="D178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SalaVirtual:</t>
        </r>
        <r>
          <rPr>
            <sz val="9"/>
            <color indexed="81"/>
            <rFont val="Tahoma"/>
            <family val="2"/>
          </rPr>
          <t xml:space="preserve">
Véase Eval I34, aún suponiendo coincidencia en el promedio ponderado del costo oportunidad de los socios
Obtenida a partir de nivel 1 o nivel 2 para Tasa de Descuento.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F24" authorId="0" shapeId="0" xr:uid="{FB986A4D-25D1-4D79-9189-404FCC8D66B9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Inversión Total</t>
        </r>
      </text>
    </comment>
    <comment ref="F25" authorId="0" shapeId="0" xr:uid="{8C25E9FC-FE0D-471A-91E2-8BC39C7A0CD1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Ganancias promedio de los periodos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SF305-14</author>
    <author>HP</author>
  </authors>
  <commentList>
    <comment ref="H11" authorId="0" shapeId="0" xr:uid="{54324C3A-543B-439C-96E5-6C1CCB8F5C58}">
      <text>
        <r>
          <rPr>
            <b/>
            <sz val="9"/>
            <color indexed="81"/>
            <rFont val="Tahoma"/>
            <family val="2"/>
          </rPr>
          <t>SF305-14:</t>
        </r>
        <r>
          <rPr>
            <sz val="9"/>
            <color indexed="81"/>
            <rFont val="Tahoma"/>
            <family val="2"/>
          </rPr>
          <t xml:space="preserve">
COSTOS VARIABLES + COSTOS FIJOS</t>
        </r>
      </text>
    </comment>
    <comment ref="B13" authorId="1" shapeId="0" xr:uid="{978164BA-4349-441A-A4F5-23F0225809C4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El costo variable unitario es el costo variable total dividido por la cantidad de unidades producidas. Representa el gasto necesario para producir una unidad adicional de un producto o servicio. En otras palabras, es el costo que cambia directamente con la cantidad de producción. 
Cálculo:
Para calcular el costo variable unitario, se divide el costo variable total entre el número de unidades producidas. 
Costo Variable Unitario = Costos Variables Totales / Número de Unidades Producidas</t>
        </r>
      </text>
    </comment>
    <comment ref="G28" authorId="0" shapeId="0" xr:uid="{9440F435-B698-438A-830D-CB4C49C74F86}">
      <text>
        <r>
          <rPr>
            <b/>
            <sz val="9"/>
            <color indexed="81"/>
            <rFont val="Tahoma"/>
            <family val="2"/>
          </rPr>
          <t>SF305-14:</t>
        </r>
        <r>
          <rPr>
            <sz val="9"/>
            <color indexed="81"/>
            <rFont val="Tahoma"/>
            <family val="2"/>
          </rPr>
          <t xml:space="preserve">
GRADO DE APALANCAMIENTO OPERATIVO: estrategia que permite convertir costos variables en costos fijos logrando que a mayores rangos de producción menor sea el costo por unidad producida.</t>
        </r>
      </text>
    </comment>
    <comment ref="D64" authorId="0" shapeId="0" xr:uid="{D85DEAEA-B2FD-43C9-A7AA-5795AF2EEC4D}">
      <text>
        <r>
          <rPr>
            <b/>
            <sz val="9"/>
            <color indexed="81"/>
            <rFont val="Tahoma"/>
            <family val="2"/>
          </rPr>
          <t>SF305-14:</t>
        </r>
        <r>
          <rPr>
            <sz val="9"/>
            <color indexed="81"/>
            <rFont val="Tahoma"/>
            <family val="2"/>
          </rPr>
          <t xml:space="preserve">
GAO es igual al cociente entre: la diferencia de las Ventas y los Costos Variables, y las Ventas, los Costos Variables y los Costos Fijos</t>
        </r>
      </text>
    </comment>
  </commentList>
</comments>
</file>

<file path=xl/sharedStrings.xml><?xml version="1.0" encoding="utf-8"?>
<sst xmlns="http://schemas.openxmlformats.org/spreadsheetml/2006/main" count="957" uniqueCount="659">
  <si>
    <t>INGRESOS</t>
  </si>
  <si>
    <t>TOTAL</t>
  </si>
  <si>
    <t>TABLA 2.1.</t>
  </si>
  <si>
    <t>PLANTA DE PERSONAL Y ASIGNACIONES MENSUALES</t>
  </si>
  <si>
    <t>DEPENDENCIA Y CARGO</t>
  </si>
  <si>
    <t>NUMERO DE CARGOS</t>
  </si>
  <si>
    <t>SUELDO BASICO MENSUAL ($)</t>
  </si>
  <si>
    <t>MANO DE OBRA DIRECTA</t>
  </si>
  <si>
    <t>MANO DE OBRA INDIRECTA</t>
  </si>
  <si>
    <t>GASTOS DE VENTAS</t>
  </si>
  <si>
    <t>GASTOS ADMON</t>
  </si>
  <si>
    <t>PRESTACIONES SOCIALES</t>
  </si>
  <si>
    <t>GERENCIA</t>
  </si>
  <si>
    <t>Gerente General</t>
  </si>
  <si>
    <t xml:space="preserve">SUBGERENCIA COMERCIAL </t>
  </si>
  <si>
    <t>Subgerente Comercial</t>
  </si>
  <si>
    <t>Jefe de Ventas</t>
  </si>
  <si>
    <t>Representantes de ventas</t>
  </si>
  <si>
    <t>SUBGERENCIA ADMINISTRATIVA Y FINANCIERA</t>
  </si>
  <si>
    <t>Contador</t>
  </si>
  <si>
    <t>DIVISION TECNICA</t>
  </si>
  <si>
    <t>Técnico</t>
  </si>
  <si>
    <t>Jefe de bodega</t>
  </si>
  <si>
    <t>Operario</t>
  </si>
  <si>
    <t>Bodeguero</t>
  </si>
  <si>
    <t>Conductor</t>
  </si>
  <si>
    <t>Ayudante</t>
  </si>
  <si>
    <t>TABLA 2.2.</t>
  </si>
  <si>
    <t>CLASIFICACION Y COSTO TOTAL DE LA PLANTA DE PERSONAL SEGUN CALIFICACION</t>
  </si>
  <si>
    <t>MANO DE OBRA</t>
  </si>
  <si>
    <t>NUMERO DE TRABAJADORES</t>
  </si>
  <si>
    <t>TOTAL MENSUAL ($)</t>
  </si>
  <si>
    <t xml:space="preserve">TOTALSUELDOS Y PRESTACIONES SOCIALES </t>
  </si>
  <si>
    <t>Calificada</t>
  </si>
  <si>
    <t>No Calificada</t>
  </si>
  <si>
    <t>TOTAL MES</t>
  </si>
  <si>
    <t>TOTAL AÑO  "0"</t>
  </si>
  <si>
    <t>FACTORES PRESTACIONALES</t>
  </si>
  <si>
    <t>calificado</t>
  </si>
  <si>
    <t>no calificado</t>
  </si>
  <si>
    <t>sueldo basico</t>
  </si>
  <si>
    <t>Recargos Nocturnos</t>
  </si>
  <si>
    <t>subsidio de transporte</t>
  </si>
  <si>
    <t>salario para liquidacion</t>
  </si>
  <si>
    <t>prestaciones sociales</t>
  </si>
  <si>
    <t>vacaciones</t>
  </si>
  <si>
    <t>cesantías</t>
  </si>
  <si>
    <t>intereses de cesantías</t>
  </si>
  <si>
    <t>Prima navidad</t>
  </si>
  <si>
    <t>AportesParafiscales</t>
  </si>
  <si>
    <t>Salud</t>
  </si>
  <si>
    <t>Pensiones</t>
  </si>
  <si>
    <t>cajas de compensación</t>
  </si>
  <si>
    <t>Sena</t>
  </si>
  <si>
    <t>i.c.b.f.</t>
  </si>
  <si>
    <t>TOTAL FACTOR PRESTACIONES</t>
  </si>
  <si>
    <t>Auditor (honorarios)</t>
  </si>
  <si>
    <t>TABLA 2.3.</t>
  </si>
  <si>
    <t>CLASIFICACION Y COSTO TOTAL DE LA PLANTA DE PERSONAL SEGUN DIRECTA E INDIRECTA</t>
  </si>
  <si>
    <t>Ventas</t>
  </si>
  <si>
    <t>Aportes Parafiscales</t>
  </si>
  <si>
    <t>1. INVERSION</t>
  </si>
  <si>
    <t>TABLA 1.1</t>
  </si>
  <si>
    <t>CANTIDAD</t>
  </si>
  <si>
    <t>VALOR UNIT</t>
  </si>
  <si>
    <t>VALOR TOTAL</t>
  </si>
  <si>
    <t>TABLA 1.2</t>
  </si>
  <si>
    <t>DESCRIPCION</t>
  </si>
  <si>
    <t>Herramientas y equipos menores</t>
  </si>
  <si>
    <t>Equipos de seguridad industrial</t>
  </si>
  <si>
    <t>Equipo de laboratorio</t>
  </si>
  <si>
    <t>Equipo de Oficina ( Calc, telèfonos, )</t>
  </si>
  <si>
    <t>Mobiliario de oficina (oficina abierta)</t>
  </si>
  <si>
    <t>Mobiliario de oficina (sillas, mesas aux.)</t>
  </si>
  <si>
    <t>Muebles y utencillos de cafetería</t>
  </si>
  <si>
    <t>Equipo de cómputo</t>
  </si>
  <si>
    <t>CONCEPTO</t>
  </si>
  <si>
    <t>Gastos de Constitución</t>
  </si>
  <si>
    <t>Gastos Generales (papelerìa, transporte)</t>
  </si>
  <si>
    <t>Servicios Públicos</t>
  </si>
  <si>
    <t>CAPITAL DE TRABAJO</t>
  </si>
  <si>
    <t>TABLA 1.5.</t>
  </si>
  <si>
    <t>RESUMEN DE LA INVERSION</t>
  </si>
  <si>
    <t>TOTAL INVERSION</t>
  </si>
  <si>
    <t>ESTIMACION DE VENTAS (PRECIOS Y CANTIDADES)</t>
  </si>
  <si>
    <t>UNIDADES VENDIDAS</t>
  </si>
  <si>
    <t>Crecimiento ventas</t>
  </si>
  <si>
    <t>Crecimiento precio</t>
  </si>
  <si>
    <t>INGRESOS POR VENTAS</t>
  </si>
  <si>
    <t>total ingresos</t>
  </si>
  <si>
    <t xml:space="preserve">MOVIMIENTO DE INVENTARIOS </t>
  </si>
  <si>
    <t>EGRESOS</t>
  </si>
  <si>
    <t>SALDO</t>
  </si>
  <si>
    <t>PERIODO</t>
  </si>
  <si>
    <t>DETALLE</t>
  </si>
  <si>
    <t>UNDADES</t>
  </si>
  <si>
    <t>$/UNT</t>
  </si>
  <si>
    <t>Compras</t>
  </si>
  <si>
    <t>devoluc. en compras</t>
  </si>
  <si>
    <t>Devolucion en ventas</t>
  </si>
  <si>
    <t>ene-dic</t>
  </si>
  <si>
    <t xml:space="preserve"> </t>
  </si>
  <si>
    <t>TABLA 3.1</t>
  </si>
  <si>
    <t>TABLA 3.2.</t>
  </si>
  <si>
    <t>Papeleria y utiles de oficina</t>
  </si>
  <si>
    <t>Elementos de aseo y cafetería</t>
  </si>
  <si>
    <t xml:space="preserve">Pólizas de protección riesgos: Incendio, rayo, daños a terceros, terremoto, hurto, abnegación, etc. </t>
  </si>
  <si>
    <t>Correo y fletes</t>
  </si>
  <si>
    <t>correspondencia</t>
  </si>
  <si>
    <t>Combustible Carros</t>
  </si>
  <si>
    <t>Acueducto. Alcantar. y aseo</t>
  </si>
  <si>
    <t>Energía Eléctrica</t>
  </si>
  <si>
    <t>Telefono, fax e internet</t>
  </si>
  <si>
    <t>Dotaciones y seguridad Industrial</t>
  </si>
  <si>
    <t>DEL 1°  DE ENERO AL 31 DE DICIEMBRE</t>
  </si>
  <si>
    <t>( CIFRAS EN PESOS COLOMBIANOS )</t>
  </si>
  <si>
    <t>Menos devoluciones</t>
  </si>
  <si>
    <t>Ventas netas</t>
  </si>
  <si>
    <t>Menos: Costo de ventas</t>
  </si>
  <si>
    <t>Inventario Inicial</t>
  </si>
  <si>
    <t xml:space="preserve"> Compras</t>
  </si>
  <si>
    <t xml:space="preserve"> - Devoluciones en compras</t>
  </si>
  <si>
    <t xml:space="preserve"> - Descuentos en Compras</t>
  </si>
  <si>
    <t xml:space="preserve"> = Compras Netas</t>
  </si>
  <si>
    <t>Mercancia Disponible para la Venta</t>
  </si>
  <si>
    <t xml:space="preserve"> Menos </t>
  </si>
  <si>
    <t>Inventario Final de Mercancias</t>
  </si>
  <si>
    <t>Utilidad bruta en ventas</t>
  </si>
  <si>
    <t>Sueldos y prestaciones</t>
  </si>
  <si>
    <t>Menos: Gastos de administración</t>
  </si>
  <si>
    <t>UTILIDAD OPERACIONAL</t>
  </si>
  <si>
    <t>OTROS INGRESOS</t>
  </si>
  <si>
    <t>Rendimientos Financieros</t>
  </si>
  <si>
    <t>OTROS EGRESOS</t>
  </si>
  <si>
    <t>Intereses deuda</t>
  </si>
  <si>
    <t>UTILIDAD ANTES DE IMPUESTOS</t>
  </si>
  <si>
    <t>PROVISION PARA IMPUESTOS</t>
  </si>
  <si>
    <t>UTILIDAD NETA</t>
  </si>
  <si>
    <t>AL 31 DE DICIEMBRE</t>
  </si>
  <si>
    <t>ACTIVO</t>
  </si>
  <si>
    <t>Caja y bancos</t>
  </si>
  <si>
    <t>Cuentas por cobrar</t>
  </si>
  <si>
    <t>Inventarios</t>
  </si>
  <si>
    <t>Activos diferidos</t>
  </si>
  <si>
    <t>Activos fijos</t>
  </si>
  <si>
    <t>Depreciación acumulada</t>
  </si>
  <si>
    <t>Activos fijos netos</t>
  </si>
  <si>
    <t>TOTAL ACTIVO</t>
  </si>
  <si>
    <t>PASIVO Y CAPITAL</t>
  </si>
  <si>
    <t>Cuentas por pagar proveedores</t>
  </si>
  <si>
    <t>Prestaciones Sociales por pagar</t>
  </si>
  <si>
    <t>Intereses por pagar</t>
  </si>
  <si>
    <t>Préstamos bancos</t>
  </si>
  <si>
    <t>TOTAL PASIVOS</t>
  </si>
  <si>
    <t>CAPITAL</t>
  </si>
  <si>
    <t>Aportes sociales</t>
  </si>
  <si>
    <t>Utilidades Acumuladas</t>
  </si>
  <si>
    <t>Menos Distribuciòn Utilidades</t>
  </si>
  <si>
    <t>TOTAL PATRIMONIO</t>
  </si>
  <si>
    <t>TOTAL PASIVO MAS PATRIMONIO</t>
  </si>
  <si>
    <t>DIFERENCIA</t>
  </si>
  <si>
    <t>SALDO INICIAL</t>
  </si>
  <si>
    <t>TOTAL INGRESO DE CARTERA</t>
  </si>
  <si>
    <t>Aportes de capital en efectivo</t>
  </si>
  <si>
    <t>Venta inventarios</t>
  </si>
  <si>
    <t>Venta activos fijos</t>
  </si>
  <si>
    <t>TOTAL INGRESOS</t>
  </si>
  <si>
    <t>PROVEEDORES</t>
  </si>
  <si>
    <t>Gastos en ventas</t>
  </si>
  <si>
    <t>Gastos de administración</t>
  </si>
  <si>
    <t>Compra de activos</t>
  </si>
  <si>
    <t>TOTAL EGRESOS</t>
  </si>
  <si>
    <t>Saldo final de tesorerìa</t>
  </si>
  <si>
    <t>-</t>
  </si>
  <si>
    <t>Prestamos Bancarios</t>
  </si>
  <si>
    <t>+</t>
  </si>
  <si>
    <t>Amortización de Prèstamos</t>
  </si>
  <si>
    <t>Pago de Intereses</t>
  </si>
  <si>
    <t>Ahorro de Impuestos por Intereses</t>
  </si>
  <si>
    <t>Utilidades Repartidas</t>
  </si>
  <si>
    <t>Aportes de capital en especie</t>
  </si>
  <si>
    <t>TIR</t>
  </si>
  <si>
    <t>INVERSION TOTAL</t>
  </si>
  <si>
    <t>MONTO DEL PRESTAMO</t>
  </si>
  <si>
    <t>PLAZO EN MESES</t>
  </si>
  <si>
    <t>INTERES ANUAL</t>
  </si>
  <si>
    <t>AÑO</t>
  </si>
  <si>
    <t>MESES</t>
  </si>
  <si>
    <t>INTERES</t>
  </si>
  <si>
    <t>ABONO A CAPITAL</t>
  </si>
  <si>
    <t>CUOTA</t>
  </si>
  <si>
    <t>SALDO FINAL</t>
  </si>
  <si>
    <t>DTF TRIMESTRE ANTIPADO</t>
  </si>
  <si>
    <t xml:space="preserve">TASA EFECTIVA MENSUAL </t>
  </si>
  <si>
    <t>TASA EFECTIVA ANUAL</t>
  </si>
  <si>
    <t>FLUJO ANUAL</t>
  </si>
  <si>
    <t>VPN AÑO 1</t>
  </si>
  <si>
    <t>VF AÑO 1</t>
  </si>
  <si>
    <t>VPN AÑO 2</t>
  </si>
  <si>
    <t>VF AÑO 2</t>
  </si>
  <si>
    <t>VPN AÑO 3</t>
  </si>
  <si>
    <t>VF AÑO 3</t>
  </si>
  <si>
    <t>VPN AÑO 4</t>
  </si>
  <si>
    <t>VF AÑO 4</t>
  </si>
  <si>
    <t>VPN AÑO 5</t>
  </si>
  <si>
    <t>VF AÑO 5</t>
  </si>
  <si>
    <t>INVERSION PREOPERATIVA (DIFERIDA)</t>
  </si>
  <si>
    <t>INVERSIONES FIJAS</t>
  </si>
  <si>
    <t>TOTAL INVERSIONES FIJAS</t>
  </si>
  <si>
    <t>TABLA 1.3.</t>
  </si>
  <si>
    <t>PRESUPUESTO DE INVERSIONES</t>
  </si>
  <si>
    <t>1. INVERSIONES FIJAS</t>
  </si>
  <si>
    <t>1.1. NO DEPRECIABLES</t>
  </si>
  <si>
    <t>1.2. DEPRECIABLES</t>
  </si>
  <si>
    <t>1.2.1. Construcciones y obras civiles</t>
  </si>
  <si>
    <t>1.2.2. Maquinaria y equipo</t>
  </si>
  <si>
    <t>1.2.3. Muebles y enseres</t>
  </si>
  <si>
    <t>1.2.4. Vehículos</t>
  </si>
  <si>
    <t>1.2.5. Otros</t>
  </si>
  <si>
    <t>2. INVERSIONES DIFERIDAS</t>
  </si>
  <si>
    <t>2.1. ESTUDIOS</t>
  </si>
  <si>
    <t>2.2. GASTOS DE ORGANIZACIÓN</t>
  </si>
  <si>
    <t>2.3. GASTOS DE MONTAJE</t>
  </si>
  <si>
    <t>2.4. GASTOS DE PUESTA EN MARCHA</t>
  </si>
  <si>
    <t>2.5. CAPACITACION</t>
  </si>
  <si>
    <t>2.6. OTROS</t>
  </si>
  <si>
    <t>2.7. IMPREVISTOS</t>
  </si>
  <si>
    <t>Capacitación</t>
  </si>
  <si>
    <t>Imprevistos</t>
  </si>
  <si>
    <t>3. CAPITAL DE TRABAJO</t>
  </si>
  <si>
    <t>3.1. EFECTIVO</t>
  </si>
  <si>
    <t>3.2. COSTO DE VENTAS</t>
  </si>
  <si>
    <t>3.3. PERSONAL</t>
  </si>
  <si>
    <t>3.4. CARTERA</t>
  </si>
  <si>
    <t>3.5. GASTOS GENERALES</t>
  </si>
  <si>
    <t>INVERSION DIFERIDA</t>
  </si>
  <si>
    <t>3.6. GASTOS OPERATIVOS</t>
  </si>
  <si>
    <t>INVERSION EN ACTIVOS FIJOS</t>
  </si>
  <si>
    <t>COSTOS DE PRODUCCION</t>
  </si>
  <si>
    <t>1.1 COSTO DIRECTO</t>
  </si>
  <si>
    <t>1.1.1. Materia prima</t>
  </si>
  <si>
    <t>1.1.2. Materiales directos</t>
  </si>
  <si>
    <t>1.2. GASTOS DE FABRICACION</t>
  </si>
  <si>
    <t>1.2.1. Materiales indirectos</t>
  </si>
  <si>
    <t>1.3. OTROS GASTOS INDIRECTOS</t>
  </si>
  <si>
    <t>1.3.1. Depreciación fábrica</t>
  </si>
  <si>
    <t>1.3.2. Servicios</t>
  </si>
  <si>
    <t>1.3.3. Mantenimiento</t>
  </si>
  <si>
    <t>1.3.4. Seguros</t>
  </si>
  <si>
    <t>1.3.5. Impuestos</t>
  </si>
  <si>
    <t>1.3.6. Amortización diferidos</t>
  </si>
  <si>
    <t>1.3.7. Otros</t>
  </si>
  <si>
    <t>2.1. SUELDOS Y PRESTACIONES</t>
  </si>
  <si>
    <t>2.2. DEPRECIACION ADMINISTRATIVA</t>
  </si>
  <si>
    <t>2.3. SEGUROS</t>
  </si>
  <si>
    <t>2.4. IMPUESTOS</t>
  </si>
  <si>
    <t>2.5. OTROS</t>
  </si>
  <si>
    <t>3. GASTOS DE VENTAS</t>
  </si>
  <si>
    <t>3.1. SUELDOS Y PRESTACIONES</t>
  </si>
  <si>
    <t>3.2. GASTOS DE PUBLICIDAD</t>
  </si>
  <si>
    <t>3.3. OTROS</t>
  </si>
  <si>
    <t>% CRECIMIENTO TCRM</t>
  </si>
  <si>
    <t>3. COSTOS Y GASTOS DE PRODUCCION</t>
  </si>
  <si>
    <t>1.1.1.RELACION MATERIA PRIMA</t>
  </si>
  <si>
    <t>1.2.1. MATERIALES INDIRECTOS</t>
  </si>
  <si>
    <t>1.2.2. MANO DE OBRA INDIRECTA (SUELDOS Y PREST)</t>
  </si>
  <si>
    <t>1.3.1. DEPRECIACION FABRICA</t>
  </si>
  <si>
    <t>1.3.2. SERVICIOS</t>
  </si>
  <si>
    <t>1.3.3. MANTENIMIENTO</t>
  </si>
  <si>
    <t>1.3.4. SEGUROS</t>
  </si>
  <si>
    <t>1.3.5. IMPUESTOS</t>
  </si>
  <si>
    <t>1.3.6. AMORTIZACION DIFERIDOS</t>
  </si>
  <si>
    <t>1.3.7. OTROS</t>
  </si>
  <si>
    <t>2. GASTOS DE ADMINISTRACION</t>
  </si>
  <si>
    <t>2.2. DEPRECIACION ADMINISTRATIVAS</t>
  </si>
  <si>
    <t>Equipos</t>
  </si>
  <si>
    <t>Vehículos</t>
  </si>
  <si>
    <t>Honorarios Auditor</t>
  </si>
  <si>
    <t>1. Directa</t>
  </si>
  <si>
    <t>2. Indirecta</t>
  </si>
  <si>
    <t>3. Ventas</t>
  </si>
  <si>
    <t>4. Administrativa</t>
  </si>
  <si>
    <t xml:space="preserve">    Directa con subsidio</t>
  </si>
  <si>
    <t xml:space="preserve">    Indirectacon subsidio</t>
  </si>
  <si>
    <t xml:space="preserve">   Indirecta si subsidio</t>
  </si>
  <si>
    <t xml:space="preserve">   Administrativa con subisidio</t>
  </si>
  <si>
    <t xml:space="preserve">  Administrativa sin subsidio</t>
  </si>
  <si>
    <t>Partici % prest=</t>
  </si>
  <si>
    <t>CON SUBS</t>
  </si>
  <si>
    <t>SIN SUBSIDIO T</t>
  </si>
  <si>
    <t>1.1.2. RELACION MATERIALES DIRECTOS</t>
  </si>
  <si>
    <t>1.1.3. MANO OBRA DIR. Y PRES</t>
  </si>
  <si>
    <t>Gastos del Personal varios</t>
  </si>
  <si>
    <t xml:space="preserve">Sueldos y prestaciones </t>
  </si>
  <si>
    <t>2.4. IMPUESTOS (predial edif adtivo)</t>
  </si>
  <si>
    <t>ICA (11.04 por mil X ventas netas)</t>
  </si>
  <si>
    <t>1% sobre ventas</t>
  </si>
  <si>
    <t xml:space="preserve">3.3. OTROS </t>
  </si>
  <si>
    <t>PRECIOS VENTA</t>
  </si>
  <si>
    <t>MARGEN UTILIDAD =</t>
  </si>
  <si>
    <t>1.1.3. Mano de obra y prestacion</t>
  </si>
  <si>
    <t>1.2.2. Mano obra indirecta y pres</t>
  </si>
  <si>
    <t>TASA (DTF+3,5) TRIMESTRE ANTICIPADO</t>
  </si>
  <si>
    <t>TASA (DTF+3,5) TRIMESTRE VENCIDO</t>
  </si>
  <si>
    <t>AMORTIZACION ANUAL</t>
  </si>
  <si>
    <t>INTERESES ANUAL</t>
  </si>
  <si>
    <t>Préstamos</t>
  </si>
  <si>
    <t>Dev. en compras</t>
  </si>
  <si>
    <t>Devolución en ventas</t>
  </si>
  <si>
    <t>Dev. En compras</t>
  </si>
  <si>
    <t>Otros gastos indirectos</t>
  </si>
  <si>
    <t>Costo materia prima</t>
  </si>
  <si>
    <t>Sueldos y prest.Directo</t>
  </si>
  <si>
    <t>Gastos de fabricación</t>
  </si>
  <si>
    <t>Material directo</t>
  </si>
  <si>
    <t>Interses=</t>
  </si>
  <si>
    <t>Gastos de publicidad</t>
  </si>
  <si>
    <t>Otros</t>
  </si>
  <si>
    <t>Menos:  Gastos de ventas</t>
  </si>
  <si>
    <t>Impuestos</t>
  </si>
  <si>
    <t>Seguros</t>
  </si>
  <si>
    <t>Impuestos=</t>
  </si>
  <si>
    <t>Gastos Preoperativos (=Inv. Diferidas)</t>
  </si>
  <si>
    <t>APORTES DE CAPITAL</t>
  </si>
  <si>
    <t>Venta papeles de bolsa (inv fin)</t>
  </si>
  <si>
    <t>Total pago a proveedores</t>
  </si>
  <si>
    <t>Pago de intereses</t>
  </si>
  <si>
    <t>Saldo acumulado</t>
  </si>
  <si>
    <t>Amortización de préstamos</t>
  </si>
  <si>
    <t>Saldo del año</t>
  </si>
  <si>
    <t>NUEVO SALDO DEL AÑO</t>
  </si>
  <si>
    <t xml:space="preserve">Distribuciòn de utilidades </t>
  </si>
  <si>
    <t>Intereses ea =</t>
  </si>
  <si>
    <t>VPN</t>
  </si>
  <si>
    <t xml:space="preserve"> +</t>
  </si>
  <si>
    <t xml:space="preserve">   +</t>
  </si>
  <si>
    <t>Valor terminal o  de mercado</t>
  </si>
  <si>
    <t>Cálculo FCL n+1 = (FCLn - rendimiento y recuperación de inversiones + inversión de excedentes)* (1+crecimiento para n+1)</t>
  </si>
  <si>
    <t>FCL después de impuestos</t>
  </si>
  <si>
    <t xml:space="preserve">  =</t>
  </si>
  <si>
    <t>Tasa de descuento (CPC)</t>
  </si>
  <si>
    <t>Factor de valor presente</t>
  </si>
  <si>
    <t>Estudios</t>
  </si>
  <si>
    <t>Inversiones</t>
  </si>
  <si>
    <t>FCL sin Vr. Terminal</t>
  </si>
  <si>
    <t xml:space="preserve"> - gastos de depreciación</t>
  </si>
  <si>
    <t xml:space="preserve"> - Amortización diferidos</t>
  </si>
  <si>
    <t>saldo inicial inversiones en bolsa</t>
  </si>
  <si>
    <t>nuevas adquisiciones</t>
  </si>
  <si>
    <t>Nuevo saldo Inversión en papeles bolsa</t>
  </si>
  <si>
    <t>Impuestos por pagar</t>
  </si>
  <si>
    <t>Venta de inversiones</t>
  </si>
  <si>
    <t>CALCULO DEL CPC, VALOR DE LA FIRMA Y EVALUACION FINANCIERA</t>
  </si>
  <si>
    <t xml:space="preserve">Tasa de impuestos = </t>
  </si>
  <si>
    <t>Inflación py =</t>
  </si>
  <si>
    <t xml:space="preserve">CAPM </t>
  </si>
  <si>
    <t>Pho = Rf +Bfirma(Rm-Rf)</t>
  </si>
  <si>
    <t>Pho: Rentabilidad del patrimonio antes de impuestos</t>
  </si>
  <si>
    <t>FCL</t>
  </si>
  <si>
    <t>Saldo deuda</t>
  </si>
  <si>
    <t>Aporte socios</t>
  </si>
  <si>
    <t>Inv. Inicial</t>
  </si>
  <si>
    <t>Participación de la deuda en el valor total y su contribución en el CPC, después de impuestos</t>
  </si>
  <si>
    <t>Valor firma</t>
  </si>
  <si>
    <t>Deuda</t>
  </si>
  <si>
    <t>Costo deuda después imp.d(1-T)</t>
  </si>
  <si>
    <t>Patrimonio</t>
  </si>
  <si>
    <t>Peso relativo patrimonio P% = (1-D%)</t>
  </si>
  <si>
    <t>e= (Pho -dD%)/P%</t>
  </si>
  <si>
    <t>Contribución del patrimonio al CPC</t>
  </si>
  <si>
    <t>Primer método: VP (FCL a wacc)</t>
  </si>
  <si>
    <t xml:space="preserve">Segundo método VP del CCF a Pho </t>
  </si>
  <si>
    <t>Ahorro en impuestos</t>
  </si>
  <si>
    <t>Capital Cash Flow (CCF =</t>
  </si>
  <si>
    <t>FCL+AI)</t>
  </si>
  <si>
    <t>Factor VPN</t>
  </si>
  <si>
    <t>Prom Geométrico</t>
  </si>
  <si>
    <t>Inversiones c plazo</t>
  </si>
  <si>
    <t xml:space="preserve"> -</t>
  </si>
  <si>
    <t>Venta Invers c plazo</t>
  </si>
  <si>
    <t>VPN (15.34%)</t>
  </si>
  <si>
    <t>PRECIO 2026</t>
  </si>
  <si>
    <t>Tasa libre de riesgo (Rf)= (bonos TES)</t>
  </si>
  <si>
    <t>(William Sharpe)</t>
  </si>
  <si>
    <t>Costo de la deuda (d) =</t>
  </si>
  <si>
    <t>Citar fuente secundaria, o si esproyección propia ver cálculos en Notas Cálculo CPC. xls, E126</t>
  </si>
  <si>
    <t>Rentabilidad esperada del mercado</t>
  </si>
  <si>
    <t>Peso relativo D% (Deuda t-1/Vfirma t-1)</t>
  </si>
  <si>
    <t>Contribución deuda al CPC = D%d(1-T)</t>
  </si>
  <si>
    <t>Herramientas/Opciones/Calcular/Interación /Aceptar</t>
  </si>
  <si>
    <t>Archivo/opciones/Fórmulas/Habilitar Iteraciones</t>
  </si>
  <si>
    <t>Si persisten errores, cualquier número en CPC y deshacer acción desde el úlitmo hasta el primero</t>
  </si>
  <si>
    <t>Inflación proyectada</t>
  </si>
  <si>
    <t>Intereses de colocación bancarios en corto plazo</t>
  </si>
  <si>
    <t>Estrategia comercial y dinámica económica</t>
  </si>
  <si>
    <t>Si bien debe incluir el costo ponderado de la deuda y el del patrimonio, por ahora supóngase el promedio ponderado esperado de los socios.</t>
  </si>
  <si>
    <t>(Propuesto por Tham 2000 y Ruback, 2000)</t>
  </si>
  <si>
    <t>CCF = VP(FCL sin deuda a Ƥ) + VP (ahorro en impuestos Ƥ)</t>
  </si>
  <si>
    <t>Pago de intereses (Dt-1*d)</t>
  </si>
  <si>
    <t>AÑOS</t>
  </si>
  <si>
    <t>Valor firma en año 0 (Suma producto)</t>
  </si>
  <si>
    <t xml:space="preserve">CPC con base contable= </t>
  </si>
  <si>
    <t>d(1-T)D%t-1 + eP%t-1</t>
  </si>
  <si>
    <t>Activo</t>
  </si>
  <si>
    <t>Pasivo</t>
  </si>
  <si>
    <t>D%</t>
  </si>
  <si>
    <t>P%</t>
  </si>
  <si>
    <t>d</t>
  </si>
  <si>
    <t>CPC</t>
  </si>
  <si>
    <t>APALANCAMIENTO OPERATIVO Y FINANCIERO</t>
  </si>
  <si>
    <t>COSTO VARIABLE UNITARIO</t>
  </si>
  <si>
    <t>PUNTO DE EQUILIBRIO</t>
  </si>
  <si>
    <t>CANTIDADES ANUALES</t>
  </si>
  <si>
    <t xml:space="preserve">VENTAS </t>
  </si>
  <si>
    <t>C.V. TOTALES</t>
  </si>
  <si>
    <t>C. FIJOS</t>
  </si>
  <si>
    <t>C. TOTALES</t>
  </si>
  <si>
    <t>UAII</t>
  </si>
  <si>
    <t>GAO</t>
  </si>
  <si>
    <t>INTERESES</t>
  </si>
  <si>
    <t>UAI</t>
  </si>
  <si>
    <t>IMPUESTOS</t>
  </si>
  <si>
    <t>U. NETA</t>
  </si>
  <si>
    <t>GAF</t>
  </si>
  <si>
    <t>UTILIDAD= (P*Q)-(CV unitario*Q)- CF</t>
  </si>
  <si>
    <t>PRECIO</t>
  </si>
  <si>
    <t>UTILIDAD</t>
  </si>
  <si>
    <t>CV. Unit</t>
  </si>
  <si>
    <t>CF</t>
  </si>
  <si>
    <t>Q PRODUCIR=</t>
  </si>
  <si>
    <t>GAO = (V-CV)/((V-CV-CF)</t>
  </si>
  <si>
    <t>V = ventas; CV = costos variables totales; CF= Costos fijos</t>
  </si>
  <si>
    <t>Q</t>
  </si>
  <si>
    <t>VARIACIÓN UTILIDADES</t>
  </si>
  <si>
    <t>GAF = UAII/ (UAII- i)</t>
  </si>
  <si>
    <t>DEUDA</t>
  </si>
  <si>
    <t>TASA ANUAL</t>
  </si>
  <si>
    <t xml:space="preserve">GASTO POR INTERESES </t>
  </si>
  <si>
    <t>C.F</t>
  </si>
  <si>
    <t>Qe = (CF+i)/(P-cv)</t>
  </si>
  <si>
    <t>CV. UNITARIO</t>
  </si>
  <si>
    <t>Q. EQUILIBRIO=</t>
  </si>
  <si>
    <t>deben producir y vender para este nuevo nivel de UAII</t>
  </si>
  <si>
    <t>UAII  DUPLICADAS</t>
  </si>
  <si>
    <t xml:space="preserve">UTILIDAD </t>
  </si>
  <si>
    <t>C.F.</t>
  </si>
  <si>
    <t xml:space="preserve">Q REQUERIDAS </t>
  </si>
  <si>
    <t xml:space="preserve">y en lugar de adquirir la deuda de 25.000.000 sobre la cual debe pagar intereses del 15% anual, emite </t>
  </si>
  <si>
    <t>acciones para obtener esta cifra através de antiguos y nuevos accionistas, lo que implicaria 2500 nuevas</t>
  </si>
  <si>
    <t xml:space="preserve">acciones . Calcular en que punto las utilidades por acción ( UPA) si se financia con acciones son iguales a las </t>
  </si>
  <si>
    <t>utilidades por acción si se financia con deuda, es decir, a que nivel  de UAII son iguales las UPA´S. Graficar.</t>
  </si>
  <si>
    <t>VALOR X ACCIÓN</t>
  </si>
  <si>
    <t>EMISIÓN NUEVAS ACCIONES</t>
  </si>
  <si>
    <t>FINANCIAMIENTO CON CAPITAL PROPIO</t>
  </si>
  <si>
    <t>CANTIDADES</t>
  </si>
  <si>
    <t>VENTAS</t>
  </si>
  <si>
    <t>UPA</t>
  </si>
  <si>
    <t>FINANCIAMIENTO CON DEUDA</t>
  </si>
  <si>
    <t>PUNTO EQUILIBRIO UAII</t>
  </si>
  <si>
    <t>UPA acciones= UPA deuda</t>
  </si>
  <si>
    <t>UPA=</t>
  </si>
  <si>
    <t>((UAII-i)*(1-tasa impuestos))/ número acciones</t>
  </si>
  <si>
    <t>UPA ACCIONES=</t>
  </si>
  <si>
    <t>UPA DEUDA=</t>
  </si>
  <si>
    <t>DESPEJO UAII=</t>
  </si>
  <si>
    <t>UTILIDAD=</t>
  </si>
  <si>
    <t>PRECIO=</t>
  </si>
  <si>
    <t>CV. UNITARIO=</t>
  </si>
  <si>
    <t>CF.=</t>
  </si>
  <si>
    <t>Q EQUILIBRIO=</t>
  </si>
  <si>
    <t>qué tipo de financiación le conviene a la empresa?</t>
  </si>
  <si>
    <t>Qué tipo de financiación le conviene a la empresa?</t>
  </si>
  <si>
    <t>COSTOS FIJOS %</t>
  </si>
  <si>
    <t>COSTOS VARIABLES TOTALES</t>
  </si>
  <si>
    <t>CANTIDAD VENTAS</t>
  </si>
  <si>
    <t>VALOR COSTOS FIJOS</t>
  </si>
  <si>
    <t>COSTO TOTAL</t>
  </si>
  <si>
    <t>Control Costo total</t>
  </si>
  <si>
    <t>CLASIFICACIÓN COSTOS FIJO Y COSTO VARIABLE TOTAL Y UNITARIO</t>
  </si>
  <si>
    <t>ANALISIS PARA DIFERENTES ESCENARIOS</t>
  </si>
  <si>
    <t>PRECIO VENTA</t>
  </si>
  <si>
    <t>Costo variable unitario</t>
  </si>
  <si>
    <t>Costos fijos anuales</t>
  </si>
  <si>
    <t>Precio por unidad</t>
  </si>
  <si>
    <t>Qpe= CF/ (P - cv)</t>
  </si>
  <si>
    <t>2. Cuántas unidades se deben producir y vender, si se quieren tener unas utilidades de $50.000.000 por mes</t>
  </si>
  <si>
    <t>y analícelo para 2000 unidades vendidas</t>
  </si>
  <si>
    <t>GAF ( 2000) =</t>
  </si>
  <si>
    <t>UTILIDADES ( 2200)</t>
  </si>
  <si>
    <t>TASA NOMINAL ANUAL</t>
  </si>
  <si>
    <t>MES</t>
  </si>
  <si>
    <t>6. Cúal es el punto de equilibrio de la empresa si se tienen en cuenta los costos financieros ( intereses)</t>
  </si>
  <si>
    <t>7. Si se quieren doblar las UAII, partiendo de las obtenidas con 2000 unidades, cuántas unidades se</t>
  </si>
  <si>
    <t>UAII ( 2000)</t>
  </si>
  <si>
    <r>
      <t>8</t>
    </r>
    <r>
      <rPr>
        <sz val="10"/>
        <rFont val="Arial"/>
        <family val="2"/>
      </rPr>
      <t>. Si la empresa posee un capital conformado por 15.000 acciones a un valor unitario de 10.000</t>
    </r>
  </si>
  <si>
    <t>((UAII-0)*(1-31%))/17500</t>
  </si>
  <si>
    <t>((UAII-3750000)*(1-31%))/15.000</t>
  </si>
  <si>
    <t xml:space="preserve">Si la empresa esta en capacidad de producir y vender mas de </t>
  </si>
  <si>
    <t>unidades le conviene financiarse  con deuda</t>
  </si>
  <si>
    <t>9. Qué cantidades debe producir y vender la empresa en el nivel de UAII en que las UPA´S son iguales</t>
  </si>
  <si>
    <t>10. Si se planean producir y vender cantidades por encima del punto de equilibrio de los UPA´S</t>
  </si>
  <si>
    <t xml:space="preserve">11. Si se planean producir y vender cantidades por debajo del punto de equilibrio de los UPA´S </t>
  </si>
  <si>
    <t xml:space="preserve">Si la empresa no esta en capacidad de producir y vender mas de </t>
  </si>
  <si>
    <t>unidades le conviene financiarse  con emisión de acciones.</t>
  </si>
  <si>
    <t>Calcular</t>
  </si>
  <si>
    <t>PRACTICA</t>
  </si>
  <si>
    <t>COSTO UNITARIO TOTAL</t>
  </si>
  <si>
    <t>COSTOS Y GASTOS TOTALES</t>
  </si>
  <si>
    <t xml:space="preserve">PROYECCION ANUAL DE COSTOS TOTAL UNITARIO </t>
  </si>
  <si>
    <t>TOTAL NOMINA</t>
  </si>
  <si>
    <t>VALORES FORMULADOS</t>
  </si>
  <si>
    <t>WACC = CPC = d(1-T)D% + eP%</t>
  </si>
  <si>
    <t>Impuesto(s) vehículo(s)</t>
  </si>
  <si>
    <t>Aporte</t>
  </si>
  <si>
    <t>Participación</t>
  </si>
  <si>
    <t>V = C</t>
  </si>
  <si>
    <t>C= CF+CV</t>
  </si>
  <si>
    <t>V = CF+CV</t>
  </si>
  <si>
    <t>V= P*Q</t>
  </si>
  <si>
    <t>P*Q = CF+Cv</t>
  </si>
  <si>
    <t>CV= Q*Cvu</t>
  </si>
  <si>
    <t>P*Q = CF+(Q*Cvu)</t>
  </si>
  <si>
    <t>U = V-CT</t>
  </si>
  <si>
    <t>50000000 = (1420703*Q)-(980519.51*Q)-(488159358)</t>
  </si>
  <si>
    <t xml:space="preserve"> =5000000+488159358 = Q(1420703-980519.51)</t>
  </si>
  <si>
    <t>Q=</t>
  </si>
  <si>
    <t>p*Q</t>
  </si>
  <si>
    <t>Cvu*Q</t>
  </si>
  <si>
    <t xml:space="preserve"> 784415608.39=</t>
  </si>
  <si>
    <t xml:space="preserve"> -980519.51¨Q</t>
  </si>
  <si>
    <t>1 420703*Q</t>
  </si>
  <si>
    <t xml:space="preserve"> 344232027.49 = V-CT</t>
  </si>
  <si>
    <t xml:space="preserve"> 344232027.49 = (Q*P)-(Cvu*Q)-CF</t>
  </si>
  <si>
    <t>ACCIONES ACTUALES</t>
  </si>
  <si>
    <t>TOTAL ACCIONES CON NUEVAS</t>
  </si>
  <si>
    <t>Utilidad operacional</t>
  </si>
  <si>
    <t>Utiliad antes de impuestos</t>
  </si>
  <si>
    <t>UN</t>
  </si>
  <si>
    <t xml:space="preserve"> =</t>
  </si>
  <si>
    <t>1) Despejar esta ecuación para determinar la UAII que hace igual las UPAS en ese punto</t>
  </si>
  <si>
    <t>2) Despejar para encontrar las cantidades que producidas y vendidas logran ese nivel</t>
  </si>
  <si>
    <t>3) Analizar a partir de qué cantidades producidas y vendidas es mejor un tipo de financiamiento</t>
  </si>
  <si>
    <t>CF+I</t>
  </si>
  <si>
    <t>P-Cvu</t>
  </si>
  <si>
    <t>Compras 2026</t>
  </si>
  <si>
    <t>FCN</t>
  </si>
  <si>
    <t>PRACTICA DE LOS ESTUDIANTES</t>
  </si>
  <si>
    <t>a) Vr de salvamento</t>
  </si>
  <si>
    <t>b) Continúan opeaciones</t>
  </si>
  <si>
    <t>b.1) K</t>
  </si>
  <si>
    <t>b.2) Sigue creciendo a una tasa g</t>
  </si>
  <si>
    <t>VT = (FCLn+1) / (i-g)</t>
  </si>
  <si>
    <t>Tasas de crecimiento</t>
  </si>
  <si>
    <t>1. Inversión</t>
  </si>
  <si>
    <t>2.- Costo de capital = intereses + costo del patrimonio</t>
  </si>
  <si>
    <t>3.- Vr agregado</t>
  </si>
  <si>
    <t>IMPORTACIÓN, VENTA Y POSTVENTA DE EQUIPOS DE AUDIOLOGÍA</t>
  </si>
  <si>
    <t>Equipo de oficina (calculadoras, teléfonos, equipos de computo)</t>
  </si>
  <si>
    <t>Equipo patrón - Sistema de Calibración 831C</t>
  </si>
  <si>
    <t>Mobiliario de oficina (archivador, sillas, etc)</t>
  </si>
  <si>
    <t xml:space="preserve">Herramientas y equipos de apoyo </t>
  </si>
  <si>
    <t>Vehículo</t>
  </si>
  <si>
    <t>2 lineas * $ 100.000 c/u en prom.</t>
  </si>
  <si>
    <t>Arrendamiento - Oficina</t>
  </si>
  <si>
    <t>Asistente Administrativa y Contable</t>
  </si>
  <si>
    <t>HSEQ-SST</t>
  </si>
  <si>
    <t xml:space="preserve">   Directa sin subsidio</t>
  </si>
  <si>
    <t>Materiales de laboratorio (alcohol isopropílico, toallas, etc)</t>
  </si>
  <si>
    <t>TOTAL 2027</t>
  </si>
  <si>
    <t>Wypall</t>
  </si>
  <si>
    <t>1.2. RELACION GASTOS DE SERVICIO</t>
  </si>
  <si>
    <t>Equipo patrón - Sistema de Calibración</t>
  </si>
  <si>
    <t>1. COSTOS DE SERVICIO</t>
  </si>
  <si>
    <t>(ADQUISICION EQUIPOS Y MONTAJE)</t>
  </si>
  <si>
    <t>NACIONALIZACIÓN - DECLARACIÓN DE IMPORTACIÓN</t>
  </si>
  <si>
    <t>Audiómetros</t>
  </si>
  <si>
    <t>Impedanciómetros</t>
  </si>
  <si>
    <t>Equipos OAE y ABR</t>
  </si>
  <si>
    <t>COSTO UNITARIO IMPORTACIÓN</t>
  </si>
  <si>
    <t>Servicios de Calibración</t>
  </si>
  <si>
    <t>Servicio Técnico</t>
  </si>
  <si>
    <t xml:space="preserve">PROYECCIÓN COSTO IMPORTACIÓN, VENTA Y POSTVENTA DE EQUIPOS DE AUDIOLOGÍA </t>
  </si>
  <si>
    <t>AUDIÓMETROS</t>
  </si>
  <si>
    <t>Especificaciones</t>
  </si>
  <si>
    <t>Costo de Fabrica</t>
  </si>
  <si>
    <t>Fletes</t>
  </si>
  <si>
    <t>Nacionalización</t>
  </si>
  <si>
    <t>Equipos OAE/ABR</t>
  </si>
  <si>
    <t>TOTAL COSTO IMPORTACIÓN</t>
  </si>
  <si>
    <t>IMPEDANCIÓMETROS</t>
  </si>
  <si>
    <t>EQUIPOS OAE/ABR</t>
  </si>
  <si>
    <t>TOTAL E. DE AUDIOLOGÍA</t>
  </si>
  <si>
    <t>PRECIO INICIAL</t>
  </si>
  <si>
    <t>Ventas equipos de audiología</t>
  </si>
  <si>
    <t>DETALLE EQUIPOS DE AUDIOLOGÍA</t>
  </si>
  <si>
    <t>Ventas 2027</t>
  </si>
  <si>
    <t>Ventas 2028</t>
  </si>
  <si>
    <t>Ventas 2029</t>
  </si>
  <si>
    <t>1.-Determinar el punto de equilibrio financiero de "AUDIÓMETROS"</t>
  </si>
  <si>
    <t>EQUIPOS DE AUDIOLOGÍA</t>
  </si>
  <si>
    <t>Equipos OAE ABR</t>
  </si>
  <si>
    <t>Auxiliar de Servicios Generales</t>
  </si>
  <si>
    <t>Director Técnico</t>
  </si>
  <si>
    <t>Depreciaciones activas</t>
  </si>
  <si>
    <t>PRECIO 2027</t>
  </si>
  <si>
    <t>PRECIO 2028</t>
  </si>
  <si>
    <t>PRECIO 2029</t>
  </si>
  <si>
    <t>DTF T.A  MAS (IBR)</t>
  </si>
  <si>
    <t>DTF (IBR Persona Juridica)</t>
  </si>
  <si>
    <t>OAE</t>
  </si>
  <si>
    <t>Beta firma (Damoran x Sector Tecnología)</t>
  </si>
  <si>
    <t>TOTAL 2028</t>
  </si>
  <si>
    <t>TOTAL 2029</t>
  </si>
  <si>
    <t>Compras 2027</t>
  </si>
  <si>
    <t>Compras 2028</t>
  </si>
  <si>
    <t>Compras 2029</t>
  </si>
  <si>
    <t>Compras 2030</t>
  </si>
  <si>
    <t>PRECIO 2030</t>
  </si>
  <si>
    <t>COSTO UNITARIO 2026</t>
  </si>
  <si>
    <t>CANTIDAD (Uds. un mes de 2026)</t>
  </si>
  <si>
    <t>TOTAL 2030</t>
  </si>
  <si>
    <t>mes-uds. 2026</t>
  </si>
  <si>
    <t>COSTOS FIJOS</t>
  </si>
  <si>
    <t>Ganancia x Aud.</t>
  </si>
  <si>
    <t>Ganancia x Imp.</t>
  </si>
  <si>
    <t>Ganancia x OAE</t>
  </si>
  <si>
    <t>Q (año) =</t>
  </si>
  <si>
    <t>Q (mes)=</t>
  </si>
  <si>
    <t>Equipos x mes, considerando las tres referencias de equipos (Aud, Imp, OAE)</t>
  </si>
  <si>
    <t>Equipos x año</t>
  </si>
  <si>
    <t>Q(anual) =</t>
  </si>
  <si>
    <t>Q(mensual)=</t>
  </si>
  <si>
    <t>Equipos x año, considerando una ganancia promedio por equipo de $4,660,000</t>
  </si>
  <si>
    <t>Equipos x mes, considerando una ganancia promedio por equipo de $4,660,000</t>
  </si>
  <si>
    <t>PRI (Periodo de Retorno de la Inversión)=</t>
  </si>
  <si>
    <t>=</t>
  </si>
  <si>
    <t>Depreciación Eq. De Oficina</t>
  </si>
  <si>
    <t>Empaques y plásticos (Burbúja de embalaje)</t>
  </si>
  <si>
    <t>BALANCE GENERAL 2027 A 2031</t>
  </si>
  <si>
    <t>PLAN DE NEGOCIOS PARA LA VENTA Y POSTVENTA DE EQUIPOS DE DIAGNÓSTICO AUDIOLÓGICO EN COLOMBIA</t>
  </si>
  <si>
    <t>ESTADO DE RESULTADOS PROYECTADOS 2027  A 2031</t>
  </si>
  <si>
    <t>FLUJO DE TESORERIA 2027 A 2031</t>
  </si>
  <si>
    <t>~ 2 años</t>
  </si>
  <si>
    <t>TOTAL MES (2027)</t>
  </si>
  <si>
    <t>TOTAL 2031</t>
  </si>
  <si>
    <t>FLUJO DE CAJA LIBRE DEL PROYECTO 2026 A 2031</t>
  </si>
  <si>
    <t>Ventas 2030</t>
  </si>
  <si>
    <t>Ventas 2031</t>
  </si>
  <si>
    <t>VPN (25%)</t>
  </si>
  <si>
    <t>CPC después de impuestos = contribuciones</t>
  </si>
  <si>
    <t>Gastos de Acondicionamiento</t>
  </si>
  <si>
    <t>Costos ventas(=costos de acondicionamiento)</t>
  </si>
  <si>
    <t xml:space="preserve">5.  Si AUDIKAL tiene una deuda de $25.000.000 con interés 15% anual calcule el GAF </t>
  </si>
  <si>
    <t>3. Cuál es el Grado de Apalancamiento Operativo - GAO para 140 unidades y cual es su significado?</t>
  </si>
  <si>
    <t>GAO ( 140)=</t>
  </si>
  <si>
    <t>UTILIDAD (154)</t>
  </si>
  <si>
    <t>4. De acuerdo al resultado del punto 3. Qué pasa si en lugar de duplicar las ventas a 280 unidades</t>
  </si>
  <si>
    <t>se incrementan un 10% es decir a 154 unidades</t>
  </si>
  <si>
    <t>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</si>
</sst>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3" formatCode="_-* #,##0.00_-;\-* #,##0.00_-;_-* &quot;-&quot;??_-;_-@_-"/>
    <numFmt numFmtId="164" formatCode="_(* #,##0.00_);_(* \(#,##0.00\);_(* &quot;-&quot;??_);_(@_)"/>
    <numFmt numFmtId="165" formatCode="&quot;$&quot;#,##0.00;[Red]\-&quot;$&quot;#,##0.00"/>
    <numFmt numFmtId="166" formatCode="&quot;$&quot;\ #,##0.00;[Red]&quot;$&quot;\ \-#,##0.00"/>
    <numFmt numFmtId="167" formatCode="_ &quot;$&quot;\ * #,##0.00_ ;_ &quot;$&quot;\ * \-#,##0.00_ ;_ &quot;$&quot;\ * &quot;-&quot;??_ ;_ @_ "/>
    <numFmt numFmtId="168" formatCode="_ * #,##0.00_ ;_ * \-#,##0.00_ ;_ * &quot;-&quot;??_ ;_ @_ "/>
    <numFmt numFmtId="169" formatCode="0.0000000000"/>
    <numFmt numFmtId="170" formatCode="0.00000"/>
    <numFmt numFmtId="171" formatCode="0.0000"/>
    <numFmt numFmtId="172" formatCode="0.000"/>
    <numFmt numFmtId="173" formatCode="#,##0.000"/>
    <numFmt numFmtId="174" formatCode="0.0%"/>
    <numFmt numFmtId="175" formatCode="0.000%"/>
    <numFmt numFmtId="176" formatCode="#,##0_ ;[Red]\-#,##0\ "/>
    <numFmt numFmtId="177" formatCode="#,##0.00_ ;[Red]\-#,##0.00\ "/>
    <numFmt numFmtId="178" formatCode="#,##0.000000_ ;[Red]\-#,##0.000000\ "/>
    <numFmt numFmtId="179" formatCode="#,##0.0000_ ;[Red]\-#,##0.0000\ "/>
    <numFmt numFmtId="180" formatCode="#,##0.0;[Red]#,##0.0"/>
    <numFmt numFmtId="181" formatCode="_-* #,##0_-;\-* #,##0_-;_-* &quot;-&quot;??_-;_-@_-"/>
    <numFmt numFmtId="182" formatCode="_-* #,##0.000_-;\-* #,##0.000_-;_-* &quot;-&quot;??_-;_-@_-"/>
    <numFmt numFmtId="183" formatCode="_-* #,##0.0000_-;\-* #,##0.0000_-;_-* &quot;-&quot;??_-;_-@_-"/>
    <numFmt numFmtId="184" formatCode="_ * #,##0_ ;_ * \-#,##0_ ;_ * &quot;-&quot;??_ ;_ @_ "/>
    <numFmt numFmtId="185" formatCode="_(* #,##0_);_(* \(#,##0\);_(* &quot;-&quot;??_);_(@_)"/>
    <numFmt numFmtId="186" formatCode="_ * #,##0.0_ ;_ * \-#,##0.0_ ;_ * &quot;-&quot;??_ ;_ @_ "/>
    <numFmt numFmtId="187" formatCode="&quot;$&quot;\ #,##0"/>
    <numFmt numFmtId="188" formatCode="#,##0_ ;\-#,##0\ "/>
    <numFmt numFmtId="189" formatCode="_-* #,##0.000_-;\-* #,##0.000_-;_-* &quot;-&quot;???_-;_-@_-"/>
  </numFmts>
  <fonts count="29" x14ac:knownFonts="1">
    <font>
      <sz val="10"/>
      <name val="Arial"/>
    </font>
    <font>
      <sz val="10"/>
      <name val="Arial"/>
      <family val="2"/>
    </font>
    <font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name val="Arial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50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justify"/>
    </xf>
    <xf numFmtId="0" fontId="4" fillId="2" borderId="3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3" borderId="0" xfId="0" applyFont="1" applyFill="1"/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justify"/>
    </xf>
    <xf numFmtId="0" fontId="3" fillId="2" borderId="11" xfId="0" applyFont="1" applyFill="1" applyBorder="1" applyAlignment="1">
      <alignment horizontal="center" vertical="justify"/>
    </xf>
    <xf numFmtId="3" fontId="0" fillId="0" borderId="0" xfId="0" applyNumberFormat="1"/>
    <xf numFmtId="3" fontId="2" fillId="0" borderId="0" xfId="0" applyNumberFormat="1" applyFont="1" applyAlignment="1">
      <alignment horizontal="center"/>
    </xf>
    <xf numFmtId="172" fontId="2" fillId="0" borderId="0" xfId="0" applyNumberFormat="1" applyFont="1"/>
    <xf numFmtId="10" fontId="2" fillId="0" borderId="0" xfId="0" applyNumberFormat="1" applyFont="1"/>
    <xf numFmtId="0" fontId="2" fillId="0" borderId="0" xfId="0" applyFont="1" applyAlignment="1">
      <alignment vertical="justify"/>
    </xf>
    <xf numFmtId="3" fontId="0" fillId="0" borderId="0" xfId="0" applyNumberFormat="1" applyAlignment="1">
      <alignment vertical="center"/>
    </xf>
    <xf numFmtId="0" fontId="0" fillId="0" borderId="0" xfId="0" applyBorder="1"/>
    <xf numFmtId="0" fontId="0" fillId="0" borderId="12" xfId="0" applyBorder="1"/>
    <xf numFmtId="10" fontId="0" fillId="0" borderId="0" xfId="0" applyNumberFormat="1"/>
    <xf numFmtId="166" fontId="0" fillId="0" borderId="0" xfId="0" applyNumberFormat="1"/>
    <xf numFmtId="167" fontId="0" fillId="0" borderId="0" xfId="2" applyFont="1"/>
    <xf numFmtId="3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/>
    </xf>
    <xf numFmtId="176" fontId="0" fillId="0" borderId="0" xfId="0" applyNumberFormat="1"/>
    <xf numFmtId="0" fontId="4" fillId="3" borderId="0" xfId="0" applyFont="1" applyFill="1" applyAlignment="1">
      <alignment horizontal="centerContinuous"/>
    </xf>
    <xf numFmtId="0" fontId="2" fillId="0" borderId="13" xfId="0" applyFont="1" applyBorder="1" applyAlignment="1">
      <alignment vertical="center"/>
    </xf>
    <xf numFmtId="0" fontId="8" fillId="3" borderId="0" xfId="0" applyFont="1" applyFill="1" applyAlignment="1">
      <alignment horizontal="centerContinuous"/>
    </xf>
    <xf numFmtId="3" fontId="10" fillId="0" borderId="0" xfId="0" applyNumberFormat="1" applyFont="1" applyAlignment="1">
      <alignment horizontal="center"/>
    </xf>
    <xf numFmtId="0" fontId="0" fillId="0" borderId="0" xfId="0" applyAlignment="1">
      <alignment horizontal="centerContinuous"/>
    </xf>
    <xf numFmtId="3" fontId="0" fillId="0" borderId="0" xfId="0" applyNumberFormat="1" applyAlignment="1">
      <alignment horizontal="centerContinuous" vertical="center"/>
    </xf>
    <xf numFmtId="0" fontId="9" fillId="0" borderId="0" xfId="0" applyFont="1" applyAlignment="1">
      <alignment horizontal="centerContinuous"/>
    </xf>
    <xf numFmtId="3" fontId="9" fillId="0" borderId="0" xfId="0" applyNumberFormat="1" applyFont="1" applyAlignment="1">
      <alignment horizontal="centerContinuous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3" fontId="0" fillId="0" borderId="15" xfId="0" applyNumberFormat="1" applyBorder="1"/>
    <xf numFmtId="3" fontId="0" fillId="0" borderId="12" xfId="0" applyNumberFormat="1" applyBorder="1"/>
    <xf numFmtId="170" fontId="0" fillId="0" borderId="0" xfId="0" applyNumberFormat="1"/>
    <xf numFmtId="0" fontId="0" fillId="0" borderId="16" xfId="0" applyBorder="1"/>
    <xf numFmtId="3" fontId="0" fillId="0" borderId="16" xfId="0" applyNumberFormat="1" applyBorder="1"/>
    <xf numFmtId="9" fontId="0" fillId="0" borderId="0" xfId="0" applyNumberFormat="1"/>
    <xf numFmtId="0" fontId="0" fillId="0" borderId="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8" xfId="0" applyBorder="1"/>
    <xf numFmtId="0" fontId="0" fillId="0" borderId="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3" fontId="0" fillId="0" borderId="17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3" fontId="0" fillId="0" borderId="7" xfId="0" applyNumberFormat="1" applyBorder="1"/>
    <xf numFmtId="3" fontId="12" fillId="2" borderId="21" xfId="0" applyNumberFormat="1" applyFont="1" applyFill="1" applyBorder="1" applyAlignment="1">
      <alignment horizontal="center"/>
    </xf>
    <xf numFmtId="3" fontId="12" fillId="2" borderId="9" xfId="0" applyNumberFormat="1" applyFont="1" applyFill="1" applyBorder="1" applyAlignment="1">
      <alignment horizontal="center"/>
    </xf>
    <xf numFmtId="3" fontId="12" fillId="2" borderId="10" xfId="0" applyNumberFormat="1" applyFont="1" applyFill="1" applyBorder="1" applyAlignment="1">
      <alignment horizontal="center"/>
    </xf>
    <xf numFmtId="3" fontId="0" fillId="0" borderId="23" xfId="0" applyNumberFormat="1" applyBorder="1"/>
    <xf numFmtId="3" fontId="0" fillId="0" borderId="19" xfId="0" applyNumberFormat="1" applyBorder="1"/>
    <xf numFmtId="3" fontId="0" fillId="0" borderId="25" xfId="0" applyNumberFormat="1" applyBorder="1"/>
    <xf numFmtId="15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21" xfId="0" applyNumberFormat="1" applyBorder="1"/>
    <xf numFmtId="3" fontId="0" fillId="0" borderId="9" xfId="0" applyNumberFormat="1" applyBorder="1"/>
    <xf numFmtId="3" fontId="0" fillId="0" borderId="24" xfId="0" applyNumberFormat="1" applyBorder="1"/>
    <xf numFmtId="3" fontId="0" fillId="0" borderId="10" xfId="0" applyNumberFormat="1" applyBorder="1"/>
    <xf numFmtId="0" fontId="0" fillId="0" borderId="13" xfId="0" applyBorder="1" applyAlignment="1">
      <alignment horizontal="center"/>
    </xf>
    <xf numFmtId="0" fontId="0" fillId="0" borderId="26" xfId="0" applyBorder="1"/>
    <xf numFmtId="3" fontId="0" fillId="0" borderId="27" xfId="0" applyNumberFormat="1" applyBorder="1"/>
    <xf numFmtId="3" fontId="0" fillId="0" borderId="26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0" fontId="12" fillId="0" borderId="0" xfId="0" applyFont="1"/>
    <xf numFmtId="0" fontId="12" fillId="2" borderId="30" xfId="0" applyFont="1" applyFill="1" applyBorder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/>
    </xf>
    <xf numFmtId="3" fontId="12" fillId="2" borderId="31" xfId="0" applyNumberFormat="1" applyFont="1" applyFill="1" applyBorder="1" applyAlignment="1">
      <alignment horizontal="centerContinuous" vertical="center"/>
    </xf>
    <xf numFmtId="3" fontId="12" fillId="2" borderId="2" xfId="0" applyNumberFormat="1" applyFont="1" applyFill="1" applyBorder="1" applyAlignment="1">
      <alignment horizontal="centerContinuous" vertical="center"/>
    </xf>
    <xf numFmtId="3" fontId="12" fillId="2" borderId="11" xfId="0" applyNumberFormat="1" applyFont="1" applyFill="1" applyBorder="1" applyAlignment="1">
      <alignment horizontal="centerContinuous" vertical="center"/>
    </xf>
    <xf numFmtId="0" fontId="12" fillId="2" borderId="33" xfId="0" applyFont="1" applyFill="1" applyBorder="1" applyAlignment="1">
      <alignment horizontal="centerContinuous" vertical="center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4" fillId="0" borderId="0" xfId="0" applyFont="1"/>
    <xf numFmtId="176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3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10" fontId="14" fillId="0" borderId="0" xfId="0" applyNumberFormat="1" applyFont="1" applyAlignment="1">
      <alignment horizontal="centerContinuous"/>
    </xf>
    <xf numFmtId="10" fontId="14" fillId="0" borderId="0" xfId="0" applyNumberFormat="1" applyFont="1"/>
    <xf numFmtId="0" fontId="16" fillId="0" borderId="0" xfId="0" applyFont="1" applyAlignment="1">
      <alignment horizontal="centerContinuous"/>
    </xf>
    <xf numFmtId="0" fontId="0" fillId="0" borderId="34" xfId="0" applyBorder="1"/>
    <xf numFmtId="3" fontId="2" fillId="0" borderId="3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justify" wrapText="1"/>
    </xf>
    <xf numFmtId="0" fontId="3" fillId="0" borderId="6" xfId="0" applyFont="1" applyBorder="1" applyAlignment="1">
      <alignment horizontal="center" vertical="justify"/>
    </xf>
    <xf numFmtId="0" fontId="3" fillId="0" borderId="6" xfId="0" applyFont="1" applyBorder="1" applyAlignment="1">
      <alignment vertical="center"/>
    </xf>
    <xf numFmtId="0" fontId="12" fillId="2" borderId="38" xfId="0" applyFont="1" applyFill="1" applyBorder="1" applyAlignment="1">
      <alignment horizontal="center" vertical="center" wrapText="1"/>
    </xf>
    <xf numFmtId="0" fontId="0" fillId="0" borderId="39" xfId="0" applyBorder="1"/>
    <xf numFmtId="3" fontId="0" fillId="0" borderId="39" xfId="0" applyNumberFormat="1" applyBorder="1"/>
    <xf numFmtId="0" fontId="4" fillId="2" borderId="41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0" fontId="0" fillId="0" borderId="42" xfId="0" applyBorder="1"/>
    <xf numFmtId="3" fontId="2" fillId="0" borderId="42" xfId="0" applyNumberFormat="1" applyFon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0" fillId="0" borderId="44" xfId="0" applyBorder="1"/>
    <xf numFmtId="0" fontId="2" fillId="0" borderId="44" xfId="0" applyFont="1" applyBorder="1" applyAlignment="1">
      <alignment vertical="center"/>
    </xf>
    <xf numFmtId="0" fontId="2" fillId="0" borderId="44" xfId="0" applyFont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Continuous"/>
    </xf>
    <xf numFmtId="0" fontId="0" fillId="0" borderId="0" xfId="0" applyBorder="1" applyAlignment="1">
      <alignment horizontal="centerContinuous"/>
    </xf>
    <xf numFmtId="3" fontId="0" fillId="0" borderId="0" xfId="0" applyNumberFormat="1" applyBorder="1"/>
    <xf numFmtId="0" fontId="6" fillId="0" borderId="0" xfId="0" applyFont="1"/>
    <xf numFmtId="0" fontId="0" fillId="0" borderId="0" xfId="0" applyFill="1" applyBorder="1"/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45" xfId="0" applyFont="1" applyBorder="1" applyAlignment="1">
      <alignment vertical="center"/>
    </xf>
    <xf numFmtId="3" fontId="0" fillId="4" borderId="0" xfId="0" applyNumberFormat="1" applyFill="1"/>
    <xf numFmtId="165" fontId="0" fillId="0" borderId="0" xfId="0" applyNumberFormat="1"/>
    <xf numFmtId="0" fontId="0" fillId="0" borderId="13" xfId="0" applyBorder="1"/>
    <xf numFmtId="3" fontId="0" fillId="0" borderId="46" xfId="0" applyNumberFormat="1" applyBorder="1"/>
    <xf numFmtId="3" fontId="0" fillId="0" borderId="34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49" xfId="0" applyNumberFormat="1" applyBorder="1"/>
    <xf numFmtId="178" fontId="0" fillId="0" borderId="0" xfId="0" applyNumberFormat="1" applyAlignment="1">
      <alignment horizontal="centerContinuous"/>
    </xf>
    <xf numFmtId="4" fontId="0" fillId="0" borderId="0" xfId="0" applyNumberFormat="1"/>
    <xf numFmtId="179" fontId="0" fillId="0" borderId="0" xfId="0" applyNumberFormat="1"/>
    <xf numFmtId="2" fontId="0" fillId="0" borderId="0" xfId="0" applyNumberFormat="1"/>
    <xf numFmtId="0" fontId="17" fillId="0" borderId="0" xfId="0" applyFont="1"/>
    <xf numFmtId="10" fontId="0" fillId="9" borderId="0" xfId="0" applyNumberFormat="1" applyFill="1"/>
    <xf numFmtId="0" fontId="0" fillId="9" borderId="0" xfId="0" applyFill="1"/>
    <xf numFmtId="0" fontId="0" fillId="0" borderId="50" xfId="0" applyBorder="1"/>
    <xf numFmtId="3" fontId="0" fillId="0" borderId="42" xfId="0" applyNumberFormat="1" applyBorder="1"/>
    <xf numFmtId="174" fontId="18" fillId="9" borderId="0" xfId="3" applyNumberFormat="1" applyFont="1" applyFill="1"/>
    <xf numFmtId="3" fontId="11" fillId="0" borderId="54" xfId="0" applyNumberFormat="1" applyFont="1" applyBorder="1" applyAlignment="1"/>
    <xf numFmtId="3" fontId="11" fillId="0" borderId="56" xfId="0" applyNumberFormat="1" applyFont="1" applyBorder="1" applyAlignment="1">
      <alignment vertical="center"/>
    </xf>
    <xf numFmtId="3" fontId="11" fillId="0" borderId="54" xfId="0" applyNumberFormat="1" applyFont="1" applyBorder="1" applyAlignment="1">
      <alignment vertical="center"/>
    </xf>
    <xf numFmtId="3" fontId="11" fillId="9" borderId="57" xfId="0" applyNumberFormat="1" applyFont="1" applyFill="1" applyBorder="1" applyAlignment="1"/>
    <xf numFmtId="3" fontId="11" fillId="9" borderId="57" xfId="0" applyNumberFormat="1" applyFont="1" applyFill="1" applyBorder="1" applyAlignment="1">
      <alignment vertical="center"/>
    </xf>
    <xf numFmtId="3" fontId="11" fillId="9" borderId="58" xfId="0" applyNumberFormat="1" applyFont="1" applyFill="1" applyBorder="1" applyAlignment="1">
      <alignment vertical="center"/>
    </xf>
    <xf numFmtId="3" fontId="11" fillId="9" borderId="54" xfId="0" applyNumberFormat="1" applyFont="1" applyFill="1" applyBorder="1" applyAlignment="1"/>
    <xf numFmtId="3" fontId="11" fillId="9" borderId="54" xfId="0" applyNumberFormat="1" applyFont="1" applyFill="1" applyBorder="1" applyAlignment="1">
      <alignment vertical="center"/>
    </xf>
    <xf numFmtId="3" fontId="11" fillId="9" borderId="56" xfId="0" applyNumberFormat="1" applyFont="1" applyFill="1" applyBorder="1" applyAlignment="1">
      <alignment vertical="center"/>
    </xf>
    <xf numFmtId="0" fontId="0" fillId="9" borderId="17" xfId="0" applyFill="1" applyBorder="1"/>
    <xf numFmtId="3" fontId="0" fillId="9" borderId="17" xfId="0" applyNumberFormat="1" applyFill="1" applyBorder="1" applyAlignment="1">
      <alignment vertical="center"/>
    </xf>
    <xf numFmtId="0" fontId="17" fillId="10" borderId="0" xfId="0" applyFont="1" applyFill="1" applyBorder="1"/>
    <xf numFmtId="3" fontId="17" fillId="10" borderId="0" xfId="0" applyNumberFormat="1" applyFont="1" applyFill="1" applyBorder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/>
    <xf numFmtId="0" fontId="2" fillId="9" borderId="17" xfId="0" applyFont="1" applyFill="1" applyBorder="1" applyAlignment="1">
      <alignment vertical="center"/>
    </xf>
    <xf numFmtId="3" fontId="2" fillId="9" borderId="17" xfId="0" applyNumberFormat="1" applyFont="1" applyFill="1" applyBorder="1" applyAlignment="1">
      <alignment horizontal="center" vertical="center"/>
    </xf>
    <xf numFmtId="3" fontId="2" fillId="9" borderId="9" xfId="0" applyNumberFormat="1" applyFont="1" applyFill="1" applyBorder="1" applyAlignment="1">
      <alignment horizontal="center" vertical="center"/>
    </xf>
    <xf numFmtId="3" fontId="2" fillId="9" borderId="26" xfId="0" applyNumberFormat="1" applyFont="1" applyFill="1" applyBorder="1" applyAlignment="1">
      <alignment horizontal="center" vertical="center"/>
    </xf>
    <xf numFmtId="0" fontId="0" fillId="9" borderId="34" xfId="0" applyFill="1" applyBorder="1"/>
    <xf numFmtId="3" fontId="2" fillId="9" borderId="34" xfId="0" applyNumberFormat="1" applyFont="1" applyFill="1" applyBorder="1" applyAlignment="1">
      <alignment horizontal="center" vertical="center"/>
    </xf>
    <xf numFmtId="3" fontId="2" fillId="9" borderId="34" xfId="0" applyNumberFormat="1" applyFont="1" applyFill="1" applyBorder="1" applyAlignment="1">
      <alignment horizontal="center"/>
    </xf>
    <xf numFmtId="0" fontId="19" fillId="0" borderId="0" xfId="0" applyFont="1"/>
    <xf numFmtId="169" fontId="0" fillId="0" borderId="0" xfId="0" applyNumberFormat="1"/>
    <xf numFmtId="10" fontId="0" fillId="0" borderId="17" xfId="0" applyNumberFormat="1" applyBorder="1"/>
    <xf numFmtId="10" fontId="0" fillId="0" borderId="17" xfId="3" applyNumberFormat="1" applyFont="1" applyBorder="1"/>
    <xf numFmtId="0" fontId="0" fillId="11" borderId="0" xfId="0" applyFill="1"/>
    <xf numFmtId="0" fontId="17" fillId="11" borderId="0" xfId="0" applyFont="1" applyFill="1"/>
    <xf numFmtId="4" fontId="0" fillId="10" borderId="0" xfId="0" applyNumberFormat="1" applyFill="1"/>
    <xf numFmtId="0" fontId="17" fillId="9" borderId="17" xfId="0" applyFont="1" applyFill="1" applyBorder="1"/>
    <xf numFmtId="0" fontId="0" fillId="12" borderId="0" xfId="0" applyFill="1"/>
    <xf numFmtId="177" fontId="0" fillId="13" borderId="0" xfId="0" applyNumberFormat="1" applyFill="1"/>
    <xf numFmtId="0" fontId="17" fillId="0" borderId="17" xfId="0" applyFont="1" applyBorder="1"/>
    <xf numFmtId="4" fontId="0" fillId="0" borderId="17" xfId="0" applyNumberFormat="1" applyBorder="1"/>
    <xf numFmtId="4" fontId="17" fillId="0" borderId="17" xfId="0" applyNumberFormat="1" applyFont="1" applyBorder="1"/>
    <xf numFmtId="0" fontId="0" fillId="12" borderId="17" xfId="0" applyFill="1" applyBorder="1"/>
    <xf numFmtId="4" fontId="0" fillId="12" borderId="17" xfId="0" applyNumberFormat="1" applyFill="1" applyBorder="1"/>
    <xf numFmtId="176" fontId="0" fillId="0" borderId="17" xfId="0" applyNumberFormat="1" applyBorder="1"/>
    <xf numFmtId="0" fontId="0" fillId="0" borderId="17" xfId="0" applyBorder="1" applyAlignment="1">
      <alignment horizontal="center"/>
    </xf>
    <xf numFmtId="176" fontId="12" fillId="0" borderId="17" xfId="0" applyNumberFormat="1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7" xfId="0" applyBorder="1" applyAlignment="1">
      <alignment wrapText="1"/>
    </xf>
    <xf numFmtId="179" fontId="0" fillId="0" borderId="17" xfId="0" applyNumberFormat="1" applyBorder="1"/>
    <xf numFmtId="176" fontId="17" fillId="0" borderId="17" xfId="0" applyNumberFormat="1" applyFont="1" applyBorder="1"/>
    <xf numFmtId="9" fontId="0" fillId="0" borderId="17" xfId="0" applyNumberFormat="1" applyBorder="1"/>
    <xf numFmtId="180" fontId="0" fillId="0" borderId="17" xfId="0" applyNumberFormat="1" applyBorder="1"/>
    <xf numFmtId="3" fontId="11" fillId="0" borderId="17" xfId="0" applyNumberFormat="1" applyFont="1" applyBorder="1"/>
    <xf numFmtId="0" fontId="6" fillId="0" borderId="17" xfId="0" applyFont="1" applyBorder="1"/>
    <xf numFmtId="0" fontId="6" fillId="0" borderId="17" xfId="0" applyFont="1" applyFill="1" applyBorder="1"/>
    <xf numFmtId="3" fontId="0" fillId="0" borderId="17" xfId="0" applyNumberFormat="1" applyBorder="1" applyAlignment="1">
      <alignment vertical="center"/>
    </xf>
    <xf numFmtId="3" fontId="17" fillId="0" borderId="17" xfId="0" applyNumberFormat="1" applyFont="1" applyBorder="1" applyAlignment="1">
      <alignment horizontal="right"/>
    </xf>
    <xf numFmtId="3" fontId="0" fillId="0" borderId="17" xfId="0" applyNumberFormat="1" applyBorder="1" applyAlignment="1">
      <alignment horizontal="center"/>
    </xf>
    <xf numFmtId="173" fontId="0" fillId="0" borderId="17" xfId="0" applyNumberFormat="1" applyBorder="1" applyAlignment="1">
      <alignment vertical="center"/>
    </xf>
    <xf numFmtId="0" fontId="0" fillId="0" borderId="17" xfId="0" applyBorder="1" applyAlignment="1">
      <alignment vertical="justify"/>
    </xf>
    <xf numFmtId="0" fontId="0" fillId="9" borderId="17" xfId="0" applyFill="1" applyBorder="1" applyAlignment="1">
      <alignment vertical="justify"/>
    </xf>
    <xf numFmtId="0" fontId="0" fillId="0" borderId="17" xfId="0" applyBorder="1" applyAlignment="1">
      <alignment vertical="center"/>
    </xf>
    <xf numFmtId="3" fontId="0" fillId="0" borderId="17" xfId="0" applyNumberFormat="1" applyBorder="1" applyAlignment="1">
      <alignment horizontal="right"/>
    </xf>
    <xf numFmtId="3" fontId="0" fillId="12" borderId="17" xfId="0" applyNumberFormat="1" applyFill="1" applyBorder="1" applyAlignment="1">
      <alignment vertical="center"/>
    </xf>
    <xf numFmtId="0" fontId="0" fillId="0" borderId="17" xfId="0" applyFill="1" applyBorder="1"/>
    <xf numFmtId="0" fontId="3" fillId="0" borderId="0" xfId="0" applyFont="1" applyAlignment="1">
      <alignment horizontal="center"/>
    </xf>
    <xf numFmtId="0" fontId="3" fillId="0" borderId="17" xfId="0" applyFont="1" applyFill="1" applyBorder="1"/>
    <xf numFmtId="0" fontId="6" fillId="0" borderId="17" xfId="0" applyFont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81" fontId="0" fillId="0" borderId="17" xfId="1" applyNumberFormat="1" applyFont="1" applyBorder="1"/>
    <xf numFmtId="181" fontId="0" fillId="0" borderId="17" xfId="0" applyNumberFormat="1" applyBorder="1"/>
    <xf numFmtId="43" fontId="0" fillId="0" borderId="17" xfId="0" applyNumberFormat="1" applyBorder="1"/>
    <xf numFmtId="181" fontId="0" fillId="0" borderId="17" xfId="1" applyNumberFormat="1" applyFont="1" applyFill="1" applyBorder="1"/>
    <xf numFmtId="181" fontId="0" fillId="0" borderId="17" xfId="0" applyNumberFormat="1" applyFill="1" applyBorder="1"/>
    <xf numFmtId="0" fontId="0" fillId="6" borderId="0" xfId="0" applyFill="1"/>
    <xf numFmtId="43" fontId="0" fillId="0" borderId="17" xfId="1" applyNumberFormat="1" applyFont="1" applyBorder="1"/>
    <xf numFmtId="181" fontId="0" fillId="0" borderId="0" xfId="1" applyNumberFormat="1" applyFont="1"/>
    <xf numFmtId="0" fontId="3" fillId="0" borderId="17" xfId="0" applyFont="1" applyBorder="1"/>
    <xf numFmtId="0" fontId="3" fillId="0" borderId="0" xfId="0" applyFont="1"/>
    <xf numFmtId="181" fontId="6" fillId="6" borderId="17" xfId="0" applyNumberFormat="1" applyFont="1" applyFill="1" applyBorder="1"/>
    <xf numFmtId="175" fontId="6" fillId="0" borderId="17" xfId="3" applyNumberFormat="1" applyFont="1" applyBorder="1"/>
    <xf numFmtId="182" fontId="0" fillId="0" borderId="17" xfId="1" applyNumberFormat="1" applyFont="1" applyBorder="1"/>
    <xf numFmtId="172" fontId="0" fillId="7" borderId="17" xfId="0" applyNumberFormat="1" applyFill="1" applyBorder="1"/>
    <xf numFmtId="181" fontId="0" fillId="0" borderId="0" xfId="0" applyNumberFormat="1"/>
    <xf numFmtId="0" fontId="17" fillId="0" borderId="17" xfId="0" applyFont="1" applyBorder="1" applyAlignment="1">
      <alignment horizontal="left"/>
    </xf>
    <xf numFmtId="181" fontId="17" fillId="0" borderId="17" xfId="1" applyNumberFormat="1" applyFont="1" applyBorder="1" applyAlignment="1"/>
    <xf numFmtId="0" fontId="17" fillId="0" borderId="17" xfId="0" applyFont="1" applyBorder="1" applyAlignment="1"/>
    <xf numFmtId="9" fontId="17" fillId="0" borderId="17" xfId="0" applyNumberFormat="1" applyFont="1" applyBorder="1" applyAlignment="1"/>
    <xf numFmtId="2" fontId="0" fillId="0" borderId="17" xfId="0" applyNumberFormat="1" applyBorder="1"/>
    <xf numFmtId="0" fontId="0" fillId="0" borderId="0" xfId="0" applyFill="1"/>
    <xf numFmtId="181" fontId="17" fillId="0" borderId="17" xfId="1" applyNumberFormat="1" applyFont="1" applyFill="1" applyBorder="1"/>
    <xf numFmtId="181" fontId="17" fillId="0" borderId="17" xfId="1" applyNumberFormat="1" applyFont="1" applyBorder="1"/>
    <xf numFmtId="168" fontId="0" fillId="0" borderId="17" xfId="1" applyFont="1" applyBorder="1"/>
    <xf numFmtId="43" fontId="0" fillId="8" borderId="17" xfId="0" applyNumberFormat="1" applyFill="1" applyBorder="1"/>
    <xf numFmtId="0" fontId="3" fillId="0" borderId="0" xfId="0" applyFont="1" applyAlignment="1">
      <alignment horizontal="left"/>
    </xf>
    <xf numFmtId="3" fontId="0" fillId="11" borderId="17" xfId="0" applyNumberFormat="1" applyFill="1" applyBorder="1"/>
    <xf numFmtId="0" fontId="3" fillId="15" borderId="0" xfId="0" applyFont="1" applyFill="1" applyAlignment="1">
      <alignment horizontal="left"/>
    </xf>
    <xf numFmtId="0" fontId="3" fillId="15" borderId="0" xfId="0" applyFont="1" applyFill="1" applyAlignment="1">
      <alignment horizontal="center"/>
    </xf>
    <xf numFmtId="3" fontId="3" fillId="15" borderId="0" xfId="0" applyNumberFormat="1" applyFont="1" applyFill="1" applyAlignment="1">
      <alignment horizontal="right"/>
    </xf>
    <xf numFmtId="0" fontId="3" fillId="15" borderId="0" xfId="0" applyFont="1" applyFill="1" applyAlignment="1">
      <alignment horizontal="right"/>
    </xf>
    <xf numFmtId="0" fontId="3" fillId="0" borderId="17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9" fontId="3" fillId="0" borderId="17" xfId="0" applyNumberFormat="1" applyFont="1" applyBorder="1" applyAlignment="1">
      <alignment horizontal="right"/>
    </xf>
    <xf numFmtId="184" fontId="3" fillId="0" borderId="17" xfId="1" applyNumberFormat="1" applyFont="1" applyBorder="1" applyAlignment="1">
      <alignment horizontal="right"/>
    </xf>
    <xf numFmtId="184" fontId="3" fillId="0" borderId="17" xfId="0" applyNumberFormat="1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17" fillId="0" borderId="0" xfId="0" applyFont="1" applyBorder="1"/>
    <xf numFmtId="1" fontId="6" fillId="6" borderId="17" xfId="0" applyNumberFormat="1" applyFont="1" applyFill="1" applyBorder="1"/>
    <xf numFmtId="184" fontId="0" fillId="0" borderId="17" xfId="0" applyNumberFormat="1" applyBorder="1"/>
    <xf numFmtId="184" fontId="0" fillId="6" borderId="17" xfId="0" applyNumberFormat="1" applyFill="1" applyBorder="1"/>
    <xf numFmtId="0" fontId="17" fillId="0" borderId="17" xfId="0" applyFont="1" applyBorder="1" applyAlignment="1">
      <alignment wrapText="1"/>
    </xf>
    <xf numFmtId="164" fontId="0" fillId="4" borderId="0" xfId="0" applyNumberFormat="1" applyFill="1"/>
    <xf numFmtId="164" fontId="0" fillId="0" borderId="0" xfId="0" applyNumberFormat="1"/>
    <xf numFmtId="183" fontId="0" fillId="0" borderId="34" xfId="0" applyNumberFormat="1" applyFill="1" applyBorder="1"/>
    <xf numFmtId="168" fontId="0" fillId="0" borderId="0" xfId="1" applyFont="1"/>
    <xf numFmtId="0" fontId="17" fillId="6" borderId="0" xfId="0" applyFont="1" applyFill="1"/>
    <xf numFmtId="1" fontId="0" fillId="6" borderId="17" xfId="0" applyNumberFormat="1" applyFill="1" applyBorder="1"/>
    <xf numFmtId="185" fontId="0" fillId="0" borderId="17" xfId="0" applyNumberFormat="1" applyBorder="1"/>
    <xf numFmtId="43" fontId="0" fillId="0" borderId="0" xfId="0" applyNumberFormat="1"/>
    <xf numFmtId="181" fontId="24" fillId="5" borderId="17" xfId="1" applyNumberFormat="1" applyFont="1" applyFill="1" applyBorder="1"/>
    <xf numFmtId="0" fontId="0" fillId="0" borderId="17" xfId="0" applyBorder="1" applyAlignment="1">
      <alignment horizontal="right"/>
    </xf>
    <xf numFmtId="0" fontId="0" fillId="9" borderId="17" xfId="0" applyFill="1" applyBorder="1" applyAlignment="1">
      <alignment horizontal="center"/>
    </xf>
    <xf numFmtId="3" fontId="0" fillId="9" borderId="17" xfId="0" applyNumberFormat="1" applyFill="1" applyBorder="1"/>
    <xf numFmtId="0" fontId="17" fillId="0" borderId="17" xfId="0" applyFont="1" applyBorder="1" applyAlignment="1">
      <alignment vertical="justify"/>
    </xf>
    <xf numFmtId="176" fontId="16" fillId="0" borderId="17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7" fillId="0" borderId="45" xfId="0" applyFont="1" applyBorder="1"/>
    <xf numFmtId="0" fontId="17" fillId="0" borderId="13" xfId="0" applyFont="1" applyBorder="1"/>
    <xf numFmtId="3" fontId="0" fillId="12" borderId="17" xfId="0" applyNumberFormat="1" applyFill="1" applyBorder="1"/>
    <xf numFmtId="10" fontId="0" fillId="0" borderId="17" xfId="3" applyNumberFormat="1" applyFont="1" applyFill="1" applyBorder="1"/>
    <xf numFmtId="186" fontId="3" fillId="0" borderId="17" xfId="1" applyNumberFormat="1" applyFont="1" applyBorder="1" applyAlignment="1">
      <alignment horizontal="right"/>
    </xf>
    <xf numFmtId="3" fontId="17" fillId="0" borderId="0" xfId="0" applyNumberFormat="1" applyFont="1"/>
    <xf numFmtId="0" fontId="0" fillId="15" borderId="17" xfId="0" applyFill="1" applyBorder="1"/>
    <xf numFmtId="176" fontId="17" fillId="12" borderId="0" xfId="0" applyNumberFormat="1" applyFont="1" applyFill="1" applyAlignment="1">
      <alignment wrapText="1"/>
    </xf>
    <xf numFmtId="3" fontId="11" fillId="12" borderId="63" xfId="0" applyNumberFormat="1" applyFont="1" applyFill="1" applyBorder="1" applyAlignment="1"/>
    <xf numFmtId="3" fontId="11" fillId="12" borderId="64" xfId="0" applyNumberFormat="1" applyFont="1" applyFill="1" applyBorder="1" applyAlignment="1"/>
    <xf numFmtId="0" fontId="17" fillId="0" borderId="0" xfId="0" applyFont="1" applyFill="1" applyBorder="1"/>
    <xf numFmtId="181" fontId="0" fillId="16" borderId="0" xfId="0" applyNumberFormat="1" applyFill="1"/>
    <xf numFmtId="3" fontId="0" fillId="10" borderId="17" xfId="0" applyNumberFormat="1" applyFill="1" applyBorder="1"/>
    <xf numFmtId="0" fontId="0" fillId="10" borderId="34" xfId="0" applyFont="1" applyFill="1" applyBorder="1"/>
    <xf numFmtId="184" fontId="23" fillId="9" borderId="17" xfId="1" applyNumberFormat="1" applyFont="1" applyFill="1" applyBorder="1"/>
    <xf numFmtId="164" fontId="0" fillId="9" borderId="17" xfId="0" applyNumberFormat="1" applyFill="1" applyBorder="1"/>
    <xf numFmtId="184" fontId="0" fillId="9" borderId="17" xfId="0" applyNumberFormat="1" applyFill="1" applyBorder="1"/>
    <xf numFmtId="10" fontId="23" fillId="12" borderId="17" xfId="3" applyNumberFormat="1" applyFont="1" applyFill="1" applyBorder="1"/>
    <xf numFmtId="3" fontId="0" fillId="17" borderId="0" xfId="0" applyNumberFormat="1" applyFill="1"/>
    <xf numFmtId="3" fontId="0" fillId="18" borderId="0" xfId="0" applyNumberFormat="1" applyFill="1"/>
    <xf numFmtId="0" fontId="0" fillId="13" borderId="0" xfId="0" applyFill="1" applyAlignment="1">
      <alignment horizontal="center"/>
    </xf>
    <xf numFmtId="0" fontId="0" fillId="13" borderId="0" xfId="0" applyFill="1"/>
    <xf numFmtId="164" fontId="0" fillId="13" borderId="0" xfId="0" applyNumberFormat="1" applyFill="1"/>
    <xf numFmtId="0" fontId="0" fillId="16" borderId="0" xfId="0" applyFill="1"/>
    <xf numFmtId="175" fontId="0" fillId="0" borderId="0" xfId="3" applyNumberFormat="1" applyFont="1"/>
    <xf numFmtId="0" fontId="0" fillId="19" borderId="0" xfId="0" applyFill="1"/>
    <xf numFmtId="168" fontId="0" fillId="0" borderId="0" xfId="0" applyNumberFormat="1"/>
    <xf numFmtId="1" fontId="0" fillId="0" borderId="0" xfId="0" applyNumberFormat="1"/>
    <xf numFmtId="9" fontId="23" fillId="16" borderId="0" xfId="3" applyFont="1" applyFill="1"/>
    <xf numFmtId="164" fontId="0" fillId="0" borderId="0" xfId="0" applyNumberFormat="1" applyFill="1" applyBorder="1"/>
    <xf numFmtId="181" fontId="3" fillId="0" borderId="0" xfId="0" applyNumberFormat="1" applyFont="1" applyAlignment="1">
      <alignment horizontal="center"/>
    </xf>
    <xf numFmtId="1" fontId="0" fillId="11" borderId="17" xfId="0" applyNumberFormat="1" applyFill="1" applyBorder="1"/>
    <xf numFmtId="181" fontId="23" fillId="11" borderId="17" xfId="1" applyNumberFormat="1" applyFont="1" applyFill="1" applyBorder="1"/>
    <xf numFmtId="181" fontId="0" fillId="11" borderId="17" xfId="0" applyNumberFormat="1" applyFill="1" applyBorder="1"/>
    <xf numFmtId="2" fontId="0" fillId="11" borderId="17" xfId="0" applyNumberFormat="1" applyFill="1" applyBorder="1"/>
    <xf numFmtId="181" fontId="17" fillId="0" borderId="17" xfId="0" applyNumberFormat="1" applyFont="1" applyBorder="1"/>
    <xf numFmtId="1" fontId="0" fillId="7" borderId="17" xfId="0" applyNumberFormat="1" applyFill="1" applyBorder="1"/>
    <xf numFmtId="176" fontId="17" fillId="0" borderId="0" xfId="0" applyNumberFormat="1" applyFont="1"/>
    <xf numFmtId="177" fontId="0" fillId="0" borderId="0" xfId="0" applyNumberFormat="1"/>
    <xf numFmtId="184" fontId="0" fillId="4" borderId="0" xfId="0" applyNumberFormat="1" applyFill="1"/>
    <xf numFmtId="3" fontId="0" fillId="9" borderId="17" xfId="0" applyNumberForma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3" fontId="0" fillId="9" borderId="0" xfId="0" applyNumberFormat="1" applyFill="1" applyAlignment="1">
      <alignment vertical="center"/>
    </xf>
    <xf numFmtId="0" fontId="25" fillId="20" borderId="17" xfId="0" applyFont="1" applyFill="1" applyBorder="1"/>
    <xf numFmtId="3" fontId="25" fillId="20" borderId="17" xfId="0" applyNumberFormat="1" applyFont="1" applyFill="1" applyBorder="1"/>
    <xf numFmtId="168" fontId="25" fillId="20" borderId="17" xfId="1" applyFont="1" applyFill="1" applyBorder="1"/>
    <xf numFmtId="0" fontId="25" fillId="20" borderId="51" xfId="0" applyFont="1" applyFill="1" applyBorder="1"/>
    <xf numFmtId="3" fontId="25" fillId="20" borderId="52" xfId="0" applyNumberFormat="1" applyFont="1" applyFill="1" applyBorder="1"/>
    <xf numFmtId="0" fontId="24" fillId="0" borderId="17" xfId="0" applyFont="1" applyBorder="1"/>
    <xf numFmtId="0" fontId="17" fillId="0" borderId="53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Continuous" vertical="center"/>
    </xf>
    <xf numFmtId="3" fontId="17" fillId="0" borderId="53" xfId="0" applyNumberFormat="1" applyFont="1" applyBorder="1" applyAlignment="1">
      <alignment horizontal="center" vertical="center"/>
    </xf>
    <xf numFmtId="3" fontId="17" fillId="0" borderId="55" xfId="0" applyNumberFormat="1" applyFont="1" applyBorder="1" applyAlignment="1">
      <alignment horizontal="center" vertical="center"/>
    </xf>
    <xf numFmtId="0" fontId="0" fillId="21" borderId="6" xfId="0" applyFill="1" applyBorder="1" applyAlignment="1">
      <alignment horizontal="center"/>
    </xf>
    <xf numFmtId="0" fontId="0" fillId="21" borderId="17" xfId="0" applyFill="1" applyBorder="1"/>
    <xf numFmtId="3" fontId="0" fillId="21" borderId="22" xfId="0" applyNumberFormat="1" applyFill="1" applyBorder="1"/>
    <xf numFmtId="3" fontId="0" fillId="21" borderId="17" xfId="0" applyNumberFormat="1" applyFill="1" applyBorder="1"/>
    <xf numFmtId="3" fontId="0" fillId="21" borderId="20" xfId="0" applyNumberFormat="1" applyFill="1" applyBorder="1"/>
    <xf numFmtId="3" fontId="0" fillId="21" borderId="7" xfId="0" applyNumberFormat="1" applyFill="1" applyBorder="1"/>
    <xf numFmtId="10" fontId="6" fillId="0" borderId="17" xfId="0" applyNumberFormat="1" applyFont="1" applyBorder="1"/>
    <xf numFmtId="0" fontId="0" fillId="0" borderId="0" xfId="0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84" fontId="22" fillId="0" borderId="17" xfId="1" applyNumberFormat="1" applyFont="1" applyFill="1" applyBorder="1"/>
    <xf numFmtId="184" fontId="22" fillId="0" borderId="0" xfId="1" applyNumberFormat="1" applyFont="1" applyFill="1"/>
    <xf numFmtId="0" fontId="6" fillId="12" borderId="49" xfId="0" applyFont="1" applyFill="1" applyBorder="1"/>
    <xf numFmtId="0" fontId="6" fillId="0" borderId="48" xfId="0" applyFont="1" applyBorder="1"/>
    <xf numFmtId="0" fontId="6" fillId="0" borderId="66" xfId="0" applyFont="1" applyBorder="1"/>
    <xf numFmtId="0" fontId="6" fillId="0" borderId="67" xfId="0" applyFont="1" applyBorder="1"/>
    <xf numFmtId="4" fontId="6" fillId="0" borderId="17" xfId="0" applyNumberFormat="1" applyFont="1" applyBorder="1"/>
    <xf numFmtId="0" fontId="1" fillId="0" borderId="17" xfId="0" applyFont="1" applyBorder="1"/>
    <xf numFmtId="0" fontId="3" fillId="0" borderId="17" xfId="0" applyFont="1" applyBorder="1" applyAlignment="1">
      <alignment horizontal="center" vertical="center" wrapText="1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36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59" xfId="0" applyNumberFormat="1" applyFont="1" applyFill="1" applyBorder="1" applyAlignment="1">
      <alignment horizontal="center" vertical="center"/>
    </xf>
    <xf numFmtId="3" fontId="4" fillId="0" borderId="60" xfId="0" applyNumberFormat="1" applyFont="1" applyFill="1" applyBorder="1" applyAlignment="1">
      <alignment horizontal="center" vertical="center"/>
    </xf>
    <xf numFmtId="3" fontId="4" fillId="0" borderId="61" xfId="0" applyNumberFormat="1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3" fontId="4" fillId="0" borderId="43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left" vertical="top"/>
    </xf>
    <xf numFmtId="187" fontId="0" fillId="0" borderId="68" xfId="0" applyNumberFormat="1" applyBorder="1"/>
    <xf numFmtId="187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174" fontId="0" fillId="0" borderId="17" xfId="0" applyNumberFormat="1" applyBorder="1"/>
    <xf numFmtId="174" fontId="6" fillId="22" borderId="17" xfId="0" applyNumberFormat="1" applyFont="1" applyFill="1" applyBorder="1" applyAlignment="1">
      <alignment horizontal="center"/>
    </xf>
    <xf numFmtId="0" fontId="25" fillId="20" borderId="17" xfId="0" applyFont="1" applyFill="1" applyBorder="1" applyAlignment="1">
      <alignment horizontal="center" vertical="center" wrapText="1"/>
    </xf>
    <xf numFmtId="0" fontId="25" fillId="20" borderId="17" xfId="0" applyFont="1" applyFill="1" applyBorder="1" applyAlignment="1">
      <alignment horizontal="center" vertical="center"/>
    </xf>
    <xf numFmtId="181" fontId="23" fillId="0" borderId="17" xfId="1" applyNumberFormat="1" applyFont="1" applyFill="1" applyBorder="1"/>
    <xf numFmtId="43" fontId="0" fillId="0" borderId="17" xfId="0" applyNumberFormat="1" applyFill="1" applyBorder="1"/>
    <xf numFmtId="188" fontId="0" fillId="0" borderId="17" xfId="0" applyNumberFormat="1" applyFill="1" applyBorder="1"/>
    <xf numFmtId="0" fontId="0" fillId="23" borderId="0" xfId="0" applyFill="1"/>
    <xf numFmtId="184" fontId="0" fillId="0" borderId="0" xfId="0" applyNumberFormat="1"/>
    <xf numFmtId="0" fontId="25" fillId="20" borderId="0" xfId="0" applyFont="1" applyFill="1" applyAlignment="1">
      <alignment horizontal="center" vertical="center"/>
    </xf>
    <xf numFmtId="0" fontId="0" fillId="24" borderId="0" xfId="0" applyFill="1"/>
    <xf numFmtId="172" fontId="0" fillId="0" borderId="17" xfId="0" applyNumberFormat="1" applyBorder="1" applyAlignment="1">
      <alignment horizontal="center" vertical="center"/>
    </xf>
    <xf numFmtId="189" fontId="0" fillId="0" borderId="17" xfId="0" applyNumberFormat="1" applyBorder="1" applyAlignment="1">
      <alignment horizontal="center" vertical="center"/>
    </xf>
    <xf numFmtId="172" fontId="0" fillId="0" borderId="17" xfId="0" applyNumberFormat="1" applyFill="1" applyBorder="1" applyAlignment="1">
      <alignment horizontal="center" vertical="center"/>
    </xf>
    <xf numFmtId="189" fontId="0" fillId="0" borderId="17" xfId="0" applyNumberForma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10" fontId="6" fillId="6" borderId="17" xfId="3" applyNumberFormat="1" applyFont="1" applyFill="1" applyBorder="1" applyAlignment="1">
      <alignment vertical="center"/>
    </xf>
    <xf numFmtId="0" fontId="6" fillId="0" borderId="0" xfId="0" applyFont="1" applyAlignment="1">
      <alignment horizontal="centerContinuous"/>
    </xf>
    <xf numFmtId="9" fontId="0" fillId="15" borderId="17" xfId="0" applyNumberFormat="1" applyFill="1" applyBorder="1" applyAlignment="1">
      <alignment horizontal="center" vertical="center"/>
    </xf>
    <xf numFmtId="0" fontId="11" fillId="15" borderId="17" xfId="0" applyFont="1" applyFill="1" applyBorder="1" applyAlignment="1">
      <alignment horizontal="center" vertical="center" wrapText="1"/>
    </xf>
    <xf numFmtId="0" fontId="0" fillId="15" borderId="17" xfId="0" applyFill="1" applyBorder="1" applyAlignment="1">
      <alignment horizontal="center" vertical="center"/>
    </xf>
    <xf numFmtId="9" fontId="25" fillId="20" borderId="17" xfId="0" applyNumberFormat="1" applyFont="1" applyFill="1" applyBorder="1"/>
    <xf numFmtId="0" fontId="6" fillId="14" borderId="17" xfId="0" applyFont="1" applyFill="1" applyBorder="1"/>
    <xf numFmtId="10" fontId="6" fillId="14" borderId="17" xfId="0" applyNumberFormat="1" applyFont="1" applyFill="1" applyBorder="1"/>
    <xf numFmtId="0" fontId="6" fillId="22" borderId="17" xfId="0" applyFont="1" applyFill="1" applyBorder="1"/>
    <xf numFmtId="0" fontId="11" fillId="23" borderId="17" xfId="0" applyFont="1" applyFill="1" applyBorder="1"/>
    <xf numFmtId="10" fontId="11" fillId="23" borderId="17" xfId="0" applyNumberFormat="1" applyFont="1" applyFill="1" applyBorder="1"/>
    <xf numFmtId="9" fontId="11" fillId="23" borderId="17" xfId="0" applyNumberFormat="1" applyFont="1" applyFill="1" applyBorder="1"/>
    <xf numFmtId="0" fontId="11" fillId="0" borderId="17" xfId="0" applyFont="1" applyBorder="1"/>
    <xf numFmtId="0" fontId="6" fillId="0" borderId="0" xfId="0" applyFont="1" applyAlignment="1">
      <alignment horizontal="center"/>
    </xf>
    <xf numFmtId="0" fontId="27" fillId="0" borderId="0" xfId="0" applyFont="1"/>
    <xf numFmtId="0" fontId="0" fillId="0" borderId="0" xfId="0" applyAlignment="1">
      <alignment horizontal="center"/>
    </xf>
    <xf numFmtId="0" fontId="7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0" fillId="0" borderId="0" xfId="0" applyFill="1" applyAlignment="1">
      <alignment horizontal="centerContinuous"/>
    </xf>
    <xf numFmtId="0" fontId="13" fillId="0" borderId="0" xfId="0" applyFont="1" applyFill="1" applyAlignment="1">
      <alignment horizontal="centerContinuous"/>
    </xf>
    <xf numFmtId="0" fontId="16" fillId="0" borderId="17" xfId="0" applyFont="1" applyFill="1" applyBorder="1"/>
    <xf numFmtId="0" fontId="16" fillId="0" borderId="0" xfId="0" applyFont="1" applyFill="1"/>
    <xf numFmtId="0" fontId="7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left"/>
    </xf>
    <xf numFmtId="0" fontId="12" fillId="0" borderId="17" xfId="0" applyFont="1" applyFill="1" applyBorder="1"/>
    <xf numFmtId="0" fontId="1" fillId="0" borderId="17" xfId="0" applyFont="1" applyFill="1" applyBorder="1"/>
    <xf numFmtId="0" fontId="12" fillId="0" borderId="0" xfId="0" applyFont="1" applyFill="1"/>
    <xf numFmtId="0" fontId="0" fillId="0" borderId="0" xfId="0" applyFill="1" applyAlignment="1">
      <alignment horizontal="center"/>
    </xf>
    <xf numFmtId="0" fontId="17" fillId="0" borderId="0" xfId="0" applyFont="1" applyFill="1"/>
    <xf numFmtId="177" fontId="6" fillId="0" borderId="17" xfId="0" applyNumberFormat="1" applyFont="1" applyFill="1" applyBorder="1"/>
    <xf numFmtId="176" fontId="6" fillId="0" borderId="17" xfId="0" applyNumberFormat="1" applyFont="1" applyBorder="1"/>
    <xf numFmtId="0" fontId="9" fillId="0" borderId="0" xfId="0" applyFont="1" applyFill="1" applyAlignment="1">
      <alignment horizontal="centerContinuous"/>
    </xf>
    <xf numFmtId="176" fontId="28" fillId="0" borderId="17" xfId="0" applyNumberFormat="1" applyFont="1" applyBorder="1"/>
    <xf numFmtId="176" fontId="11" fillId="0" borderId="17" xfId="0" applyNumberFormat="1" applyFont="1" applyBorder="1"/>
    <xf numFmtId="3" fontId="0" fillId="0" borderId="17" xfId="0" applyNumberFormat="1" applyFill="1" applyBorder="1"/>
    <xf numFmtId="3" fontId="0" fillId="0" borderId="17" xfId="0" applyNumberFormat="1" applyFill="1" applyBorder="1" applyAlignment="1">
      <alignment vertical="center"/>
    </xf>
    <xf numFmtId="0" fontId="6" fillId="25" borderId="17" xfId="0" applyFont="1" applyFill="1" applyBorder="1"/>
    <xf numFmtId="0" fontId="0" fillId="25" borderId="17" xfId="0" applyFill="1" applyBorder="1"/>
    <xf numFmtId="3" fontId="6" fillId="25" borderId="17" xfId="0" applyNumberFormat="1" applyFont="1" applyFill="1" applyBorder="1"/>
    <xf numFmtId="3" fontId="0" fillId="25" borderId="17" xfId="0" applyNumberFormat="1" applyFill="1" applyBorder="1" applyAlignment="1">
      <alignment horizontal="right"/>
    </xf>
    <xf numFmtId="3" fontId="0" fillId="25" borderId="17" xfId="0" applyNumberFormat="1" applyFill="1" applyBorder="1"/>
    <xf numFmtId="179" fontId="1" fillId="25" borderId="17" xfId="0" applyNumberFormat="1" applyFont="1" applyFill="1" applyBorder="1"/>
    <xf numFmtId="0" fontId="11" fillId="25" borderId="17" xfId="0" applyFont="1" applyFill="1" applyBorder="1"/>
    <xf numFmtId="176" fontId="0" fillId="0" borderId="17" xfId="0" applyNumberFormat="1" applyFill="1" applyBorder="1"/>
    <xf numFmtId="0" fontId="16" fillId="25" borderId="17" xfId="0" applyFont="1" applyFill="1" applyBorder="1"/>
    <xf numFmtId="3" fontId="1" fillId="0" borderId="17" xfId="0" applyNumberFormat="1" applyFont="1" applyBorder="1"/>
    <xf numFmtId="0" fontId="6" fillId="25" borderId="17" xfId="0" applyFont="1" applyFill="1" applyBorder="1" applyAlignment="1">
      <alignment horizontal="center"/>
    </xf>
    <xf numFmtId="3" fontId="6" fillId="25" borderId="17" xfId="0" applyNumberFormat="1" applyFont="1" applyFill="1" applyBorder="1" applyAlignment="1">
      <alignment horizontal="center"/>
    </xf>
    <xf numFmtId="0" fontId="4" fillId="3" borderId="65" xfId="0" applyFont="1" applyFill="1" applyBorder="1" applyAlignment="1">
      <alignment horizontal="center"/>
    </xf>
    <xf numFmtId="0" fontId="4" fillId="3" borderId="55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5" fillId="2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68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6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0" fillId="22" borderId="0" xfId="0" applyFill="1"/>
    <xf numFmtId="176" fontId="0" fillId="22" borderId="0" xfId="0" applyNumberFormat="1" applyFill="1"/>
    <xf numFmtId="168" fontId="6" fillId="0" borderId="17" xfId="1" applyFont="1" applyBorder="1"/>
    <xf numFmtId="176" fontId="1" fillId="0" borderId="17" xfId="0" applyNumberFormat="1" applyFont="1" applyBorder="1"/>
    <xf numFmtId="176" fontId="1" fillId="0" borderId="0" xfId="0" applyNumberFormat="1" applyFont="1"/>
    <xf numFmtId="176" fontId="6" fillId="0" borderId="0" xfId="0" applyNumberFormat="1" applyFont="1"/>
    <xf numFmtId="176" fontId="0" fillId="25" borderId="17" xfId="0" applyNumberFormat="1" applyFill="1" applyBorder="1"/>
    <xf numFmtId="0" fontId="0" fillId="25" borderId="0" xfId="0" applyFill="1"/>
    <xf numFmtId="0" fontId="6" fillId="0" borderId="0" xfId="0" applyFont="1" applyFill="1"/>
    <xf numFmtId="3" fontId="1" fillId="0" borderId="17" xfId="0" applyNumberFormat="1" applyFont="1" applyFill="1" applyBorder="1"/>
    <xf numFmtId="0" fontId="1" fillId="0" borderId="0" xfId="0" applyFont="1" applyFill="1"/>
    <xf numFmtId="176" fontId="1" fillId="0" borderId="17" xfId="0" applyNumberFormat="1" applyFont="1" applyFill="1" applyBorder="1"/>
    <xf numFmtId="10" fontId="0" fillId="0" borderId="62" xfId="0" applyNumberFormat="1" applyFill="1" applyBorder="1"/>
    <xf numFmtId="2" fontId="0" fillId="25" borderId="17" xfId="0" applyNumberFormat="1" applyFill="1" applyBorder="1"/>
    <xf numFmtId="4" fontId="0" fillId="25" borderId="17" xfId="0" applyNumberFormat="1" applyFill="1" applyBorder="1"/>
    <xf numFmtId="10" fontId="0" fillId="25" borderId="17" xfId="3" applyNumberFormat="1" applyFont="1" applyFill="1" applyBorder="1"/>
    <xf numFmtId="4" fontId="6" fillId="25" borderId="17" xfId="0" applyNumberFormat="1" applyFont="1" applyFill="1" applyBorder="1"/>
    <xf numFmtId="4" fontId="6" fillId="14" borderId="17" xfId="0" applyNumberFormat="1" applyFont="1" applyFill="1" applyBorder="1"/>
    <xf numFmtId="4" fontId="6" fillId="12" borderId="17" xfId="0" applyNumberFormat="1" applyFont="1" applyFill="1" applyBorder="1"/>
    <xf numFmtId="4" fontId="0" fillId="22" borderId="0" xfId="0" applyNumberFormat="1" applyFill="1"/>
    <xf numFmtId="0" fontId="17" fillId="25" borderId="0" xfId="0" applyFont="1" applyFill="1"/>
    <xf numFmtId="4" fontId="0" fillId="25" borderId="0" xfId="0" applyNumberFormat="1" applyFill="1"/>
    <xf numFmtId="4" fontId="6" fillId="22" borderId="17" xfId="0" applyNumberFormat="1" applyFont="1" applyFill="1" applyBorder="1"/>
    <xf numFmtId="10" fontId="22" fillId="12" borderId="17" xfId="3" applyNumberFormat="1" applyFont="1" applyFill="1" applyBorder="1" applyAlignment="1">
      <alignment horizontal="center"/>
    </xf>
    <xf numFmtId="10" fontId="0" fillId="0" borderId="17" xfId="3" applyNumberFormat="1" applyFont="1" applyBorder="1" applyAlignment="1">
      <alignment horizontal="center"/>
    </xf>
    <xf numFmtId="10" fontId="0" fillId="12" borderId="17" xfId="0" applyNumberFormat="1" applyFill="1" applyBorder="1" applyAlignment="1">
      <alignment horizontal="center"/>
    </xf>
    <xf numFmtId="10" fontId="0" fillId="0" borderId="17" xfId="0" applyNumberFormat="1" applyBorder="1" applyAlignment="1">
      <alignment horizontal="center"/>
    </xf>
    <xf numFmtId="0" fontId="6" fillId="25" borderId="0" xfId="0" applyFont="1" applyFill="1"/>
    <xf numFmtId="171" fontId="0" fillId="0" borderId="17" xfId="0" applyNumberFormat="1" applyBorder="1" applyAlignment="1">
      <alignment horizontal="center"/>
    </xf>
    <xf numFmtId="0" fontId="0" fillId="0" borderId="17" xfId="0" applyFill="1" applyBorder="1" applyAlignment="1">
      <alignment horizontal="center"/>
    </xf>
    <xf numFmtId="10" fontId="0" fillId="0" borderId="17" xfId="0" applyNumberFormat="1" applyFill="1" applyBorder="1" applyAlignment="1">
      <alignment horizontal="center"/>
    </xf>
    <xf numFmtId="0" fontId="11" fillId="25" borderId="17" xfId="0" applyFont="1" applyFill="1" applyBorder="1" applyAlignment="1">
      <alignment horizontal="center"/>
    </xf>
    <xf numFmtId="174" fontId="6" fillId="25" borderId="17" xfId="3" applyNumberFormat="1" applyFont="1" applyFill="1" applyBorder="1" applyAlignment="1">
      <alignment horizontal="center"/>
    </xf>
    <xf numFmtId="176" fontId="6" fillId="25" borderId="17" xfId="0" applyNumberFormat="1" applyFont="1" applyFill="1" applyBorder="1"/>
    <xf numFmtId="0" fontId="6" fillId="25" borderId="17" xfId="0" applyNumberFormat="1" applyFont="1" applyFill="1" applyBorder="1"/>
    <xf numFmtId="176" fontId="6" fillId="0" borderId="17" xfId="0" applyNumberFormat="1" applyFont="1" applyFill="1" applyBorder="1"/>
    <xf numFmtId="1" fontId="6" fillId="0" borderId="0" xfId="0" applyNumberFormat="1" applyFont="1" applyFill="1" applyBorder="1"/>
    <xf numFmtId="1" fontId="0" fillId="0" borderId="0" xfId="0" applyNumberFormat="1" applyFill="1"/>
    <xf numFmtId="1" fontId="0" fillId="26" borderId="0" xfId="0" applyNumberFormat="1" applyFill="1"/>
    <xf numFmtId="181" fontId="0" fillId="26" borderId="17" xfId="1" applyNumberFormat="1" applyFont="1" applyFill="1" applyBorder="1"/>
    <xf numFmtId="181" fontId="0" fillId="26" borderId="17" xfId="0" applyNumberFormat="1" applyFill="1" applyBorder="1"/>
    <xf numFmtId="43" fontId="0" fillId="26" borderId="17" xfId="0" applyNumberFormat="1" applyFill="1" applyBorder="1"/>
    <xf numFmtId="172" fontId="0" fillId="26" borderId="17" xfId="0" applyNumberFormat="1" applyFill="1" applyBorder="1" applyAlignment="1">
      <alignment horizontal="center" vertical="center"/>
    </xf>
    <xf numFmtId="189" fontId="0" fillId="26" borderId="17" xfId="0" applyNumberFormat="1" applyFill="1" applyBorder="1" applyAlignment="1">
      <alignment horizontal="center" vertical="center"/>
    </xf>
    <xf numFmtId="1" fontId="0" fillId="25" borderId="0" xfId="0" applyNumberFormat="1" applyFill="1"/>
    <xf numFmtId="181" fontId="23" fillId="25" borderId="17" xfId="1" applyNumberFormat="1" applyFont="1" applyFill="1" applyBorder="1"/>
    <xf numFmtId="181" fontId="0" fillId="25" borderId="17" xfId="0" applyNumberFormat="1" applyFill="1" applyBorder="1"/>
    <xf numFmtId="43" fontId="0" fillId="25" borderId="17" xfId="0" applyNumberFormat="1" applyFill="1" applyBorder="1"/>
    <xf numFmtId="172" fontId="0" fillId="25" borderId="17" xfId="0" applyNumberFormat="1" applyFill="1" applyBorder="1" applyAlignment="1">
      <alignment horizontal="center" vertical="center"/>
    </xf>
    <xf numFmtId="189" fontId="0" fillId="25" borderId="17" xfId="0" applyNumberFormat="1" applyFill="1" applyBorder="1" applyAlignment="1">
      <alignment horizontal="center" vertical="center"/>
    </xf>
    <xf numFmtId="181" fontId="0" fillId="25" borderId="17" xfId="1" applyNumberFormat="1" applyFont="1" applyFill="1" applyBorder="1"/>
  </cellXfs>
  <cellStyles count="6">
    <cellStyle name="Millares" xfId="1" builtinId="3"/>
    <cellStyle name="Millares 2" xfId="4" xr:uid="{24D19DD1-1CB7-4B5B-957C-E9161FD94CA7}"/>
    <cellStyle name="Moneda" xfId="2" builtinId="4"/>
    <cellStyle name="Normal" xfId="0" builtinId="0"/>
    <cellStyle name="Porcentaje" xfId="3" builtinId="5"/>
    <cellStyle name="Porcentaje 2" xfId="5" xr:uid="{092DE934-B644-4DC4-A805-0E65A5BDA1F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none" spc="2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1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ANÁLISIS OPERATIVO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none" spc="2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'10. GAO.GAF'!$B$28</c:f>
              <c:strCache>
                <c:ptCount val="1"/>
                <c:pt idx="0">
                  <c:v>VENTAS </c:v>
                </c:pt>
              </c:strCache>
            </c:strRef>
          </c:tx>
          <c:spPr>
            <a:ln w="9525" cap="flat" cmpd="sng" algn="ctr">
              <a:solidFill>
                <a:schemeClr val="accent1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'10. GAO.GAF'!$A$29:$A$45</c:f>
              <c:numCache>
                <c:formatCode>0</c:formatCode>
                <c:ptCount val="17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50</c:v>
                </c:pt>
                <c:pt idx="9">
                  <c:v>75</c:v>
                </c:pt>
                <c:pt idx="10">
                  <c:v>100</c:v>
                </c:pt>
                <c:pt idx="11">
                  <c:v>120</c:v>
                </c:pt>
                <c:pt idx="12">
                  <c:v>140</c:v>
                </c:pt>
                <c:pt idx="13">
                  <c:v>150</c:v>
                </c:pt>
                <c:pt idx="14">
                  <c:v>170</c:v>
                </c:pt>
                <c:pt idx="15">
                  <c:v>200</c:v>
                </c:pt>
                <c:pt idx="16">
                  <c:v>250</c:v>
                </c:pt>
              </c:numCache>
            </c:numRef>
          </c:xVal>
          <c:yVal>
            <c:numRef>
              <c:f>'10. GAO.GAF'!$B$29:$B$45</c:f>
              <c:numCache>
                <c:formatCode>_-* #,##0_-;\-* #,##0_-;_-* "-"??_-;_-@_-</c:formatCode>
                <c:ptCount val="17"/>
                <c:pt idx="0">
                  <c:v>0</c:v>
                </c:pt>
                <c:pt idx="1">
                  <c:v>13583471.612388624</c:v>
                </c:pt>
                <c:pt idx="2">
                  <c:v>67917358.061943114</c:v>
                </c:pt>
                <c:pt idx="3">
                  <c:v>135834716.12388623</c:v>
                </c:pt>
                <c:pt idx="4">
                  <c:v>203752074.18582937</c:v>
                </c:pt>
                <c:pt idx="5">
                  <c:v>271669432.24777246</c:v>
                </c:pt>
                <c:pt idx="6">
                  <c:v>339586790.30971557</c:v>
                </c:pt>
                <c:pt idx="7">
                  <c:v>407504148.37165874</c:v>
                </c:pt>
                <c:pt idx="8">
                  <c:v>679173580.61943114</c:v>
                </c:pt>
                <c:pt idx="9">
                  <c:v>1018760370.9291468</c:v>
                </c:pt>
                <c:pt idx="10">
                  <c:v>1358347161.2388623</c:v>
                </c:pt>
                <c:pt idx="11">
                  <c:v>1630016593.486635</c:v>
                </c:pt>
                <c:pt idx="12">
                  <c:v>1901686025.7344074</c:v>
                </c:pt>
                <c:pt idx="13">
                  <c:v>2037520741.8582935</c:v>
                </c:pt>
                <c:pt idx="14">
                  <c:v>2309190174.1060662</c:v>
                </c:pt>
                <c:pt idx="15">
                  <c:v>2716694322.4777246</c:v>
                </c:pt>
                <c:pt idx="16">
                  <c:v>3395867903.097156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F52-4324-9541-4C94B967FCB2}"/>
            </c:ext>
          </c:extLst>
        </c:ser>
        <c:ser>
          <c:idx val="1"/>
          <c:order val="1"/>
          <c:tx>
            <c:strRef>
              <c:f>'10. GAO.GAF'!$C$28</c:f>
              <c:strCache>
                <c:ptCount val="1"/>
                <c:pt idx="0">
                  <c:v>C.V. TOTALES</c:v>
                </c:pt>
              </c:strCache>
            </c:strRef>
          </c:tx>
          <c:spPr>
            <a:ln w="9525" cap="flat" cmpd="sng" algn="ctr">
              <a:solidFill>
                <a:schemeClr val="accent2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2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'10. GAO.GAF'!$A$29:$A$45</c:f>
              <c:numCache>
                <c:formatCode>0</c:formatCode>
                <c:ptCount val="17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50</c:v>
                </c:pt>
                <c:pt idx="9">
                  <c:v>75</c:v>
                </c:pt>
                <c:pt idx="10">
                  <c:v>100</c:v>
                </c:pt>
                <c:pt idx="11">
                  <c:v>120</c:v>
                </c:pt>
                <c:pt idx="12">
                  <c:v>140</c:v>
                </c:pt>
                <c:pt idx="13">
                  <c:v>150</c:v>
                </c:pt>
                <c:pt idx="14">
                  <c:v>170</c:v>
                </c:pt>
                <c:pt idx="15">
                  <c:v>200</c:v>
                </c:pt>
                <c:pt idx="16">
                  <c:v>250</c:v>
                </c:pt>
              </c:numCache>
            </c:numRef>
          </c:xVal>
          <c:yVal>
            <c:numRef>
              <c:f>'10. GAO.GAF'!$C$29:$C$45</c:f>
              <c:numCache>
                <c:formatCode>_-* #,##0_-;\-* #,##0_-;_-* "-"??_-;_-@_-</c:formatCode>
                <c:ptCount val="17"/>
                <c:pt idx="0">
                  <c:v>0</c:v>
                </c:pt>
                <c:pt idx="1">
                  <c:v>8909196.679128116</c:v>
                </c:pt>
                <c:pt idx="2">
                  <c:v>44545983.395640582</c:v>
                </c:pt>
                <c:pt idx="3">
                  <c:v>89091966.791281164</c:v>
                </c:pt>
                <c:pt idx="4">
                  <c:v>133637950.18692175</c:v>
                </c:pt>
                <c:pt idx="5">
                  <c:v>178183933.58256233</c:v>
                </c:pt>
                <c:pt idx="6">
                  <c:v>222729916.97820291</c:v>
                </c:pt>
                <c:pt idx="7">
                  <c:v>267275900.37384349</c:v>
                </c:pt>
                <c:pt idx="8">
                  <c:v>445459833.95640582</c:v>
                </c:pt>
                <c:pt idx="9">
                  <c:v>668189750.9346087</c:v>
                </c:pt>
                <c:pt idx="10">
                  <c:v>890919667.91281164</c:v>
                </c:pt>
                <c:pt idx="11">
                  <c:v>1069103601.495374</c:v>
                </c:pt>
                <c:pt idx="12">
                  <c:v>1247287535.0779362</c:v>
                </c:pt>
                <c:pt idx="13">
                  <c:v>1336379501.8692174</c:v>
                </c:pt>
                <c:pt idx="14">
                  <c:v>1514563435.4517796</c:v>
                </c:pt>
                <c:pt idx="15">
                  <c:v>1781839335.8256233</c:v>
                </c:pt>
                <c:pt idx="16">
                  <c:v>2227299169.7820292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F52-4324-9541-4C94B967FCB2}"/>
            </c:ext>
          </c:extLst>
        </c:ser>
        <c:ser>
          <c:idx val="2"/>
          <c:order val="2"/>
          <c:tx>
            <c:strRef>
              <c:f>'10. GAO.GAF'!$D$28</c:f>
              <c:strCache>
                <c:ptCount val="1"/>
                <c:pt idx="0">
                  <c:v>C. FIJOS</c:v>
                </c:pt>
              </c:strCache>
            </c:strRef>
          </c:tx>
          <c:spPr>
            <a:ln w="9525" cap="flat" cmpd="sng" algn="ctr">
              <a:solidFill>
                <a:schemeClr val="accent3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3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'10. GAO.GAF'!$A$29:$A$45</c:f>
              <c:numCache>
                <c:formatCode>0</c:formatCode>
                <c:ptCount val="17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50</c:v>
                </c:pt>
                <c:pt idx="9">
                  <c:v>75</c:v>
                </c:pt>
                <c:pt idx="10">
                  <c:v>100</c:v>
                </c:pt>
                <c:pt idx="11">
                  <c:v>120</c:v>
                </c:pt>
                <c:pt idx="12">
                  <c:v>140</c:v>
                </c:pt>
                <c:pt idx="13">
                  <c:v>150</c:v>
                </c:pt>
                <c:pt idx="14">
                  <c:v>170</c:v>
                </c:pt>
                <c:pt idx="15">
                  <c:v>200</c:v>
                </c:pt>
                <c:pt idx="16">
                  <c:v>250</c:v>
                </c:pt>
              </c:numCache>
            </c:numRef>
          </c:xVal>
          <c:yVal>
            <c:numRef>
              <c:f>'10. GAO.GAF'!$D$29:$D$45</c:f>
              <c:numCache>
                <c:formatCode>_-* #,##0_-;\-* #,##0_-;_-* "-"??_-;_-@_-</c:formatCode>
                <c:ptCount val="17"/>
                <c:pt idx="0">
                  <c:v>95193965.28079389</c:v>
                </c:pt>
                <c:pt idx="1">
                  <c:v>95193965.28079389</c:v>
                </c:pt>
                <c:pt idx="2">
                  <c:v>95193965.28079389</c:v>
                </c:pt>
                <c:pt idx="3">
                  <c:v>95193965.28079389</c:v>
                </c:pt>
                <c:pt idx="4">
                  <c:v>95193965.28079389</c:v>
                </c:pt>
                <c:pt idx="5">
                  <c:v>95193965.28079389</c:v>
                </c:pt>
                <c:pt idx="6">
                  <c:v>95193965.28079389</c:v>
                </c:pt>
                <c:pt idx="7">
                  <c:v>95193965.28079389</c:v>
                </c:pt>
                <c:pt idx="8">
                  <c:v>95193965.28079389</c:v>
                </c:pt>
                <c:pt idx="9">
                  <c:v>95193965.28079389</c:v>
                </c:pt>
                <c:pt idx="10">
                  <c:v>95193965.28079389</c:v>
                </c:pt>
                <c:pt idx="11">
                  <c:v>95193965.28079389</c:v>
                </c:pt>
                <c:pt idx="12">
                  <c:v>95193965.28079389</c:v>
                </c:pt>
                <c:pt idx="13">
                  <c:v>95193965.28079389</c:v>
                </c:pt>
                <c:pt idx="14">
                  <c:v>95193965.28079389</c:v>
                </c:pt>
                <c:pt idx="15">
                  <c:v>95193965.28079389</c:v>
                </c:pt>
                <c:pt idx="16">
                  <c:v>95193965.28079389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F52-4324-9541-4C94B967FCB2}"/>
            </c:ext>
          </c:extLst>
        </c:ser>
        <c:ser>
          <c:idx val="3"/>
          <c:order val="3"/>
          <c:tx>
            <c:strRef>
              <c:f>'10. GAO.GAF'!$E$28</c:f>
              <c:strCache>
                <c:ptCount val="1"/>
                <c:pt idx="0">
                  <c:v>C. TOTALES</c:v>
                </c:pt>
              </c:strCache>
            </c:strRef>
          </c:tx>
          <c:spPr>
            <a:ln w="9525" cap="flat" cmpd="sng" algn="ctr">
              <a:solidFill>
                <a:schemeClr val="accent4">
                  <a:alpha val="7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4">
                    <a:shade val="95000"/>
                  </a:schemeClr>
                </a:solidFill>
                <a:round/>
              </a:ln>
              <a:effectLst/>
            </c:spPr>
          </c:marker>
          <c:xVal>
            <c:numRef>
              <c:f>'10. GAO.GAF'!$A$29:$A$45</c:f>
              <c:numCache>
                <c:formatCode>0</c:formatCode>
                <c:ptCount val="17"/>
                <c:pt idx="0">
                  <c:v>0</c:v>
                </c:pt>
                <c:pt idx="1">
                  <c:v>1</c:v>
                </c:pt>
                <c:pt idx="2">
                  <c:v>5</c:v>
                </c:pt>
                <c:pt idx="3">
                  <c:v>10</c:v>
                </c:pt>
                <c:pt idx="4">
                  <c:v>15</c:v>
                </c:pt>
                <c:pt idx="5">
                  <c:v>20</c:v>
                </c:pt>
                <c:pt idx="6">
                  <c:v>25</c:v>
                </c:pt>
                <c:pt idx="7">
                  <c:v>30</c:v>
                </c:pt>
                <c:pt idx="8">
                  <c:v>50</c:v>
                </c:pt>
                <c:pt idx="9">
                  <c:v>75</c:v>
                </c:pt>
                <c:pt idx="10">
                  <c:v>100</c:v>
                </c:pt>
                <c:pt idx="11">
                  <c:v>120</c:v>
                </c:pt>
                <c:pt idx="12">
                  <c:v>140</c:v>
                </c:pt>
                <c:pt idx="13">
                  <c:v>150</c:v>
                </c:pt>
                <c:pt idx="14">
                  <c:v>170</c:v>
                </c:pt>
                <c:pt idx="15">
                  <c:v>200</c:v>
                </c:pt>
                <c:pt idx="16">
                  <c:v>250</c:v>
                </c:pt>
              </c:numCache>
            </c:numRef>
          </c:xVal>
          <c:yVal>
            <c:numRef>
              <c:f>'10. GAO.GAF'!$E$29:$E$45</c:f>
              <c:numCache>
                <c:formatCode>_-* #,##0_-;\-* #,##0_-;_-* "-"??_-;_-@_-</c:formatCode>
                <c:ptCount val="17"/>
                <c:pt idx="0">
                  <c:v>95193965.28079389</c:v>
                </c:pt>
                <c:pt idx="1">
                  <c:v>104103161.959922</c:v>
                </c:pt>
                <c:pt idx="2">
                  <c:v>139739948.67643446</c:v>
                </c:pt>
                <c:pt idx="3">
                  <c:v>184285932.07207507</c:v>
                </c:pt>
                <c:pt idx="4">
                  <c:v>228831915.46771562</c:v>
                </c:pt>
                <c:pt idx="5">
                  <c:v>273377898.86335623</c:v>
                </c:pt>
                <c:pt idx="6">
                  <c:v>317923882.25899678</c:v>
                </c:pt>
                <c:pt idx="7">
                  <c:v>362469865.6546374</c:v>
                </c:pt>
                <c:pt idx="8">
                  <c:v>540653799.23719966</c:v>
                </c:pt>
                <c:pt idx="9">
                  <c:v>763383716.2154026</c:v>
                </c:pt>
                <c:pt idx="10">
                  <c:v>986113633.19360554</c:v>
                </c:pt>
                <c:pt idx="11">
                  <c:v>1164297566.7761679</c:v>
                </c:pt>
                <c:pt idx="12">
                  <c:v>1342481500.3587301</c:v>
                </c:pt>
                <c:pt idx="13">
                  <c:v>1431573467.1500113</c:v>
                </c:pt>
                <c:pt idx="14">
                  <c:v>1609757400.7325735</c:v>
                </c:pt>
                <c:pt idx="15">
                  <c:v>1877033301.1064172</c:v>
                </c:pt>
                <c:pt idx="16">
                  <c:v>2322493135.0628228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F52-4324-9541-4C94B967F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3554864"/>
        <c:axId val="1"/>
      </c:scatterChart>
      <c:valAx>
        <c:axId val="1813554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rnd">
            <a:solidFill>
              <a:schemeClr val="dk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813554864"/>
        <c:crosses val="autoZero"/>
        <c:crossBetween val="midCat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>
                <a:alpha val="0"/>
              </a:schemeClr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UPA acciones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'10. GAO.GAF'!$F$142:$F$158</c:f>
              <c:numCache>
                <c:formatCode>_-* #,##0_-;\-* #,##0_-;_-* "-"??_-;_-@_-</c:formatCode>
                <c:ptCount val="17"/>
                <c:pt idx="0">
                  <c:v>-95193965.28079389</c:v>
                </c:pt>
                <c:pt idx="1">
                  <c:v>605947274.70828223</c:v>
                </c:pt>
                <c:pt idx="2">
                  <c:v>839661021.37130737</c:v>
                </c:pt>
                <c:pt idx="3">
                  <c:v>1073374768.0343332</c:v>
                </c:pt>
                <c:pt idx="4">
                  <c:v>1307088514.6973586</c:v>
                </c:pt>
                <c:pt idx="5">
                  <c:v>1540802261.3603845</c:v>
                </c:pt>
                <c:pt idx="6">
                  <c:v>1774516008.0234089</c:v>
                </c:pt>
                <c:pt idx="7">
                  <c:v>2008229754.6864347</c:v>
                </c:pt>
                <c:pt idx="8">
                  <c:v>2709370994.6755104</c:v>
                </c:pt>
                <c:pt idx="9">
                  <c:v>0</c:v>
                </c:pt>
                <c:pt idx="10">
                  <c:v>7383645927.9360161</c:v>
                </c:pt>
                <c:pt idx="11">
                  <c:v>8318500914.5881195</c:v>
                </c:pt>
                <c:pt idx="12">
                  <c:v>9253355901.2402229</c:v>
                </c:pt>
                <c:pt idx="13">
                  <c:v>9300098650.5728302</c:v>
                </c:pt>
                <c:pt idx="14">
                  <c:v>10188210887.892326</c:v>
                </c:pt>
                <c:pt idx="15">
                  <c:v>11590493367.87048</c:v>
                </c:pt>
                <c:pt idx="16">
                  <c:v>18601905767.761238</c:v>
                </c:pt>
              </c:numCache>
            </c:numRef>
          </c:xVal>
          <c:yVal>
            <c:numRef>
              <c:f>'10. GAO.GAF'!$K$142:$K$158</c:f>
              <c:numCache>
                <c:formatCode>0.00</c:formatCode>
                <c:ptCount val="17"/>
                <c:pt idx="0">
                  <c:v>-3753.3620596427304</c:v>
                </c:pt>
                <c:pt idx="1">
                  <c:v>23891.635402783697</c:v>
                </c:pt>
                <c:pt idx="2">
                  <c:v>33106.634556925826</c:v>
                </c:pt>
                <c:pt idx="3">
                  <c:v>42321.633711067989</c:v>
                </c:pt>
                <c:pt idx="4">
                  <c:v>51536.632865210137</c:v>
                </c:pt>
                <c:pt idx="5">
                  <c:v>60751.632019352299</c:v>
                </c:pt>
                <c:pt idx="6">
                  <c:v>69966.631173494403</c:v>
                </c:pt>
                <c:pt idx="7">
                  <c:v>79181.630327636565</c:v>
                </c:pt>
                <c:pt idx="8">
                  <c:v>106826.62779006298</c:v>
                </c:pt>
                <c:pt idx="9">
                  <c:v>0</c:v>
                </c:pt>
                <c:pt idx="10">
                  <c:v>291126.61087290576</c:v>
                </c:pt>
                <c:pt idx="11">
                  <c:v>327986.60748947435</c:v>
                </c:pt>
                <c:pt idx="12">
                  <c:v>364846.604106043</c:v>
                </c:pt>
                <c:pt idx="13">
                  <c:v>366689.60393687157</c:v>
                </c:pt>
                <c:pt idx="14">
                  <c:v>401706.60072261165</c:v>
                </c:pt>
                <c:pt idx="15">
                  <c:v>456996.59564746456</c:v>
                </c:pt>
                <c:pt idx="16">
                  <c:v>733446.57027172868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D4-4EA2-9B72-AF40BD444FE2}"/>
            </c:ext>
          </c:extLst>
        </c:ser>
        <c:ser>
          <c:idx val="1"/>
          <c:order val="1"/>
          <c:tx>
            <c:v>UPA con deuda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'10. GAO.GAF'!$F$165:$F$181</c:f>
              <c:numCache>
                <c:formatCode>_-* #,##0_-;\-* #,##0_-;_-* "-"??_-;_-@_-</c:formatCode>
                <c:ptCount val="17"/>
                <c:pt idx="0">
                  <c:v>-95193965.28079389</c:v>
                </c:pt>
                <c:pt idx="1">
                  <c:v>605947274.70828223</c:v>
                </c:pt>
                <c:pt idx="2">
                  <c:v>839661021.37130737</c:v>
                </c:pt>
                <c:pt idx="3">
                  <c:v>1073374768.0343332</c:v>
                </c:pt>
                <c:pt idx="4">
                  <c:v>1307088514.6973586</c:v>
                </c:pt>
                <c:pt idx="5">
                  <c:v>1540802261.3603845</c:v>
                </c:pt>
                <c:pt idx="6">
                  <c:v>1774516008.0234089</c:v>
                </c:pt>
                <c:pt idx="7">
                  <c:v>2008229754.6864347</c:v>
                </c:pt>
                <c:pt idx="8">
                  <c:v>2709370994.6755104</c:v>
                </c:pt>
                <c:pt idx="9">
                  <c:v>0</c:v>
                </c:pt>
                <c:pt idx="10">
                  <c:v>7383645927.9360161</c:v>
                </c:pt>
                <c:pt idx="11">
                  <c:v>8318500914.5881195</c:v>
                </c:pt>
                <c:pt idx="12">
                  <c:v>9253355901.2402229</c:v>
                </c:pt>
                <c:pt idx="13">
                  <c:v>9300098650.5728302</c:v>
                </c:pt>
                <c:pt idx="14">
                  <c:v>10188210887.892326</c:v>
                </c:pt>
                <c:pt idx="15">
                  <c:v>11590493367.87048</c:v>
                </c:pt>
                <c:pt idx="16">
                  <c:v>18601905767.761238</c:v>
                </c:pt>
              </c:numCache>
            </c:numRef>
          </c:xVal>
          <c:yVal>
            <c:numRef>
              <c:f>'10. GAO.GAF'!$K$165:$K$181</c:f>
              <c:numCache>
                <c:formatCode>0.00</c:formatCode>
                <c:ptCount val="17"/>
                <c:pt idx="0">
                  <c:v>-6596.2643520529264</c:v>
                </c:pt>
                <c:pt idx="1">
                  <c:v>27701.074636580983</c:v>
                </c:pt>
                <c:pt idx="2">
                  <c:v>38451.906983080138</c:v>
                </c:pt>
                <c:pt idx="3">
                  <c:v>49202.73932957933</c:v>
                </c:pt>
                <c:pt idx="4">
                  <c:v>59953.571676078493</c:v>
                </c:pt>
                <c:pt idx="5">
                  <c:v>70704.404022577684</c:v>
                </c:pt>
                <c:pt idx="6">
                  <c:v>81455.236369076811</c:v>
                </c:pt>
                <c:pt idx="7">
                  <c:v>92206.068715575995</c:v>
                </c:pt>
                <c:pt idx="8">
                  <c:v>124458.56575507349</c:v>
                </c:pt>
                <c:pt idx="9">
                  <c:v>-250</c:v>
                </c:pt>
                <c:pt idx="10">
                  <c:v>339475.21268505673</c:v>
                </c:pt>
                <c:pt idx="11">
                  <c:v>382478.54207105353</c:v>
                </c:pt>
                <c:pt idx="12">
                  <c:v>425481.87145705026</c:v>
                </c:pt>
                <c:pt idx="13">
                  <c:v>427632.03792635014</c:v>
                </c:pt>
                <c:pt idx="14">
                  <c:v>468485.200843047</c:v>
                </c:pt>
                <c:pt idx="15">
                  <c:v>532990.19492204208</c:v>
                </c:pt>
                <c:pt idx="16">
                  <c:v>855515.165317017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4D4-4EA2-9B72-AF40BD444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6051632"/>
        <c:axId val="1"/>
      </c:scatterChart>
      <c:valAx>
        <c:axId val="1816051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O"/>
                  <a:t>UAII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CO"/>
                  <a:t>UPA</a:t>
                </a:r>
              </a:p>
            </c:rich>
          </c:tx>
          <c:layout>
            <c:manualLayout>
              <c:xMode val="edge"/>
              <c:yMode val="edge"/>
              <c:x val="2.1012389459855403E-2"/>
              <c:y val="0.32197005723298244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81605163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'10. GAO.GAF'!$F$142:$F$158</c:f>
              <c:numCache>
                <c:formatCode>_-* #,##0_-;\-* #,##0_-;_-* "-"??_-;_-@_-</c:formatCode>
                <c:ptCount val="17"/>
                <c:pt idx="0">
                  <c:v>-95193965.28079389</c:v>
                </c:pt>
                <c:pt idx="1">
                  <c:v>605947274.70828223</c:v>
                </c:pt>
                <c:pt idx="2">
                  <c:v>839661021.37130737</c:v>
                </c:pt>
                <c:pt idx="3">
                  <c:v>1073374768.0343332</c:v>
                </c:pt>
                <c:pt idx="4">
                  <c:v>1307088514.6973586</c:v>
                </c:pt>
                <c:pt idx="5">
                  <c:v>1540802261.3603845</c:v>
                </c:pt>
                <c:pt idx="6">
                  <c:v>1774516008.0234089</c:v>
                </c:pt>
                <c:pt idx="7">
                  <c:v>2008229754.6864347</c:v>
                </c:pt>
                <c:pt idx="8">
                  <c:v>2709370994.6755104</c:v>
                </c:pt>
                <c:pt idx="9">
                  <c:v>0</c:v>
                </c:pt>
                <c:pt idx="10">
                  <c:v>7383645927.9360161</c:v>
                </c:pt>
                <c:pt idx="11">
                  <c:v>8318500914.5881195</c:v>
                </c:pt>
                <c:pt idx="12">
                  <c:v>9253355901.2402229</c:v>
                </c:pt>
                <c:pt idx="13">
                  <c:v>9300098650.5728302</c:v>
                </c:pt>
                <c:pt idx="14">
                  <c:v>10188210887.892326</c:v>
                </c:pt>
                <c:pt idx="15">
                  <c:v>11590493367.87048</c:v>
                </c:pt>
                <c:pt idx="16">
                  <c:v>18601905767.761238</c:v>
                </c:pt>
              </c:numCache>
            </c:numRef>
          </c:xVal>
          <c:yVal>
            <c:numRef>
              <c:f>'10. GAO.GAF'!$K$142:$K$158</c:f>
              <c:numCache>
                <c:formatCode>0.00</c:formatCode>
                <c:ptCount val="17"/>
                <c:pt idx="0">
                  <c:v>-3753.3620596427304</c:v>
                </c:pt>
                <c:pt idx="1">
                  <c:v>23891.635402783697</c:v>
                </c:pt>
                <c:pt idx="2">
                  <c:v>33106.634556925826</c:v>
                </c:pt>
                <c:pt idx="3">
                  <c:v>42321.633711067989</c:v>
                </c:pt>
                <c:pt idx="4">
                  <c:v>51536.632865210137</c:v>
                </c:pt>
                <c:pt idx="5">
                  <c:v>60751.632019352299</c:v>
                </c:pt>
                <c:pt idx="6">
                  <c:v>69966.631173494403</c:v>
                </c:pt>
                <c:pt idx="7">
                  <c:v>79181.630327636565</c:v>
                </c:pt>
                <c:pt idx="8">
                  <c:v>106826.62779006298</c:v>
                </c:pt>
                <c:pt idx="9">
                  <c:v>0</c:v>
                </c:pt>
                <c:pt idx="10">
                  <c:v>291126.61087290576</c:v>
                </c:pt>
                <c:pt idx="11">
                  <c:v>327986.60748947435</c:v>
                </c:pt>
                <c:pt idx="12">
                  <c:v>364846.604106043</c:v>
                </c:pt>
                <c:pt idx="13">
                  <c:v>366689.60393687157</c:v>
                </c:pt>
                <c:pt idx="14">
                  <c:v>401706.60072261165</c:v>
                </c:pt>
                <c:pt idx="15">
                  <c:v>456996.59564746456</c:v>
                </c:pt>
                <c:pt idx="16">
                  <c:v>733446.57027172868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8A-489F-A9EC-7663446436DD}"/>
            </c:ext>
          </c:extLst>
        </c:ser>
        <c:ser>
          <c:idx val="1"/>
          <c:order val="1"/>
          <c:tx>
            <c:v>Financ deuda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'10. GAO.GAF'!$F$165:$F$181</c:f>
              <c:numCache>
                <c:formatCode>_-* #,##0_-;\-* #,##0_-;_-* "-"??_-;_-@_-</c:formatCode>
                <c:ptCount val="17"/>
                <c:pt idx="0">
                  <c:v>-95193965.28079389</c:v>
                </c:pt>
                <c:pt idx="1">
                  <c:v>605947274.70828223</c:v>
                </c:pt>
                <c:pt idx="2">
                  <c:v>839661021.37130737</c:v>
                </c:pt>
                <c:pt idx="3">
                  <c:v>1073374768.0343332</c:v>
                </c:pt>
                <c:pt idx="4">
                  <c:v>1307088514.6973586</c:v>
                </c:pt>
                <c:pt idx="5">
                  <c:v>1540802261.3603845</c:v>
                </c:pt>
                <c:pt idx="6">
                  <c:v>1774516008.0234089</c:v>
                </c:pt>
                <c:pt idx="7">
                  <c:v>2008229754.6864347</c:v>
                </c:pt>
                <c:pt idx="8">
                  <c:v>2709370994.6755104</c:v>
                </c:pt>
                <c:pt idx="9">
                  <c:v>0</c:v>
                </c:pt>
                <c:pt idx="10">
                  <c:v>7383645927.9360161</c:v>
                </c:pt>
                <c:pt idx="11">
                  <c:v>8318500914.5881195</c:v>
                </c:pt>
                <c:pt idx="12">
                  <c:v>9253355901.2402229</c:v>
                </c:pt>
                <c:pt idx="13">
                  <c:v>9300098650.5728302</c:v>
                </c:pt>
                <c:pt idx="14">
                  <c:v>10188210887.892326</c:v>
                </c:pt>
                <c:pt idx="15">
                  <c:v>11590493367.87048</c:v>
                </c:pt>
                <c:pt idx="16">
                  <c:v>18601905767.761238</c:v>
                </c:pt>
              </c:numCache>
            </c:numRef>
          </c:xVal>
          <c:yVal>
            <c:numRef>
              <c:f>'10. GAO.GAF'!$K$165:$K$181</c:f>
              <c:numCache>
                <c:formatCode>0.00</c:formatCode>
                <c:ptCount val="17"/>
                <c:pt idx="0">
                  <c:v>-6596.2643520529264</c:v>
                </c:pt>
                <c:pt idx="1">
                  <c:v>27701.074636580983</c:v>
                </c:pt>
                <c:pt idx="2">
                  <c:v>38451.906983080138</c:v>
                </c:pt>
                <c:pt idx="3">
                  <c:v>49202.73932957933</c:v>
                </c:pt>
                <c:pt idx="4">
                  <c:v>59953.571676078493</c:v>
                </c:pt>
                <c:pt idx="5">
                  <c:v>70704.404022577684</c:v>
                </c:pt>
                <c:pt idx="6">
                  <c:v>81455.236369076811</c:v>
                </c:pt>
                <c:pt idx="7">
                  <c:v>92206.068715575995</c:v>
                </c:pt>
                <c:pt idx="8">
                  <c:v>124458.56575507349</c:v>
                </c:pt>
                <c:pt idx="9">
                  <c:v>-250</c:v>
                </c:pt>
                <c:pt idx="10">
                  <c:v>339475.21268505673</c:v>
                </c:pt>
                <c:pt idx="11">
                  <c:v>382478.54207105353</c:v>
                </c:pt>
                <c:pt idx="12">
                  <c:v>425481.87145705026</c:v>
                </c:pt>
                <c:pt idx="13">
                  <c:v>427632.03792635014</c:v>
                </c:pt>
                <c:pt idx="14">
                  <c:v>468485.200843047</c:v>
                </c:pt>
                <c:pt idx="15">
                  <c:v>532990.19492204208</c:v>
                </c:pt>
                <c:pt idx="16">
                  <c:v>855515.165317017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8A-489F-A9EC-766344643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6051216"/>
        <c:axId val="1"/>
      </c:scatterChart>
      <c:valAx>
        <c:axId val="18160512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1605121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/>
    <cs:effectRef idx="1"/>
    <cs:fontRef idx="minor">
      <a:schemeClr val="dk1"/>
    </cs:fontRef>
    <cs:spPr>
      <a:ln w="9525" cap="flat" cmpd="sng" algn="ctr">
        <a:solidFill>
          <a:schemeClr val="phClr">
            <a:alpha val="70000"/>
          </a:schemeClr>
        </a:solidFill>
        <a:prstDash val="sysDot"/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rnd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0" baseline="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>
              <a:alpha val="0"/>
            </a:schemeClr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0000"/>
            <a:lumOff val="80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rnd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rnd">
        <a:solidFill>
          <a:schemeClr val="dk1">
            <a:lumMod val="25000"/>
            <a:lumOff val="75000"/>
          </a:schemeClr>
        </a:solidFill>
        <a:round/>
      </a:ln>
    </cs:spPr>
    <cs:defRPr sz="900" kern="1200" spc="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14</xdr:col>
      <xdr:colOff>685800</xdr:colOff>
      <xdr:row>56</xdr:row>
      <xdr:rowOff>142875</xdr:rowOff>
    </xdr:to>
    <xdr:pic>
      <xdr:nvPicPr>
        <xdr:cNvPr id="321873" name="Imagen 1">
          <a:extLst>
            <a:ext uri="{FF2B5EF4-FFF2-40B4-BE49-F238E27FC236}">
              <a16:creationId xmlns:a16="http://schemas.microsoft.com/office/drawing/2014/main" id="{A81A0050-CB2D-486A-A129-E8E1B7A43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638925"/>
          <a:ext cx="4572000" cy="257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409575</xdr:colOff>
      <xdr:row>57</xdr:row>
      <xdr:rowOff>114300</xdr:rowOff>
    </xdr:from>
    <xdr:to>
      <xdr:col>15</xdr:col>
      <xdr:colOff>180975</xdr:colOff>
      <xdr:row>78</xdr:row>
      <xdr:rowOff>104775</xdr:rowOff>
    </xdr:to>
    <xdr:pic>
      <xdr:nvPicPr>
        <xdr:cNvPr id="321874" name="Marcador de contenido 2">
          <a:extLst>
            <a:ext uri="{FF2B5EF4-FFF2-40B4-BE49-F238E27FC236}">
              <a16:creationId xmlns:a16="http://schemas.microsoft.com/office/drawing/2014/main" id="{DDA50EBB-1A4D-4FCC-BF09-5C74BF4D971B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9344025"/>
          <a:ext cx="518160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66675</xdr:rowOff>
    </xdr:from>
    <xdr:to>
      <xdr:col>14</xdr:col>
      <xdr:colOff>447677</xdr:colOff>
      <xdr:row>33</xdr:row>
      <xdr:rowOff>152401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3387F-AE04-4A20-9726-A6F94E70C9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180" t="11335" r="5058" b="7948"/>
        <a:stretch/>
      </xdr:blipFill>
      <xdr:spPr>
        <a:xfrm>
          <a:off x="581025" y="228600"/>
          <a:ext cx="10534652" cy="52673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47626</xdr:colOff>
      <xdr:row>3</xdr:row>
      <xdr:rowOff>0</xdr:rowOff>
    </xdr:from>
    <xdr:to>
      <xdr:col>17</xdr:col>
      <xdr:colOff>477331</xdr:colOff>
      <xdr:row>23</xdr:row>
      <xdr:rowOff>142874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9B3947-8973-42E9-AE28-C819ABF94E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372" t="17885" r="15408" b="5714"/>
        <a:stretch/>
      </xdr:blipFill>
      <xdr:spPr>
        <a:xfrm>
          <a:off x="8105776" y="485775"/>
          <a:ext cx="5763705" cy="3381374"/>
        </a:xfrm>
        <a:prstGeom prst="rect">
          <a:avLst/>
        </a:prstGeom>
      </xdr:spPr>
    </xdr:pic>
    <xdr:clientData/>
  </xdr:twoCellAnchor>
  <xdr:twoCellAnchor editAs="oneCell">
    <xdr:from>
      <xdr:col>2</xdr:col>
      <xdr:colOff>19681</xdr:colOff>
      <xdr:row>26</xdr:row>
      <xdr:rowOff>28575</xdr:rowOff>
    </xdr:from>
    <xdr:to>
      <xdr:col>6</xdr:col>
      <xdr:colOff>180975</xdr:colOff>
      <xdr:row>49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DB903A-DBB6-4F97-8BAB-1876417973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155" t="23571" r="50872" b="9624"/>
        <a:stretch/>
      </xdr:blipFill>
      <xdr:spPr>
        <a:xfrm>
          <a:off x="1543681" y="4238625"/>
          <a:ext cx="3647444" cy="3705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622486</xdr:colOff>
      <xdr:row>56</xdr:row>
      <xdr:rowOff>21852</xdr:rowOff>
    </xdr:from>
    <xdr:to>
      <xdr:col>13</xdr:col>
      <xdr:colOff>405652</xdr:colOff>
      <xdr:row>78</xdr:row>
      <xdr:rowOff>2802</xdr:rowOff>
    </xdr:to>
    <xdr:graphicFrame macro="">
      <xdr:nvGraphicFramePr>
        <xdr:cNvPr id="12633" name="Gráfico 1">
          <a:extLst>
            <a:ext uri="{FF2B5EF4-FFF2-40B4-BE49-F238E27FC236}">
              <a16:creationId xmlns:a16="http://schemas.microsoft.com/office/drawing/2014/main" id="{9015FBD3-332A-4AD4-A630-774EA83E74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104775</xdr:colOff>
      <xdr:row>187</xdr:row>
      <xdr:rowOff>133350</xdr:rowOff>
    </xdr:from>
    <xdr:to>
      <xdr:col>23</xdr:col>
      <xdr:colOff>152400</xdr:colOff>
      <xdr:row>226</xdr:row>
      <xdr:rowOff>95250</xdr:rowOff>
    </xdr:to>
    <xdr:graphicFrame macro="">
      <xdr:nvGraphicFramePr>
        <xdr:cNvPr id="12634" name="Gráfico 2">
          <a:extLst>
            <a:ext uri="{FF2B5EF4-FFF2-40B4-BE49-F238E27FC236}">
              <a16:creationId xmlns:a16="http://schemas.microsoft.com/office/drawing/2014/main" id="{2B4D70D8-8738-4BA1-B2F9-69AC55A09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66675</xdr:colOff>
      <xdr:row>144</xdr:row>
      <xdr:rowOff>19050</xdr:rowOff>
    </xdr:from>
    <xdr:to>
      <xdr:col>17</xdr:col>
      <xdr:colOff>333375</xdr:colOff>
      <xdr:row>161</xdr:row>
      <xdr:rowOff>9525</xdr:rowOff>
    </xdr:to>
    <xdr:graphicFrame macro="">
      <xdr:nvGraphicFramePr>
        <xdr:cNvPr id="12635" name="Gráfico 1">
          <a:extLst>
            <a:ext uri="{FF2B5EF4-FFF2-40B4-BE49-F238E27FC236}">
              <a16:creationId xmlns:a16="http://schemas.microsoft.com/office/drawing/2014/main" id="{9C1B4425-20B9-46A6-A901-21DF1E415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M105"/>
  <sheetViews>
    <sheetView topLeftCell="A38" zoomScale="80" zoomScaleNormal="80" workbookViewId="0">
      <selection activeCell="F44" sqref="F44"/>
    </sheetView>
  </sheetViews>
  <sheetFormatPr baseColWidth="10" defaultRowHeight="15" x14ac:dyDescent="0.2"/>
  <cols>
    <col min="1" max="1" width="38.85546875" style="2" customWidth="1"/>
    <col min="2" max="2" width="12.42578125" style="2" customWidth="1"/>
    <col min="3" max="3" width="17.7109375" style="2" customWidth="1"/>
    <col min="4" max="4" width="17.85546875" style="2" customWidth="1"/>
    <col min="5" max="5" width="13.140625" customWidth="1"/>
    <col min="6" max="6" width="14.42578125" customWidth="1"/>
    <col min="7" max="7" width="13.85546875" customWidth="1"/>
    <col min="8" max="8" width="14.42578125" customWidth="1"/>
    <col min="9" max="9" width="15.28515625" customWidth="1"/>
    <col min="11" max="11" width="14.85546875" bestFit="1" customWidth="1"/>
  </cols>
  <sheetData>
    <row r="1" spans="1:11" ht="15.75" x14ac:dyDescent="0.25">
      <c r="A1" s="93"/>
      <c r="B1" s="32" t="s">
        <v>556</v>
      </c>
      <c r="C1" s="32"/>
      <c r="D1" s="32"/>
      <c r="E1" s="36"/>
      <c r="F1" s="36"/>
      <c r="G1" s="36"/>
      <c r="H1" s="36"/>
      <c r="I1" s="36"/>
    </row>
    <row r="2" spans="1:11" x14ac:dyDescent="0.2">
      <c r="A2" s="32" t="s">
        <v>2</v>
      </c>
      <c r="B2" s="32"/>
      <c r="C2" s="32"/>
      <c r="D2" s="32"/>
      <c r="E2" s="36"/>
      <c r="F2" s="36"/>
      <c r="G2" s="36"/>
      <c r="H2" s="36"/>
      <c r="I2" s="36"/>
    </row>
    <row r="3" spans="1:11" x14ac:dyDescent="0.2">
      <c r="A3" s="32" t="s">
        <v>3</v>
      </c>
      <c r="B3" s="32"/>
      <c r="C3" s="32"/>
      <c r="D3" s="32"/>
      <c r="E3" s="36"/>
      <c r="F3" s="36"/>
      <c r="G3" s="36"/>
      <c r="H3" s="36"/>
      <c r="I3" s="36"/>
    </row>
    <row r="4" spans="1:11" ht="15.75" thickBot="1" x14ac:dyDescent="0.25">
      <c r="A4" s="9"/>
      <c r="B4" s="9"/>
      <c r="C4" s="9"/>
      <c r="D4" s="9"/>
    </row>
    <row r="5" spans="1:11" ht="50.25" customHeight="1" thickTop="1" thickBot="1" x14ac:dyDescent="0.25">
      <c r="A5" s="3" t="s">
        <v>4</v>
      </c>
      <c r="B5" s="4" t="s">
        <v>5</v>
      </c>
      <c r="C5" s="4" t="s">
        <v>6</v>
      </c>
      <c r="D5" s="111" t="s">
        <v>1</v>
      </c>
      <c r="E5" s="108" t="s">
        <v>7</v>
      </c>
      <c r="F5" s="40" t="s">
        <v>8</v>
      </c>
      <c r="G5" s="40" t="s">
        <v>9</v>
      </c>
      <c r="H5" s="41" t="s">
        <v>10</v>
      </c>
      <c r="I5" s="41" t="s">
        <v>11</v>
      </c>
    </row>
    <row r="6" spans="1:11" x14ac:dyDescent="0.2">
      <c r="A6" s="107" t="s">
        <v>12</v>
      </c>
      <c r="B6" s="167"/>
      <c r="C6" s="167"/>
      <c r="D6" s="112"/>
      <c r="E6" s="109"/>
      <c r="F6" s="25"/>
      <c r="G6" s="25"/>
      <c r="H6" s="45"/>
      <c r="I6" s="42"/>
    </row>
    <row r="7" spans="1:11" x14ac:dyDescent="0.2">
      <c r="A7" s="11" t="s">
        <v>13</v>
      </c>
      <c r="B7" s="168">
        <v>1</v>
      </c>
      <c r="C7" s="168">
        <v>2000000</v>
      </c>
      <c r="D7" s="113">
        <f>+C7*B7</f>
        <v>2000000</v>
      </c>
      <c r="E7" s="109"/>
      <c r="F7" s="25"/>
      <c r="G7" s="25"/>
      <c r="H7" s="46">
        <f>+D7</f>
        <v>2000000</v>
      </c>
      <c r="I7" s="42">
        <f>IF(C7&gt;K7,C105*D7,B105*D7)</f>
        <v>900015.78947368416</v>
      </c>
      <c r="K7">
        <f>1423500*2</f>
        <v>2847000</v>
      </c>
    </row>
    <row r="8" spans="1:11" ht="15.75" thickBot="1" x14ac:dyDescent="0.25">
      <c r="A8" s="13" t="s">
        <v>564</v>
      </c>
      <c r="B8" s="169">
        <v>1</v>
      </c>
      <c r="C8" s="169">
        <v>1500000</v>
      </c>
      <c r="D8" s="114">
        <f>+C8*B8</f>
        <v>1500000</v>
      </c>
      <c r="E8" s="109"/>
      <c r="F8" s="25"/>
      <c r="G8" s="25"/>
      <c r="H8" s="46">
        <f>+D8</f>
        <v>1500000</v>
      </c>
      <c r="I8" s="42">
        <f>IF(C8&gt;1817052,$C$105*D8,$B$105*D8)</f>
        <v>675011.84210526303</v>
      </c>
    </row>
    <row r="9" spans="1:11" x14ac:dyDescent="0.2">
      <c r="A9" s="10"/>
      <c r="B9" s="168"/>
      <c r="C9" s="168"/>
      <c r="D9" s="113"/>
      <c r="E9" s="109"/>
      <c r="F9" s="25"/>
      <c r="G9" s="25"/>
      <c r="H9" s="45"/>
      <c r="I9" s="42"/>
    </row>
    <row r="10" spans="1:11" x14ac:dyDescent="0.2">
      <c r="A10" s="106" t="s">
        <v>14</v>
      </c>
      <c r="B10" s="168"/>
      <c r="C10" s="168"/>
      <c r="D10" s="113"/>
      <c r="E10" s="109"/>
      <c r="F10" s="25"/>
      <c r="G10" s="25"/>
      <c r="H10" s="45"/>
      <c r="I10" s="42"/>
    </row>
    <row r="11" spans="1:11" x14ac:dyDescent="0.2">
      <c r="A11" s="11" t="s">
        <v>15</v>
      </c>
      <c r="B11" s="168">
        <v>1</v>
      </c>
      <c r="C11" s="168">
        <v>2000000</v>
      </c>
      <c r="D11" s="113">
        <f>+B11*C11</f>
        <v>2000000</v>
      </c>
      <c r="E11" s="109"/>
      <c r="F11" s="25"/>
      <c r="G11" s="43">
        <f>+D11</f>
        <v>2000000</v>
      </c>
      <c r="H11" s="45"/>
      <c r="I11" s="42">
        <f>IF(C11&gt;1817052,$C$105*D11,$B$105*D11)</f>
        <v>892500.00000000012</v>
      </c>
    </row>
    <row r="12" spans="1:11" x14ac:dyDescent="0.2">
      <c r="A12" s="11" t="s">
        <v>16</v>
      </c>
      <c r="B12" s="168">
        <v>0</v>
      </c>
      <c r="C12" s="168">
        <v>0</v>
      </c>
      <c r="D12" s="113">
        <f>+C12*B12</f>
        <v>0</v>
      </c>
      <c r="E12" s="109"/>
      <c r="F12" s="25"/>
      <c r="G12" s="43">
        <f>+D12</f>
        <v>0</v>
      </c>
      <c r="H12" s="45"/>
      <c r="I12" s="42">
        <f>IF(C12&gt;K7,$C$105*D12,$B$105*D12)</f>
        <v>0</v>
      </c>
    </row>
    <row r="13" spans="1:11" x14ac:dyDescent="0.2">
      <c r="A13" s="11" t="s">
        <v>17</v>
      </c>
      <c r="B13" s="168">
        <v>0</v>
      </c>
      <c r="C13" s="168">
        <v>0</v>
      </c>
      <c r="D13" s="113">
        <f>+C13*B13</f>
        <v>0</v>
      </c>
      <c r="E13" s="109"/>
      <c r="F13" s="25"/>
      <c r="G13" s="43">
        <f>+D13</f>
        <v>0</v>
      </c>
      <c r="H13" s="45"/>
      <c r="I13" s="42">
        <f>IF(C13&gt;K7,$C$105*D13,$B$105*D13)</f>
        <v>0</v>
      </c>
    </row>
    <row r="14" spans="1:11" x14ac:dyDescent="0.2">
      <c r="A14" s="33"/>
      <c r="B14" s="170"/>
      <c r="C14" s="170"/>
      <c r="D14" s="115"/>
      <c r="E14" s="109"/>
      <c r="F14" s="25"/>
      <c r="G14" s="25"/>
      <c r="H14" s="45"/>
      <c r="I14" s="42"/>
    </row>
    <row r="15" spans="1:11" ht="25.5" x14ac:dyDescent="0.2">
      <c r="A15" s="105" t="s">
        <v>18</v>
      </c>
      <c r="B15" s="168"/>
      <c r="C15" s="168"/>
      <c r="D15" s="113"/>
      <c r="E15" s="109"/>
      <c r="F15" s="25"/>
      <c r="G15" s="25"/>
      <c r="H15" s="45"/>
      <c r="I15" s="42"/>
    </row>
    <row r="16" spans="1:11" x14ac:dyDescent="0.2">
      <c r="A16" s="11"/>
      <c r="B16" s="168">
        <v>0</v>
      </c>
      <c r="C16" s="168"/>
      <c r="D16" s="113">
        <f>+C16*B16</f>
        <v>0</v>
      </c>
      <c r="E16" s="109"/>
      <c r="F16" s="25"/>
      <c r="G16" s="25"/>
      <c r="H16" s="46">
        <f t="shared" ref="H16:H21" si="0">+D16</f>
        <v>0</v>
      </c>
      <c r="I16" s="42">
        <f>IF(C16&gt;1817052,$C$105*D16,$B$105*D16)</f>
        <v>0</v>
      </c>
    </row>
    <row r="17" spans="1:13" ht="15.75" thickBot="1" x14ac:dyDescent="0.25">
      <c r="A17" s="13" t="s">
        <v>19</v>
      </c>
      <c r="B17" s="169">
        <v>1</v>
      </c>
      <c r="C17" s="169">
        <v>1500000</v>
      </c>
      <c r="D17" s="114">
        <f>+C17*B17</f>
        <v>1500000</v>
      </c>
      <c r="E17" s="109"/>
      <c r="F17" s="25"/>
      <c r="G17" s="25"/>
      <c r="H17" s="46">
        <f t="shared" si="0"/>
        <v>1500000</v>
      </c>
      <c r="I17" s="42">
        <f>IF(C17&gt;K7,$C$105*D17,$B$105*D17)</f>
        <v>675011.84210526303</v>
      </c>
    </row>
    <row r="18" spans="1:13" x14ac:dyDescent="0.2">
      <c r="A18" s="11" t="s">
        <v>565</v>
      </c>
      <c r="B18" s="168">
        <v>1</v>
      </c>
      <c r="C18" s="168">
        <v>1500000</v>
      </c>
      <c r="D18" s="113">
        <f>+C18*B18</f>
        <v>1500000</v>
      </c>
      <c r="E18" s="109"/>
      <c r="F18" s="25"/>
      <c r="G18" s="25"/>
      <c r="H18" s="46">
        <f t="shared" si="0"/>
        <v>1500000</v>
      </c>
      <c r="I18" s="42">
        <f>IF(C18&gt;K7,$C$105*D18,$B$105*D18)</f>
        <v>675011.84210526303</v>
      </c>
    </row>
    <row r="19" spans="1:13" x14ac:dyDescent="0.2">
      <c r="A19" s="11"/>
      <c r="B19" s="168">
        <v>0</v>
      </c>
      <c r="C19" s="168"/>
      <c r="D19" s="113">
        <f>+C19*B19</f>
        <v>0</v>
      </c>
      <c r="E19" s="109"/>
      <c r="F19" s="25"/>
      <c r="G19" s="25"/>
      <c r="H19" s="46">
        <f t="shared" si="0"/>
        <v>0</v>
      </c>
      <c r="I19" s="42">
        <f>IF(C19&gt;1817052,$C$105*D19,$D$105*D19)</f>
        <v>0</v>
      </c>
      <c r="M19" s="18">
        <f>SUM(E31:H31)</f>
        <v>11500000</v>
      </c>
    </row>
    <row r="20" spans="1:13" x14ac:dyDescent="0.2">
      <c r="A20" s="33"/>
      <c r="B20" s="170">
        <v>0</v>
      </c>
      <c r="C20" s="170"/>
      <c r="D20" s="115">
        <f>+C20*B20</f>
        <v>0</v>
      </c>
      <c r="E20" s="109"/>
      <c r="F20" s="25"/>
      <c r="G20" s="25"/>
      <c r="H20" s="46">
        <f t="shared" si="0"/>
        <v>0</v>
      </c>
      <c r="I20" s="42">
        <f>IF(C20&gt;1817052,$C$105*D20,$B$105*D20)</f>
        <v>0</v>
      </c>
    </row>
    <row r="21" spans="1:13" x14ac:dyDescent="0.2">
      <c r="A21" s="33" t="s">
        <v>601</v>
      </c>
      <c r="B21" s="170">
        <v>1</v>
      </c>
      <c r="C21" s="170">
        <v>1500000</v>
      </c>
      <c r="D21" s="115">
        <v>1500000</v>
      </c>
      <c r="E21" s="109"/>
      <c r="F21" s="25"/>
      <c r="G21" s="25"/>
      <c r="H21" s="46">
        <f t="shared" si="0"/>
        <v>1500000</v>
      </c>
      <c r="I21" s="42">
        <f>IF(C21&gt;1817052,$C$105*D21,$B$105*D21)</f>
        <v>675011.84210526303</v>
      </c>
    </row>
    <row r="22" spans="1:13" ht="12.75" x14ac:dyDescent="0.2">
      <c r="A22" s="121"/>
      <c r="B22" s="171"/>
      <c r="C22" s="171"/>
      <c r="D22" s="116"/>
      <c r="E22" s="109"/>
      <c r="F22" s="25"/>
      <c r="G22" s="25"/>
      <c r="H22" s="45"/>
      <c r="I22" s="42"/>
    </row>
    <row r="23" spans="1:13" x14ac:dyDescent="0.2">
      <c r="A23" s="106" t="s">
        <v>20</v>
      </c>
      <c r="B23" s="170"/>
      <c r="C23" s="170"/>
      <c r="D23" s="115"/>
      <c r="E23" s="109"/>
      <c r="F23" s="25"/>
      <c r="G23" s="25"/>
      <c r="H23" s="45"/>
      <c r="I23" s="42"/>
    </row>
    <row r="24" spans="1:13" x14ac:dyDescent="0.2">
      <c r="A24" s="33" t="s">
        <v>602</v>
      </c>
      <c r="B24" s="170">
        <v>1</v>
      </c>
      <c r="C24" s="170">
        <v>1500000</v>
      </c>
      <c r="D24" s="115">
        <f>+B24*C24</f>
        <v>1500000</v>
      </c>
      <c r="E24" s="110">
        <f>+D24</f>
        <v>1500000</v>
      </c>
      <c r="F24" s="25"/>
      <c r="G24" s="25"/>
      <c r="H24" s="45"/>
      <c r="I24" s="42">
        <f>IF(C24&gt;1817052,$C$105*D24,$B$105*D24)</f>
        <v>675011.84210526303</v>
      </c>
    </row>
    <row r="25" spans="1:13" x14ac:dyDescent="0.2">
      <c r="A25" s="33" t="s">
        <v>21</v>
      </c>
      <c r="B25" s="170">
        <v>0</v>
      </c>
      <c r="C25" s="170"/>
      <c r="D25" s="115">
        <f>+B25*C25</f>
        <v>0</v>
      </c>
      <c r="E25" s="110">
        <f>+D25</f>
        <v>0</v>
      </c>
      <c r="F25" s="25"/>
      <c r="G25" s="25"/>
      <c r="H25" s="45"/>
      <c r="I25" s="42">
        <f t="shared" ref="I25:I30" si="1">IF(C25&gt;1817052,$C$105*D25,$B$105*D25)</f>
        <v>0</v>
      </c>
    </row>
    <row r="26" spans="1:13" x14ac:dyDescent="0.2">
      <c r="A26" s="122" t="s">
        <v>22</v>
      </c>
      <c r="B26" s="172">
        <v>0</v>
      </c>
      <c r="C26" s="172"/>
      <c r="D26" s="117">
        <f>+C26*B26</f>
        <v>0</v>
      </c>
      <c r="E26" s="109"/>
      <c r="F26" s="43">
        <f>+D26</f>
        <v>0</v>
      </c>
      <c r="G26" s="25"/>
      <c r="H26" s="45"/>
      <c r="I26" s="42">
        <f t="shared" si="1"/>
        <v>0</v>
      </c>
    </row>
    <row r="27" spans="1:13" x14ac:dyDescent="0.2">
      <c r="A27" s="122" t="s">
        <v>23</v>
      </c>
      <c r="B27" s="172">
        <v>0</v>
      </c>
      <c r="C27" s="172"/>
      <c r="D27" s="117">
        <f>+B27*C27</f>
        <v>0</v>
      </c>
      <c r="E27" s="110">
        <f>+D27</f>
        <v>0</v>
      </c>
      <c r="F27" s="25"/>
      <c r="G27" s="25"/>
      <c r="H27" s="45"/>
      <c r="I27" s="42">
        <f t="shared" si="1"/>
        <v>0</v>
      </c>
    </row>
    <row r="28" spans="1:13" x14ac:dyDescent="0.2">
      <c r="A28" s="122" t="s">
        <v>24</v>
      </c>
      <c r="B28" s="172">
        <v>0</v>
      </c>
      <c r="C28" s="172"/>
      <c r="D28" s="117">
        <f>+B28*C28</f>
        <v>0</v>
      </c>
      <c r="E28" s="109"/>
      <c r="F28" s="43">
        <f>+D28</f>
        <v>0</v>
      </c>
      <c r="G28" s="25"/>
      <c r="H28" s="45"/>
      <c r="I28" s="42">
        <f t="shared" si="1"/>
        <v>0</v>
      </c>
    </row>
    <row r="29" spans="1:13" x14ac:dyDescent="0.2">
      <c r="A29" s="122" t="s">
        <v>25</v>
      </c>
      <c r="B29" s="172">
        <v>0</v>
      </c>
      <c r="C29" s="172">
        <v>0</v>
      </c>
      <c r="D29" s="117">
        <f>+B29*C29</f>
        <v>0</v>
      </c>
      <c r="E29" s="109"/>
      <c r="F29" s="43">
        <f>+D29</f>
        <v>0</v>
      </c>
      <c r="G29" s="25"/>
      <c r="H29" s="45"/>
      <c r="I29" s="42">
        <f>IF(C29&gt;K7,$C$105*D29,$B$105*D29)</f>
        <v>0</v>
      </c>
    </row>
    <row r="30" spans="1:13" ht="15.75" thickBot="1" x14ac:dyDescent="0.25">
      <c r="A30" s="123" t="s">
        <v>26</v>
      </c>
      <c r="B30" s="173">
        <v>0</v>
      </c>
      <c r="C30" s="173"/>
      <c r="D30" s="118">
        <f>+B30*C30</f>
        <v>0</v>
      </c>
      <c r="E30" s="109"/>
      <c r="F30" s="43">
        <f>+D30</f>
        <v>0</v>
      </c>
      <c r="G30" s="25"/>
      <c r="H30" s="45"/>
      <c r="I30" s="42">
        <f t="shared" si="1"/>
        <v>0</v>
      </c>
    </row>
    <row r="31" spans="1:13" ht="29.25" customHeight="1" thickBot="1" x14ac:dyDescent="0.25">
      <c r="A31" s="352" t="s">
        <v>1</v>
      </c>
      <c r="B31" s="347">
        <f>SUM(B7:B30)</f>
        <v>7</v>
      </c>
      <c r="C31" s="347"/>
      <c r="D31" s="353">
        <f t="shared" ref="D31:H31" si="2">SUM(D7:D30)</f>
        <v>11500000</v>
      </c>
      <c r="E31" s="354">
        <f t="shared" si="2"/>
        <v>1500000</v>
      </c>
      <c r="F31" s="355">
        <f t="shared" si="2"/>
        <v>0</v>
      </c>
      <c r="G31" s="355">
        <f t="shared" si="2"/>
        <v>2000000</v>
      </c>
      <c r="H31" s="355">
        <f t="shared" si="2"/>
        <v>8000000</v>
      </c>
      <c r="I31" s="355">
        <f>SUM(I7:I30)</f>
        <v>5167574.9999999991</v>
      </c>
      <c r="K31" s="349">
        <f>+I31*12</f>
        <v>62010899.999999985</v>
      </c>
    </row>
    <row r="32" spans="1:13" ht="15.75" thickTop="1" x14ac:dyDescent="0.2">
      <c r="K32" s="350">
        <f>+D31*12</f>
        <v>138000000</v>
      </c>
    </row>
    <row r="33" spans="1:11" ht="16.5" thickBot="1" x14ac:dyDescent="0.3">
      <c r="A33" s="97" t="s">
        <v>556</v>
      </c>
      <c r="B33" s="119"/>
      <c r="C33" s="119"/>
      <c r="D33" s="119"/>
      <c r="K33" s="351">
        <f>SUM(K31:K32)</f>
        <v>200010900</v>
      </c>
    </row>
    <row r="34" spans="1:11" x14ac:dyDescent="0.2">
      <c r="A34" s="32" t="s">
        <v>27</v>
      </c>
      <c r="B34" s="32"/>
      <c r="C34" s="32"/>
      <c r="D34" s="32"/>
      <c r="H34" t="s">
        <v>287</v>
      </c>
      <c r="I34" s="44">
        <f>+I31/D31</f>
        <v>0.44935434782608685</v>
      </c>
    </row>
    <row r="35" spans="1:11" ht="15.75" thickBot="1" x14ac:dyDescent="0.25">
      <c r="A35" s="8"/>
      <c r="B35" s="14"/>
      <c r="C35" s="8"/>
      <c r="D35" s="8"/>
    </row>
    <row r="36" spans="1:11" x14ac:dyDescent="0.2">
      <c r="A36" s="34" t="s">
        <v>28</v>
      </c>
      <c r="B36" s="32"/>
      <c r="C36" s="32"/>
      <c r="D36" s="32"/>
    </row>
    <row r="37" spans="1:11" ht="15.75" thickBot="1" x14ac:dyDescent="0.25">
      <c r="A37" s="9"/>
      <c r="B37" s="9"/>
      <c r="C37" s="9"/>
      <c r="D37" s="9"/>
    </row>
    <row r="38" spans="1:11" ht="39.75" thickTop="1" thickBot="1" x14ac:dyDescent="0.25">
      <c r="A38" s="3" t="s">
        <v>29</v>
      </c>
      <c r="B38" s="16" t="s">
        <v>30</v>
      </c>
      <c r="C38" s="4" t="s">
        <v>31</v>
      </c>
      <c r="D38" s="17" t="s">
        <v>32</v>
      </c>
      <c r="K38" s="134">
        <f>+K33-D84</f>
        <v>293115.78947368264</v>
      </c>
    </row>
    <row r="39" spans="1:11" x14ac:dyDescent="0.2">
      <c r="A39" s="11" t="s">
        <v>33</v>
      </c>
      <c r="B39" s="19">
        <f>+B7+B11+B12+B16+B17+B18+B19+B24+B25</f>
        <v>5</v>
      </c>
      <c r="C39" s="19">
        <f>+D7+D11+D12+D16+D17+D18+D19+D24+D25</f>
        <v>8500000</v>
      </c>
      <c r="D39" s="12">
        <f>+C39*(1+B63)</f>
        <v>12495000</v>
      </c>
    </row>
    <row r="40" spans="1:11" ht="15.75" thickBot="1" x14ac:dyDescent="0.25">
      <c r="A40" s="13" t="s">
        <v>34</v>
      </c>
      <c r="B40" s="14">
        <f>+B8+B13+B20+B21+B26+B27+B28+B29+B30</f>
        <v>2</v>
      </c>
      <c r="C40" s="35">
        <f>+D8+D13+D20+D21+D26+D27+D28+D29+D30</f>
        <v>3000000</v>
      </c>
      <c r="D40" s="15">
        <f>+C40*(1+C63)</f>
        <v>4510066.76</v>
      </c>
    </row>
    <row r="41" spans="1:11" ht="15.75" thickBot="1" x14ac:dyDescent="0.25">
      <c r="A41" s="345" t="s">
        <v>35</v>
      </c>
      <c r="B41" s="346">
        <f>SUM(B39:B40)</f>
        <v>7</v>
      </c>
      <c r="C41" s="347">
        <f>SUM(C39:C40)</f>
        <v>11500000</v>
      </c>
      <c r="D41" s="348">
        <f>SUM(D39:D40)</f>
        <v>17005066.759999998</v>
      </c>
      <c r="F41" s="18"/>
    </row>
    <row r="42" spans="1:11" ht="16.5" thickTop="1" thickBot="1" x14ac:dyDescent="0.25">
      <c r="A42" s="345" t="s">
        <v>36</v>
      </c>
      <c r="B42" s="346">
        <f>+B41</f>
        <v>7</v>
      </c>
      <c r="C42" s="346">
        <f>+C41*12</f>
        <v>138000000</v>
      </c>
      <c r="D42" s="348">
        <f>+D41*12</f>
        <v>204060801.11999997</v>
      </c>
    </row>
    <row r="43" spans="1:11" ht="15.75" thickTop="1" x14ac:dyDescent="0.2"/>
    <row r="44" spans="1:11" x14ac:dyDescent="0.2">
      <c r="A44" s="2" t="s">
        <v>37</v>
      </c>
      <c r="B44" s="2" t="s">
        <v>38</v>
      </c>
      <c r="C44" s="2" t="s">
        <v>39</v>
      </c>
      <c r="F44" s="398"/>
    </row>
    <row r="45" spans="1:11" x14ac:dyDescent="0.2">
      <c r="A45" s="2" t="s">
        <v>40</v>
      </c>
      <c r="B45" s="2">
        <v>1</v>
      </c>
      <c r="C45" s="2">
        <v>1</v>
      </c>
    </row>
    <row r="46" spans="1:11" x14ac:dyDescent="0.2">
      <c r="A46" s="2" t="s">
        <v>41</v>
      </c>
      <c r="C46" s="20">
        <v>0</v>
      </c>
    </row>
    <row r="47" spans="1:11" x14ac:dyDescent="0.2">
      <c r="A47" s="2" t="s">
        <v>42</v>
      </c>
      <c r="C47" s="20">
        <f>+(B40-B13-B26)*106454/C40</f>
        <v>7.0969333333333329E-2</v>
      </c>
    </row>
    <row r="48" spans="1:11" x14ac:dyDescent="0.2">
      <c r="A48" s="2" t="s">
        <v>43</v>
      </c>
      <c r="B48" s="2">
        <f>SUM(B45:B47)</f>
        <v>1</v>
      </c>
      <c r="C48" s="20">
        <f>SUM(C45:C47)</f>
        <v>1.0709693333333332</v>
      </c>
    </row>
    <row r="49" spans="1:3" x14ac:dyDescent="0.2">
      <c r="C49" s="20"/>
    </row>
    <row r="50" spans="1:3" x14ac:dyDescent="0.2">
      <c r="A50" s="2" t="s">
        <v>44</v>
      </c>
      <c r="C50" s="20"/>
    </row>
    <row r="51" spans="1:3" x14ac:dyDescent="0.2">
      <c r="A51" s="2" t="s">
        <v>45</v>
      </c>
      <c r="B51" s="21">
        <f>+(B48/30)*18/12</f>
        <v>4.9999999999999996E-2</v>
      </c>
      <c r="C51" s="21">
        <f>+C48/30*18/12</f>
        <v>5.3548466666666655E-2</v>
      </c>
    </row>
    <row r="52" spans="1:3" x14ac:dyDescent="0.2">
      <c r="A52" s="2" t="s">
        <v>46</v>
      </c>
      <c r="B52" s="21">
        <f>+B48/12</f>
        <v>8.3333333333333329E-2</v>
      </c>
      <c r="C52" s="21">
        <f>+C48/12</f>
        <v>8.9247444444444435E-2</v>
      </c>
    </row>
    <row r="53" spans="1:3" x14ac:dyDescent="0.2">
      <c r="A53" s="2" t="s">
        <v>47</v>
      </c>
      <c r="B53" s="21">
        <f>+B52*0.12</f>
        <v>9.9999999999999985E-3</v>
      </c>
      <c r="C53" s="21">
        <f>+C52*0.12</f>
        <v>1.0709693333333332E-2</v>
      </c>
    </row>
    <row r="54" spans="1:3" x14ac:dyDescent="0.2">
      <c r="A54" s="2" t="s">
        <v>48</v>
      </c>
      <c r="B54" s="21">
        <f>+B48*0.5/12</f>
        <v>4.1666666666666664E-2</v>
      </c>
      <c r="C54" s="21">
        <f>+C48*0.5/12</f>
        <v>4.4623722222222217E-2</v>
      </c>
    </row>
    <row r="55" spans="1:3" x14ac:dyDescent="0.2">
      <c r="B55" s="21"/>
      <c r="C55" s="21"/>
    </row>
    <row r="56" spans="1:3" x14ac:dyDescent="0.2">
      <c r="A56" s="2" t="s">
        <v>49</v>
      </c>
      <c r="B56" s="21"/>
      <c r="C56" s="21"/>
    </row>
    <row r="57" spans="1:3" x14ac:dyDescent="0.2">
      <c r="A57" s="2" t="s">
        <v>50</v>
      </c>
      <c r="B57" s="21">
        <f>+B48*8.5%</f>
        <v>8.5000000000000006E-2</v>
      </c>
      <c r="C57" s="21">
        <f>+C48*8.5%</f>
        <v>9.1032393333333336E-2</v>
      </c>
    </row>
    <row r="58" spans="1:3" x14ac:dyDescent="0.2">
      <c r="A58" s="2" t="s">
        <v>51</v>
      </c>
      <c r="B58" s="21">
        <f>+B48*12%</f>
        <v>0.12</v>
      </c>
      <c r="C58" s="21">
        <f>+C48*12%</f>
        <v>0.12851631999999999</v>
      </c>
    </row>
    <row r="59" spans="1:3" x14ac:dyDescent="0.2">
      <c r="A59" s="2" t="s">
        <v>52</v>
      </c>
      <c r="B59" s="21">
        <f>+B48*4%</f>
        <v>0.04</v>
      </c>
      <c r="C59" s="21">
        <f>+C48*4%</f>
        <v>4.283877333333333E-2</v>
      </c>
    </row>
    <row r="60" spans="1:3" x14ac:dyDescent="0.2">
      <c r="A60" s="2" t="s">
        <v>53</v>
      </c>
      <c r="B60" s="21">
        <f>+B48*2%</f>
        <v>0.02</v>
      </c>
      <c r="C60" s="21">
        <f>+C48*2%</f>
        <v>2.1419386666666665E-2</v>
      </c>
    </row>
    <row r="61" spans="1:3" x14ac:dyDescent="0.2">
      <c r="A61" s="2" t="s">
        <v>54</v>
      </c>
      <c r="B61" s="21">
        <f>+B48*2%</f>
        <v>0.02</v>
      </c>
      <c r="C61" s="21">
        <f>+C48*2%</f>
        <v>2.1419386666666665E-2</v>
      </c>
    </row>
    <row r="62" spans="1:3" x14ac:dyDescent="0.2">
      <c r="B62" s="21"/>
      <c r="C62" s="21"/>
    </row>
    <row r="63" spans="1:3" ht="30" x14ac:dyDescent="0.2">
      <c r="A63" s="22" t="s">
        <v>55</v>
      </c>
      <c r="B63" s="21">
        <f>SUM(B51:B61)</f>
        <v>0.47000000000000003</v>
      </c>
      <c r="C63" s="21">
        <f>SUM(C51:C61)</f>
        <v>0.50335558666666658</v>
      </c>
    </row>
    <row r="65" spans="1:6" ht="15.75" thickBot="1" x14ac:dyDescent="0.25">
      <c r="A65" s="13" t="s">
        <v>56</v>
      </c>
      <c r="B65" s="14">
        <v>1</v>
      </c>
      <c r="C65" s="14">
        <v>600000</v>
      </c>
      <c r="D65" s="15">
        <f>+C65*B65</f>
        <v>600000</v>
      </c>
    </row>
    <row r="66" spans="1:6" x14ac:dyDescent="0.2">
      <c r="A66" s="32"/>
      <c r="B66" s="32"/>
      <c r="C66" s="32"/>
      <c r="D66" s="32"/>
    </row>
    <row r="68" spans="1:6" ht="15.75" x14ac:dyDescent="0.25">
      <c r="A68" s="93" t="s">
        <v>556</v>
      </c>
      <c r="B68" s="32"/>
      <c r="C68" s="32"/>
      <c r="D68" s="32"/>
    </row>
    <row r="69" spans="1:6" x14ac:dyDescent="0.2">
      <c r="A69" s="32" t="s">
        <v>57</v>
      </c>
      <c r="B69" s="32"/>
      <c r="C69" s="32"/>
      <c r="D69" s="32"/>
    </row>
    <row r="70" spans="1:6" x14ac:dyDescent="0.2">
      <c r="A70" s="120" t="s">
        <v>58</v>
      </c>
      <c r="B70" s="32"/>
      <c r="C70" s="32"/>
      <c r="D70" s="32"/>
    </row>
    <row r="71" spans="1:6" ht="15.75" thickBot="1" x14ac:dyDescent="0.25">
      <c r="A71" s="9"/>
      <c r="B71" s="9"/>
      <c r="C71" s="9"/>
      <c r="D71" s="9"/>
    </row>
    <row r="72" spans="1:6" ht="39.75" thickTop="1" thickBot="1" x14ac:dyDescent="0.25">
      <c r="A72" s="3" t="s">
        <v>29</v>
      </c>
      <c r="B72" s="16" t="s">
        <v>30</v>
      </c>
      <c r="C72" s="4" t="s">
        <v>31</v>
      </c>
      <c r="D72" s="17" t="s">
        <v>32</v>
      </c>
    </row>
    <row r="73" spans="1:6" x14ac:dyDescent="0.2">
      <c r="A73" s="11" t="s">
        <v>278</v>
      </c>
      <c r="B73" s="19">
        <f>+B24+B25+B27</f>
        <v>1</v>
      </c>
      <c r="C73" s="19">
        <f>+D24+D25+D27</f>
        <v>1500000</v>
      </c>
      <c r="D73" s="12">
        <f>SUM(D74:D75)</f>
        <v>2169375</v>
      </c>
      <c r="F73" s="18"/>
    </row>
    <row r="74" spans="1:6" x14ac:dyDescent="0.2">
      <c r="A74" s="33" t="s">
        <v>282</v>
      </c>
      <c r="B74" s="19">
        <f>B27</f>
        <v>0</v>
      </c>
      <c r="C74" s="19">
        <f>+D27</f>
        <v>0</v>
      </c>
      <c r="D74" s="12">
        <f>+C74*(1+B105)</f>
        <v>0</v>
      </c>
      <c r="F74" s="18"/>
    </row>
    <row r="75" spans="1:6" x14ac:dyDescent="0.2">
      <c r="A75" s="33" t="s">
        <v>566</v>
      </c>
      <c r="B75" s="19">
        <f>+B24+B25</f>
        <v>1</v>
      </c>
      <c r="C75" s="19">
        <f>+D24+D25</f>
        <v>1500000</v>
      </c>
      <c r="D75" s="12">
        <f>+C75*(1+C105)</f>
        <v>2169375</v>
      </c>
      <c r="F75" s="18"/>
    </row>
    <row r="76" spans="1:6" x14ac:dyDescent="0.2">
      <c r="A76" s="33" t="s">
        <v>279</v>
      </c>
      <c r="B76" s="19">
        <f>+B26+B28+B29+B30</f>
        <v>0</v>
      </c>
      <c r="C76" s="19">
        <f>+D26+D28+D29+D30</f>
        <v>0</v>
      </c>
      <c r="D76" s="12">
        <f>SUM(D77:D78)</f>
        <v>0</v>
      </c>
      <c r="F76" s="18"/>
    </row>
    <row r="77" spans="1:6" x14ac:dyDescent="0.2">
      <c r="A77" s="33" t="s">
        <v>283</v>
      </c>
      <c r="B77" s="19">
        <f>+B28+B29+B30</f>
        <v>0</v>
      </c>
      <c r="C77" s="19">
        <f>+D28+D29+D30</f>
        <v>0</v>
      </c>
      <c r="D77" s="12">
        <f>+C77*(1+B105)</f>
        <v>0</v>
      </c>
      <c r="F77" s="18"/>
    </row>
    <row r="78" spans="1:6" x14ac:dyDescent="0.2">
      <c r="A78" s="33" t="s">
        <v>284</v>
      </c>
      <c r="B78" s="19">
        <f>+B26</f>
        <v>0</v>
      </c>
      <c r="C78" s="19">
        <f>+D26</f>
        <v>0</v>
      </c>
      <c r="D78" s="12">
        <f>+C78*(1+C105)</f>
        <v>0</v>
      </c>
      <c r="F78" s="18"/>
    </row>
    <row r="79" spans="1:6" x14ac:dyDescent="0.2">
      <c r="A79" s="33" t="s">
        <v>280</v>
      </c>
      <c r="B79" s="19">
        <f>+B11+B12+B13</f>
        <v>1</v>
      </c>
      <c r="C79" s="19">
        <f>+D11+D12+D13</f>
        <v>2000000</v>
      </c>
      <c r="D79" s="12">
        <f>+C79*(1+C105)</f>
        <v>2892500</v>
      </c>
      <c r="F79" s="18"/>
    </row>
    <row r="80" spans="1:6" ht="15.75" thickBot="1" x14ac:dyDescent="0.25">
      <c r="A80" s="13" t="s">
        <v>281</v>
      </c>
      <c r="B80" s="14">
        <f>+B7+B8+B16+B17+B18+B19+B20+B21</f>
        <v>5</v>
      </c>
      <c r="C80" s="14">
        <f>+D7+D8+D16+D17+D18+D19+D20+D21</f>
        <v>8000000</v>
      </c>
      <c r="D80" s="12">
        <f>SUM(D81:D82)</f>
        <v>11581273.684210526</v>
      </c>
      <c r="F80" s="18"/>
    </row>
    <row r="81" spans="1:6" x14ac:dyDescent="0.2">
      <c r="A81" s="133" t="s">
        <v>285</v>
      </c>
      <c r="B81" s="104">
        <f>+B8+B20+B21</f>
        <v>2</v>
      </c>
      <c r="C81" s="104">
        <f>+D8+D20+D21</f>
        <v>3000000</v>
      </c>
      <c r="D81" s="12">
        <f>+C81*(1+B105)</f>
        <v>4350023.6842105258</v>
      </c>
      <c r="F81" s="18"/>
    </row>
    <row r="82" spans="1:6" x14ac:dyDescent="0.2">
      <c r="A82" s="133" t="s">
        <v>286</v>
      </c>
      <c r="B82" s="104">
        <f>+B7+B16+B17+B18+B19</f>
        <v>3</v>
      </c>
      <c r="C82" s="104">
        <f>+D7+D16+D17+D18+D19</f>
        <v>5000000</v>
      </c>
      <c r="D82" s="12">
        <f>+C82*(1+C105)</f>
        <v>7231250</v>
      </c>
      <c r="F82" s="18"/>
    </row>
    <row r="83" spans="1:6" ht="15.75" thickBot="1" x14ac:dyDescent="0.25">
      <c r="A83" s="5" t="s">
        <v>35</v>
      </c>
      <c r="B83" s="6">
        <f>B73+B76+B79+B80</f>
        <v>7</v>
      </c>
      <c r="C83" s="6">
        <f>C73+C76+C79+C80</f>
        <v>11500000</v>
      </c>
      <c r="D83" s="7">
        <f>D73+D76+D79+D80</f>
        <v>16643148.684210526</v>
      </c>
      <c r="F83" s="18"/>
    </row>
    <row r="84" spans="1:6" ht="16.5" thickTop="1" thickBot="1" x14ac:dyDescent="0.25">
      <c r="A84" s="5" t="s">
        <v>36</v>
      </c>
      <c r="B84" s="6">
        <f>+B83</f>
        <v>7</v>
      </c>
      <c r="C84" s="6">
        <f>+C83*12</f>
        <v>138000000</v>
      </c>
      <c r="D84" s="7">
        <f>+D83*12</f>
        <v>199717784.21052632</v>
      </c>
    </row>
    <row r="85" spans="1:6" ht="15.75" thickTop="1" x14ac:dyDescent="0.2"/>
    <row r="86" spans="1:6" x14ac:dyDescent="0.2">
      <c r="B86" s="2" t="s">
        <v>288</v>
      </c>
      <c r="C86" s="2" t="s">
        <v>289</v>
      </c>
    </row>
    <row r="87" spans="1:6" x14ac:dyDescent="0.2">
      <c r="A87" s="2" t="s">
        <v>40</v>
      </c>
      <c r="B87" s="2">
        <v>1</v>
      </c>
      <c r="C87" s="2">
        <v>1</v>
      </c>
      <c r="E87" s="2"/>
    </row>
    <row r="88" spans="1:6" x14ac:dyDescent="0.2">
      <c r="A88" s="2" t="s">
        <v>41</v>
      </c>
      <c r="B88" s="2">
        <v>0</v>
      </c>
      <c r="C88" s="2">
        <v>0</v>
      </c>
      <c r="E88" s="2"/>
    </row>
    <row r="89" spans="1:6" x14ac:dyDescent="0.2">
      <c r="A89" s="2" t="s">
        <v>42</v>
      </c>
      <c r="B89" s="2">
        <f>+(B8+B20+B21+B27+B28+B29+B30)*40000/(C83-C79)</f>
        <v>8.4210526315789472E-3</v>
      </c>
      <c r="C89" s="2">
        <v>0</v>
      </c>
    </row>
    <row r="90" spans="1:6" x14ac:dyDescent="0.2">
      <c r="A90" s="2" t="s">
        <v>43</v>
      </c>
      <c r="B90" s="2">
        <f>SUM(B87:B89)</f>
        <v>1.0084210526315789</v>
      </c>
      <c r="C90" s="2">
        <f>SUM(C87:C89)</f>
        <v>1</v>
      </c>
      <c r="D90" s="20"/>
    </row>
    <row r="91" spans="1:6" x14ac:dyDescent="0.2">
      <c r="C91"/>
    </row>
    <row r="92" spans="1:6" x14ac:dyDescent="0.2">
      <c r="A92" s="2" t="s">
        <v>44</v>
      </c>
      <c r="C92"/>
    </row>
    <row r="93" spans="1:6" x14ac:dyDescent="0.2">
      <c r="A93" s="2" t="s">
        <v>45</v>
      </c>
      <c r="B93" s="21">
        <f>+B90/30*18/12</f>
        <v>5.042105263157895E-2</v>
      </c>
      <c r="C93" s="21">
        <f>+C90/30*18/12</f>
        <v>4.9999999999999996E-2</v>
      </c>
      <c r="D93" s="21"/>
    </row>
    <row r="94" spans="1:6" x14ac:dyDescent="0.2">
      <c r="A94" s="2" t="s">
        <v>46</v>
      </c>
      <c r="B94" s="21">
        <f>+B90/12</f>
        <v>8.403508771929824E-2</v>
      </c>
      <c r="C94" s="21">
        <f>+C90/12</f>
        <v>8.3333333333333329E-2</v>
      </c>
      <c r="D94" s="21"/>
    </row>
    <row r="95" spans="1:6" x14ac:dyDescent="0.2">
      <c r="A95" s="2" t="s">
        <v>47</v>
      </c>
      <c r="B95" s="21">
        <f>+B94*0.12</f>
        <v>1.0084210526315789E-2</v>
      </c>
      <c r="C95" s="21">
        <f>+C94*0.12</f>
        <v>9.9999999999999985E-3</v>
      </c>
      <c r="D95" s="21"/>
    </row>
    <row r="96" spans="1:6" x14ac:dyDescent="0.2">
      <c r="A96" s="2" t="s">
        <v>48</v>
      </c>
      <c r="B96" s="21">
        <f>+B90*0.5/12</f>
        <v>4.201754385964912E-2</v>
      </c>
      <c r="C96" s="21">
        <f>+C90*0.5/12</f>
        <v>4.1666666666666664E-2</v>
      </c>
      <c r="D96" s="21"/>
    </row>
    <row r="97" spans="1:4" x14ac:dyDescent="0.2">
      <c r="B97" s="21"/>
      <c r="C97"/>
    </row>
    <row r="98" spans="1:4" x14ac:dyDescent="0.2">
      <c r="A98" s="2" t="s">
        <v>60</v>
      </c>
      <c r="B98" s="21"/>
      <c r="C98"/>
    </row>
    <row r="99" spans="1:4" x14ac:dyDescent="0.2">
      <c r="A99" s="2" t="s">
        <v>50</v>
      </c>
      <c r="B99" s="21">
        <f>+B90*8%</f>
        <v>8.0673684210526314E-2</v>
      </c>
      <c r="C99" s="21">
        <f>+C90*8%</f>
        <v>0.08</v>
      </c>
      <c r="D99" s="21"/>
    </row>
    <row r="100" spans="1:4" x14ac:dyDescent="0.2">
      <c r="A100" s="2" t="s">
        <v>51</v>
      </c>
      <c r="B100" s="21">
        <f>+B90*10.125%</f>
        <v>0.10210263157894738</v>
      </c>
      <c r="C100" s="21">
        <f>+C90*10.125%</f>
        <v>0.10125000000000001</v>
      </c>
      <c r="D100" s="21"/>
    </row>
    <row r="101" spans="1:4" x14ac:dyDescent="0.2">
      <c r="A101" s="2" t="s">
        <v>52</v>
      </c>
      <c r="B101" s="21">
        <f>+B90*4%</f>
        <v>4.0336842105263157E-2</v>
      </c>
      <c r="C101" s="21">
        <f>+C90*4%</f>
        <v>0.04</v>
      </c>
      <c r="D101" s="21"/>
    </row>
    <row r="102" spans="1:4" x14ac:dyDescent="0.2">
      <c r="A102" s="2" t="s">
        <v>53</v>
      </c>
      <c r="B102" s="21">
        <f>+B90*2%</f>
        <v>2.0168421052631579E-2</v>
      </c>
      <c r="C102" s="21">
        <f>+C90*2%</f>
        <v>0.02</v>
      </c>
      <c r="D102" s="21"/>
    </row>
    <row r="103" spans="1:4" x14ac:dyDescent="0.2">
      <c r="A103" s="2" t="s">
        <v>54</v>
      </c>
      <c r="B103" s="21">
        <f>+B90*2%</f>
        <v>2.0168421052631579E-2</v>
      </c>
      <c r="C103" s="21">
        <f>+C90*2%</f>
        <v>0.02</v>
      </c>
      <c r="D103" s="21"/>
    </row>
    <row r="104" spans="1:4" x14ac:dyDescent="0.2">
      <c r="B104" s="21"/>
      <c r="C104"/>
    </row>
    <row r="105" spans="1:4" x14ac:dyDescent="0.2">
      <c r="A105" s="22" t="s">
        <v>55</v>
      </c>
      <c r="B105" s="21">
        <f>SUM(B93:B103)</f>
        <v>0.45000789473684205</v>
      </c>
      <c r="C105" s="21">
        <f>SUM(C93:C103)</f>
        <v>0.44625000000000004</v>
      </c>
      <c r="D105" s="21"/>
    </row>
  </sheetData>
  <phoneticPr fontId="0" type="noConversion"/>
  <printOptions horizontalCentered="1" verticalCentered="1"/>
  <pageMargins left="0.59055118110236227" right="0.59055118110236227" top="0.78740157480314965" bottom="0.78740157480314965" header="0" footer="0"/>
  <pageSetup scale="79" orientation="landscape" horizontalDpi="4294967292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  <pageSetUpPr fitToPage="1"/>
  </sheetPr>
  <dimension ref="A1:AC77"/>
  <sheetViews>
    <sheetView topLeftCell="A41" zoomScale="93" zoomScaleNormal="93" workbookViewId="0">
      <selection activeCell="J63" sqref="J63"/>
    </sheetView>
  </sheetViews>
  <sheetFormatPr baseColWidth="10" defaultRowHeight="12.75" x14ac:dyDescent="0.2"/>
  <cols>
    <col min="1" max="1" width="41.85546875" customWidth="1"/>
    <col min="2" max="2" width="17.5703125" customWidth="1"/>
    <col min="3" max="3" width="15.5703125" customWidth="1"/>
    <col min="4" max="4" width="16.85546875" customWidth="1"/>
  </cols>
  <sheetData>
    <row r="1" spans="1:9" ht="15.75" x14ac:dyDescent="0.25">
      <c r="A1" s="97" t="s">
        <v>556</v>
      </c>
      <c r="B1" s="36"/>
      <c r="C1" s="36"/>
      <c r="D1" s="36"/>
    </row>
    <row r="2" spans="1:9" ht="15.75" x14ac:dyDescent="0.25">
      <c r="A2" s="97" t="s">
        <v>61</v>
      </c>
      <c r="B2" s="36"/>
      <c r="C2" s="36"/>
      <c r="D2" s="36"/>
    </row>
    <row r="4" spans="1:9" ht="15" x14ac:dyDescent="0.2">
      <c r="A4" s="32" t="s">
        <v>62</v>
      </c>
      <c r="B4" s="32"/>
      <c r="C4" s="32"/>
      <c r="D4" s="32"/>
    </row>
    <row r="5" spans="1:9" ht="15" x14ac:dyDescent="0.2">
      <c r="A5" s="32" t="s">
        <v>207</v>
      </c>
      <c r="B5" s="32"/>
      <c r="C5" s="32"/>
      <c r="D5" s="32"/>
    </row>
    <row r="6" spans="1:9" ht="15" x14ac:dyDescent="0.2">
      <c r="A6" s="32" t="s">
        <v>573</v>
      </c>
      <c r="B6" s="32"/>
      <c r="C6" s="32"/>
      <c r="D6" s="32"/>
    </row>
    <row r="7" spans="1:9" x14ac:dyDescent="0.2">
      <c r="D7">
        <v>2025</v>
      </c>
      <c r="E7">
        <f>D7+1</f>
        <v>2026</v>
      </c>
      <c r="F7">
        <f t="shared" ref="F7:I7" si="0">E7+1</f>
        <v>2027</v>
      </c>
      <c r="G7">
        <f t="shared" si="0"/>
        <v>2028</v>
      </c>
      <c r="H7">
        <f t="shared" si="0"/>
        <v>2029</v>
      </c>
      <c r="I7">
        <f t="shared" si="0"/>
        <v>2030</v>
      </c>
    </row>
    <row r="8" spans="1:9" x14ac:dyDescent="0.2">
      <c r="A8" s="49" t="s">
        <v>67</v>
      </c>
      <c r="B8" s="190" t="s">
        <v>63</v>
      </c>
      <c r="C8" s="190" t="s">
        <v>64</v>
      </c>
      <c r="D8" s="190" t="s">
        <v>65</v>
      </c>
    </row>
    <row r="9" spans="1:9" x14ac:dyDescent="0.2">
      <c r="A9" s="49"/>
      <c r="B9" s="266"/>
      <c r="C9" s="266"/>
      <c r="D9" s="49"/>
    </row>
    <row r="10" spans="1:9" x14ac:dyDescent="0.2">
      <c r="A10" s="49" t="s">
        <v>558</v>
      </c>
      <c r="B10" s="313">
        <v>1</v>
      </c>
      <c r="C10" s="314">
        <v>77800000</v>
      </c>
      <c r="D10" s="201">
        <f>+B10*C10</f>
        <v>77800000</v>
      </c>
      <c r="E10" s="148"/>
      <c r="F10" s="148"/>
      <c r="G10" s="148"/>
      <c r="H10" s="148"/>
      <c r="I10" s="148"/>
    </row>
    <row r="11" spans="1:9" x14ac:dyDescent="0.2">
      <c r="A11" s="205" t="s">
        <v>560</v>
      </c>
      <c r="B11" s="312">
        <v>1</v>
      </c>
      <c r="C11" s="314">
        <v>5000000</v>
      </c>
      <c r="D11" s="201">
        <f>+B11*C11</f>
        <v>5000000</v>
      </c>
      <c r="E11" s="148"/>
      <c r="F11" s="148"/>
      <c r="G11" s="148"/>
      <c r="H11" s="148"/>
      <c r="I11" s="148"/>
    </row>
    <row r="12" spans="1:9" ht="25.5" x14ac:dyDescent="0.2">
      <c r="A12" s="205" t="s">
        <v>557</v>
      </c>
      <c r="B12" s="312">
        <v>1</v>
      </c>
      <c r="C12" s="314">
        <v>2000000</v>
      </c>
      <c r="D12" s="201">
        <f t="shared" ref="D12:D18" si="1">+B12*C12</f>
        <v>2000000</v>
      </c>
      <c r="E12" s="148"/>
      <c r="F12" s="148"/>
      <c r="G12" s="148"/>
      <c r="H12" s="148"/>
      <c r="I12" s="148"/>
    </row>
    <row r="13" spans="1:9" x14ac:dyDescent="0.2">
      <c r="A13" s="205" t="s">
        <v>559</v>
      </c>
      <c r="B13" s="312">
        <v>6</v>
      </c>
      <c r="C13" s="314">
        <v>1000000</v>
      </c>
      <c r="D13" s="201">
        <f t="shared" si="1"/>
        <v>6000000</v>
      </c>
      <c r="E13" s="148"/>
      <c r="F13" s="148"/>
      <c r="G13" s="148"/>
      <c r="H13" s="148"/>
      <c r="I13" s="148"/>
    </row>
    <row r="14" spans="1:9" x14ac:dyDescent="0.2">
      <c r="A14" s="205" t="s">
        <v>75</v>
      </c>
      <c r="B14" s="312">
        <v>3</v>
      </c>
      <c r="C14" s="314">
        <v>2000000</v>
      </c>
      <c r="D14" s="201">
        <f t="shared" si="1"/>
        <v>6000000</v>
      </c>
      <c r="E14" s="148"/>
      <c r="F14" s="148"/>
      <c r="G14" s="148"/>
      <c r="H14" s="148"/>
      <c r="I14" s="148"/>
    </row>
    <row r="15" spans="1:9" x14ac:dyDescent="0.2">
      <c r="A15" s="269" t="s">
        <v>74</v>
      </c>
      <c r="B15" s="312">
        <v>1</v>
      </c>
      <c r="C15" s="314">
        <v>1000000</v>
      </c>
      <c r="D15" s="201">
        <f t="shared" si="1"/>
        <v>1000000</v>
      </c>
      <c r="E15" s="148"/>
      <c r="F15" s="148"/>
      <c r="G15" s="148"/>
      <c r="H15" s="148"/>
      <c r="I15" s="148"/>
    </row>
    <row r="16" spans="1:9" x14ac:dyDescent="0.2">
      <c r="A16" s="205" t="s">
        <v>561</v>
      </c>
      <c r="B16" s="312">
        <v>1</v>
      </c>
      <c r="C16" s="314">
        <v>10000000</v>
      </c>
      <c r="D16" s="201">
        <f t="shared" si="1"/>
        <v>10000000</v>
      </c>
      <c r="E16" s="148"/>
      <c r="F16" s="148"/>
      <c r="G16" s="148"/>
      <c r="H16" s="148"/>
      <c r="I16" s="148"/>
    </row>
    <row r="17" spans="1:9" x14ac:dyDescent="0.2">
      <c r="A17" s="205"/>
      <c r="B17" s="312">
        <v>1</v>
      </c>
      <c r="C17" s="314">
        <v>0</v>
      </c>
      <c r="D17" s="201">
        <f>+B17*C17</f>
        <v>0</v>
      </c>
      <c r="E17" s="148"/>
      <c r="F17" s="148"/>
      <c r="G17" s="148"/>
      <c r="H17" s="148"/>
      <c r="I17" s="148"/>
    </row>
    <row r="18" spans="1:9" x14ac:dyDescent="0.2">
      <c r="A18" s="205"/>
      <c r="B18" s="312">
        <v>1</v>
      </c>
      <c r="C18" s="314">
        <v>0</v>
      </c>
      <c r="D18" s="201">
        <f t="shared" si="1"/>
        <v>0</v>
      </c>
      <c r="E18" s="148"/>
      <c r="F18" s="148"/>
      <c r="G18" s="148"/>
      <c r="H18" s="148"/>
      <c r="I18" s="148"/>
    </row>
    <row r="19" spans="1:9" x14ac:dyDescent="0.2">
      <c r="A19" s="49"/>
      <c r="B19" s="312">
        <v>0</v>
      </c>
      <c r="C19" s="314">
        <v>0</v>
      </c>
      <c r="D19" s="201">
        <f>+B19*C19</f>
        <v>0</v>
      </c>
      <c r="E19" s="148"/>
      <c r="F19" s="148"/>
      <c r="G19" s="148"/>
      <c r="H19" s="148"/>
      <c r="I19" s="148"/>
    </row>
    <row r="20" spans="1:9" x14ac:dyDescent="0.2">
      <c r="A20" s="49" t="s">
        <v>208</v>
      </c>
      <c r="B20" s="62"/>
      <c r="C20" s="62"/>
      <c r="D20" s="62">
        <f>SUM(D10:D19)</f>
        <v>107800000</v>
      </c>
      <c r="E20" s="62">
        <f t="shared" ref="E20:I20" si="2">SUM(E10:E19)</f>
        <v>0</v>
      </c>
      <c r="F20" s="62">
        <f t="shared" si="2"/>
        <v>0</v>
      </c>
      <c r="G20" s="62">
        <f t="shared" si="2"/>
        <v>0</v>
      </c>
      <c r="H20" s="62">
        <f t="shared" si="2"/>
        <v>0</v>
      </c>
      <c r="I20" s="62">
        <f t="shared" si="2"/>
        <v>0</v>
      </c>
    </row>
    <row r="21" spans="1:9" x14ac:dyDescent="0.2">
      <c r="B21" s="18"/>
      <c r="C21" s="277" t="s">
        <v>101</v>
      </c>
      <c r="D21" s="18"/>
    </row>
    <row r="22" spans="1:9" x14ac:dyDescent="0.2">
      <c r="B22" s="18"/>
      <c r="C22" s="18"/>
      <c r="D22" s="18"/>
    </row>
    <row r="23" spans="1:9" x14ac:dyDescent="0.2">
      <c r="B23" s="18"/>
      <c r="C23" s="18"/>
      <c r="D23" s="18"/>
    </row>
    <row r="24" spans="1:9" ht="15" x14ac:dyDescent="0.2">
      <c r="A24" s="32" t="s">
        <v>66</v>
      </c>
      <c r="B24" s="32"/>
      <c r="C24" s="32"/>
      <c r="D24" s="32"/>
    </row>
    <row r="25" spans="1:9" ht="15" x14ac:dyDescent="0.2">
      <c r="A25" s="32" t="s">
        <v>206</v>
      </c>
      <c r="B25" s="32"/>
      <c r="C25" s="32"/>
      <c r="D25" s="32"/>
      <c r="G25" s="398"/>
    </row>
    <row r="26" spans="1:9" x14ac:dyDescent="0.2">
      <c r="B26" s="18"/>
      <c r="C26" s="18"/>
      <c r="D26" s="18"/>
    </row>
    <row r="27" spans="1:9" x14ac:dyDescent="0.2">
      <c r="A27" s="49" t="s">
        <v>76</v>
      </c>
      <c r="B27" s="190" t="s">
        <v>63</v>
      </c>
      <c r="C27" s="190" t="s">
        <v>64</v>
      </c>
      <c r="D27" s="190" t="s">
        <v>65</v>
      </c>
    </row>
    <row r="28" spans="1:9" x14ac:dyDescent="0.2">
      <c r="A28" s="49" t="s">
        <v>342</v>
      </c>
      <c r="B28" s="267">
        <v>1</v>
      </c>
      <c r="C28" s="268">
        <v>500000</v>
      </c>
      <c r="D28" s="62">
        <f>+C28*B28</f>
        <v>500000</v>
      </c>
    </row>
    <row r="29" spans="1:9" x14ac:dyDescent="0.2">
      <c r="A29" s="49"/>
      <c r="B29" s="267">
        <v>0</v>
      </c>
      <c r="C29" s="268">
        <v>0</v>
      </c>
      <c r="D29" s="62">
        <f>+B29*C29</f>
        <v>0</v>
      </c>
    </row>
    <row r="30" spans="1:9" x14ac:dyDescent="0.2">
      <c r="A30" s="49" t="s">
        <v>77</v>
      </c>
      <c r="B30" s="267">
        <v>1</v>
      </c>
      <c r="C30" s="268">
        <v>1000000</v>
      </c>
      <c r="D30" s="62">
        <f>+B30*C30</f>
        <v>1000000</v>
      </c>
    </row>
    <row r="31" spans="1:9" x14ac:dyDescent="0.2">
      <c r="A31" s="49" t="s">
        <v>78</v>
      </c>
      <c r="B31" s="267">
        <v>1</v>
      </c>
      <c r="C31" s="268">
        <v>300000</v>
      </c>
      <c r="D31" s="62">
        <f>+B31*C31</f>
        <v>300000</v>
      </c>
    </row>
    <row r="32" spans="1:9" x14ac:dyDescent="0.2">
      <c r="A32" s="49" t="s">
        <v>292</v>
      </c>
      <c r="B32" s="267"/>
      <c r="C32" s="161">
        <v>3000000</v>
      </c>
      <c r="D32" s="62">
        <f>+C32</f>
        <v>3000000</v>
      </c>
    </row>
    <row r="33" spans="1:29" x14ac:dyDescent="0.2">
      <c r="A33" s="49" t="s">
        <v>79</v>
      </c>
      <c r="B33" s="267"/>
      <c r="C33" s="161">
        <v>500000</v>
      </c>
      <c r="D33" s="62">
        <f>+C33</f>
        <v>500000</v>
      </c>
    </row>
    <row r="34" spans="1:29" x14ac:dyDescent="0.2">
      <c r="A34" s="49" t="s">
        <v>227</v>
      </c>
      <c r="B34" s="267">
        <v>2</v>
      </c>
      <c r="C34" s="268">
        <v>500000</v>
      </c>
      <c r="D34" s="62">
        <f>+B34*C34</f>
        <v>1000000</v>
      </c>
    </row>
    <row r="35" spans="1:29" x14ac:dyDescent="0.2">
      <c r="A35" s="49" t="s">
        <v>228</v>
      </c>
      <c r="B35" s="267"/>
      <c r="C35" s="268">
        <v>1000000</v>
      </c>
      <c r="D35" s="62">
        <f>+C35</f>
        <v>1000000</v>
      </c>
    </row>
    <row r="36" spans="1:29" x14ac:dyDescent="0.2">
      <c r="A36" s="49" t="s">
        <v>1</v>
      </c>
      <c r="B36" s="190"/>
      <c r="C36" s="49"/>
      <c r="D36" s="62">
        <f>SUM(D28:D35)</f>
        <v>7300000</v>
      </c>
    </row>
    <row r="38" spans="1:29" ht="15" x14ac:dyDescent="0.2">
      <c r="A38" s="32" t="s">
        <v>209</v>
      </c>
      <c r="B38" s="32"/>
      <c r="C38" s="32"/>
      <c r="D38" s="32"/>
    </row>
    <row r="39" spans="1:29" ht="15" x14ac:dyDescent="0.2">
      <c r="A39" s="32" t="s">
        <v>210</v>
      </c>
      <c r="B39" s="32"/>
      <c r="C39" s="32"/>
      <c r="D39" s="32"/>
    </row>
    <row r="40" spans="1:29" x14ac:dyDescent="0.2">
      <c r="A40" s="49"/>
      <c r="B40" s="62">
        <f>D7</f>
        <v>2025</v>
      </c>
      <c r="C40" s="62">
        <f>B40+1</f>
        <v>2026</v>
      </c>
      <c r="D40" s="62">
        <f t="shared" ref="D40:G40" si="3">C40+1</f>
        <v>2027</v>
      </c>
      <c r="E40" s="62">
        <f t="shared" si="3"/>
        <v>2028</v>
      </c>
      <c r="F40" s="62">
        <f t="shared" si="3"/>
        <v>2029</v>
      </c>
      <c r="G40" s="62">
        <f t="shared" si="3"/>
        <v>2030</v>
      </c>
    </row>
    <row r="41" spans="1:29" s="148" customFormat="1" x14ac:dyDescent="0.2">
      <c r="A41" s="161" t="s">
        <v>93</v>
      </c>
      <c r="B41" s="161">
        <v>0</v>
      </c>
      <c r="C41" s="161">
        <v>1</v>
      </c>
      <c r="D41" s="161">
        <v>2</v>
      </c>
      <c r="E41" s="161">
        <v>3</v>
      </c>
      <c r="F41" s="161">
        <v>4</v>
      </c>
      <c r="G41" s="161">
        <v>5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x14ac:dyDescent="0.2">
      <c r="A42" s="315" t="s">
        <v>211</v>
      </c>
      <c r="B42" s="317">
        <f>+B43+B44</f>
        <v>113800000</v>
      </c>
      <c r="C42" s="238">
        <f t="shared" ref="C42:G42" si="4">+C43+C44</f>
        <v>0</v>
      </c>
      <c r="D42" s="238">
        <f t="shared" si="4"/>
        <v>0</v>
      </c>
      <c r="E42" s="238">
        <f t="shared" si="4"/>
        <v>0</v>
      </c>
      <c r="F42" s="238">
        <f t="shared" si="4"/>
        <v>0</v>
      </c>
      <c r="G42" s="238">
        <f t="shared" si="4"/>
        <v>0</v>
      </c>
    </row>
    <row r="43" spans="1:29" x14ac:dyDescent="0.2">
      <c r="A43" s="49" t="s">
        <v>212</v>
      </c>
      <c r="B43" s="210">
        <v>0</v>
      </c>
      <c r="C43" s="210"/>
      <c r="D43" s="210"/>
      <c r="E43" s="210"/>
      <c r="F43" s="210"/>
      <c r="G43" s="210"/>
    </row>
    <row r="44" spans="1:29" x14ac:dyDescent="0.2">
      <c r="A44" s="49" t="s">
        <v>213</v>
      </c>
      <c r="B44" s="49">
        <f>SUM(B45:B49)</f>
        <v>113800000</v>
      </c>
      <c r="C44" s="49">
        <f t="shared" ref="C44:G44" si="5">SUM(C45:C49)</f>
        <v>0</v>
      </c>
      <c r="D44" s="49">
        <f t="shared" si="5"/>
        <v>0</v>
      </c>
      <c r="E44" s="49">
        <f t="shared" si="5"/>
        <v>0</v>
      </c>
      <c r="F44" s="49">
        <f t="shared" si="5"/>
        <v>0</v>
      </c>
      <c r="G44" s="49">
        <f t="shared" si="5"/>
        <v>0</v>
      </c>
    </row>
    <row r="45" spans="1:29" x14ac:dyDescent="0.2">
      <c r="A45" s="49" t="s">
        <v>214</v>
      </c>
      <c r="B45" s="210">
        <v>0</v>
      </c>
      <c r="C45" s="210"/>
      <c r="D45" s="210"/>
      <c r="E45" s="210"/>
      <c r="F45" s="210"/>
      <c r="G45" s="210"/>
    </row>
    <row r="46" spans="1:29" x14ac:dyDescent="0.2">
      <c r="A46" s="49" t="s">
        <v>215</v>
      </c>
      <c r="B46" s="62">
        <f>+D10+D11+D12+D14</f>
        <v>90800000</v>
      </c>
      <c r="C46" s="62">
        <f t="shared" ref="C46:G46" si="6">+E10+E11+E13+E14+E15+E19</f>
        <v>0</v>
      </c>
      <c r="D46" s="62">
        <f t="shared" si="6"/>
        <v>0</v>
      </c>
      <c r="E46" s="62">
        <f t="shared" si="6"/>
        <v>0</v>
      </c>
      <c r="F46" s="62">
        <f t="shared" si="6"/>
        <v>0</v>
      </c>
      <c r="G46" s="62">
        <f t="shared" si="6"/>
        <v>0</v>
      </c>
    </row>
    <row r="47" spans="1:29" x14ac:dyDescent="0.2">
      <c r="A47" s="49" t="s">
        <v>216</v>
      </c>
      <c r="B47" s="62">
        <f>+D13+D14+D15</f>
        <v>13000000</v>
      </c>
      <c r="C47" s="62">
        <f t="shared" ref="C47:G47" si="7">+E16+E17+E18</f>
        <v>0</v>
      </c>
      <c r="D47" s="62">
        <f t="shared" si="7"/>
        <v>0</v>
      </c>
      <c r="E47" s="62">
        <f t="shared" si="7"/>
        <v>0</v>
      </c>
      <c r="F47" s="62">
        <f t="shared" si="7"/>
        <v>0</v>
      </c>
      <c r="G47" s="62">
        <f t="shared" si="7"/>
        <v>0</v>
      </c>
    </row>
    <row r="48" spans="1:29" x14ac:dyDescent="0.2">
      <c r="A48" s="49" t="s">
        <v>217</v>
      </c>
      <c r="B48" s="62">
        <f>+D16</f>
        <v>10000000</v>
      </c>
      <c r="C48" s="62">
        <f t="shared" ref="C48:G48" si="8">+E12</f>
        <v>0</v>
      </c>
      <c r="D48" s="62">
        <f t="shared" si="8"/>
        <v>0</v>
      </c>
      <c r="E48" s="62">
        <f t="shared" si="8"/>
        <v>0</v>
      </c>
      <c r="F48" s="62">
        <f t="shared" si="8"/>
        <v>0</v>
      </c>
      <c r="G48" s="62">
        <f t="shared" si="8"/>
        <v>0</v>
      </c>
    </row>
    <row r="49" spans="1:7" x14ac:dyDescent="0.2">
      <c r="A49" s="49" t="s">
        <v>218</v>
      </c>
      <c r="B49" s="210">
        <v>0</v>
      </c>
      <c r="C49" s="49"/>
      <c r="D49" s="49"/>
      <c r="E49" s="49"/>
      <c r="F49" s="49"/>
      <c r="G49" s="49"/>
    </row>
    <row r="50" spans="1:7" x14ac:dyDescent="0.2">
      <c r="A50" s="49"/>
      <c r="B50" s="49"/>
      <c r="C50" s="49"/>
      <c r="D50" s="49"/>
      <c r="E50" s="49"/>
      <c r="F50" s="49"/>
      <c r="G50" s="49"/>
    </row>
    <row r="51" spans="1:7" x14ac:dyDescent="0.2">
      <c r="A51" s="315" t="s">
        <v>219</v>
      </c>
      <c r="B51" s="316">
        <f>SUM(B52:B58)</f>
        <v>5800000</v>
      </c>
      <c r="C51" s="49"/>
      <c r="D51" s="49"/>
      <c r="E51" s="49"/>
      <c r="F51" s="49"/>
      <c r="G51" s="49"/>
    </row>
    <row r="52" spans="1:7" x14ac:dyDescent="0.2">
      <c r="A52" s="49" t="s">
        <v>220</v>
      </c>
      <c r="B52" s="419"/>
      <c r="C52" s="49"/>
      <c r="D52" s="49"/>
      <c r="E52" s="49"/>
      <c r="F52" s="49"/>
      <c r="G52" s="49"/>
    </row>
    <row r="53" spans="1:7" x14ac:dyDescent="0.2">
      <c r="A53" s="49" t="s">
        <v>221</v>
      </c>
      <c r="B53" s="62">
        <f>+D30+D31</f>
        <v>1300000</v>
      </c>
      <c r="C53" s="49"/>
      <c r="D53" s="49"/>
      <c r="E53" s="49"/>
      <c r="F53" s="49"/>
      <c r="G53" s="49"/>
    </row>
    <row r="54" spans="1:7" x14ac:dyDescent="0.2">
      <c r="A54" s="49" t="s">
        <v>222</v>
      </c>
      <c r="B54" s="62">
        <f>+D29</f>
        <v>0</v>
      </c>
      <c r="C54" s="49"/>
      <c r="D54" s="49"/>
      <c r="E54" s="49"/>
      <c r="F54" s="49"/>
      <c r="G54" s="49"/>
    </row>
    <row r="55" spans="1:7" x14ac:dyDescent="0.2">
      <c r="A55" s="49" t="s">
        <v>223</v>
      </c>
      <c r="B55" s="62">
        <f>+D32+D33</f>
        <v>3500000</v>
      </c>
      <c r="C55" s="49"/>
      <c r="D55" s="49"/>
      <c r="E55" s="49"/>
      <c r="F55" s="49"/>
      <c r="G55" s="49"/>
    </row>
    <row r="56" spans="1:7" x14ac:dyDescent="0.2">
      <c r="A56" s="49" t="s">
        <v>224</v>
      </c>
      <c r="B56" s="62">
        <v>0</v>
      </c>
      <c r="C56" s="49"/>
      <c r="D56" s="49"/>
      <c r="E56" s="49"/>
      <c r="F56" s="49"/>
      <c r="G56" s="49"/>
    </row>
    <row r="57" spans="1:7" x14ac:dyDescent="0.2">
      <c r="A57" s="49" t="s">
        <v>225</v>
      </c>
      <c r="B57" s="210">
        <v>0</v>
      </c>
      <c r="C57" s="49"/>
      <c r="D57" s="49"/>
      <c r="E57" s="49"/>
      <c r="F57" s="49"/>
      <c r="G57" s="49"/>
    </row>
    <row r="58" spans="1:7" x14ac:dyDescent="0.2">
      <c r="A58" s="49" t="s">
        <v>226</v>
      </c>
      <c r="B58" s="62">
        <f>+D35</f>
        <v>1000000</v>
      </c>
      <c r="C58" s="49"/>
      <c r="D58" s="49"/>
      <c r="E58" s="49"/>
      <c r="F58" s="49"/>
      <c r="G58" s="49"/>
    </row>
    <row r="59" spans="1:7" x14ac:dyDescent="0.2">
      <c r="A59" s="49"/>
      <c r="B59" s="49"/>
      <c r="C59" s="49"/>
      <c r="D59" s="49"/>
      <c r="E59" s="49"/>
      <c r="F59" s="49"/>
      <c r="G59" s="49"/>
    </row>
    <row r="60" spans="1:7" x14ac:dyDescent="0.2">
      <c r="A60" s="315" t="s">
        <v>229</v>
      </c>
      <c r="B60" s="316">
        <f>SUM(B61:B66)</f>
        <v>282558333.33333331</v>
      </c>
      <c r="C60" s="49"/>
      <c r="D60" s="49"/>
      <c r="E60" s="49"/>
      <c r="F60" s="49"/>
      <c r="G60" s="49"/>
    </row>
    <row r="61" spans="1:7" x14ac:dyDescent="0.2">
      <c r="A61" s="49" t="s">
        <v>230</v>
      </c>
      <c r="B61" s="419">
        <v>5000000</v>
      </c>
      <c r="C61" s="49"/>
      <c r="D61" s="49"/>
      <c r="E61" s="49"/>
      <c r="F61" s="49"/>
      <c r="G61" s="49"/>
    </row>
    <row r="62" spans="1:7" x14ac:dyDescent="0.2">
      <c r="A62" s="49" t="s">
        <v>231</v>
      </c>
      <c r="B62" s="62">
        <f>+'4. COSTOS'!D30</f>
        <v>199950000</v>
      </c>
      <c r="C62" s="49"/>
      <c r="D62" s="49"/>
      <c r="E62" s="49"/>
      <c r="F62" s="49"/>
      <c r="G62" s="49"/>
    </row>
    <row r="63" spans="1:7" x14ac:dyDescent="0.2">
      <c r="A63" s="49" t="s">
        <v>232</v>
      </c>
      <c r="B63" s="62">
        <f>+'1. PERSONAL'!D31</f>
        <v>11500000</v>
      </c>
      <c r="C63" s="49"/>
      <c r="D63" s="49"/>
      <c r="E63" s="49"/>
      <c r="F63" s="49"/>
      <c r="G63" s="49"/>
    </row>
    <row r="64" spans="1:7" x14ac:dyDescent="0.2">
      <c r="A64" s="49" t="s">
        <v>233</v>
      </c>
      <c r="B64" s="62">
        <f>+B62*0.3</f>
        <v>59985000</v>
      </c>
      <c r="C64" s="49"/>
      <c r="D64" s="49"/>
      <c r="E64" s="49"/>
      <c r="F64" s="49"/>
      <c r="G64" s="49"/>
    </row>
    <row r="65" spans="1:7" x14ac:dyDescent="0.2">
      <c r="A65" s="49" t="s">
        <v>234</v>
      </c>
      <c r="B65" s="62">
        <f>+'4. COSTOS'!D40</f>
        <v>338333.33333333331</v>
      </c>
      <c r="C65" s="49"/>
      <c r="D65" s="49"/>
      <c r="E65" s="49"/>
      <c r="F65" s="49"/>
      <c r="G65" s="49"/>
    </row>
    <row r="66" spans="1:7" x14ac:dyDescent="0.2">
      <c r="A66" s="49" t="s">
        <v>236</v>
      </c>
      <c r="B66" s="62">
        <f>+'4. COSTOS'!D55+'4. COSTOS'!D59+'4. COSTOS'!C70</f>
        <v>5785000</v>
      </c>
      <c r="C66" s="49"/>
      <c r="D66" s="49"/>
      <c r="E66" s="49"/>
      <c r="F66" s="49"/>
      <c r="G66" s="49"/>
    </row>
    <row r="67" spans="1:7" x14ac:dyDescent="0.2">
      <c r="A67" s="49"/>
      <c r="B67" s="49"/>
      <c r="C67" s="49"/>
      <c r="D67" s="49"/>
      <c r="E67" s="49"/>
      <c r="F67" s="49"/>
      <c r="G67" s="49"/>
    </row>
    <row r="68" spans="1:7" x14ac:dyDescent="0.2">
      <c r="A68" s="315" t="s">
        <v>1</v>
      </c>
      <c r="B68" s="316">
        <f>+B42+B51+B60</f>
        <v>402158333.33333331</v>
      </c>
      <c r="C68" s="49"/>
      <c r="D68" s="49"/>
      <c r="E68" s="49"/>
      <c r="F68" s="49"/>
      <c r="G68" s="49"/>
    </row>
    <row r="70" spans="1:7" ht="15.75" thickBot="1" x14ac:dyDescent="0.25">
      <c r="A70" s="32" t="s">
        <v>81</v>
      </c>
      <c r="B70" s="38"/>
      <c r="C70" s="38"/>
      <c r="D70" s="39"/>
    </row>
    <row r="71" spans="1:7" ht="15.75" thickBot="1" x14ac:dyDescent="0.25">
      <c r="A71" s="433" t="s">
        <v>82</v>
      </c>
      <c r="B71" s="434"/>
      <c r="C71" s="36"/>
      <c r="D71" s="37"/>
    </row>
    <row r="72" spans="1:7" x14ac:dyDescent="0.2">
      <c r="A72" s="149"/>
      <c r="B72" s="116"/>
    </row>
    <row r="73" spans="1:7" x14ac:dyDescent="0.2">
      <c r="A73" s="149" t="s">
        <v>237</v>
      </c>
      <c r="B73" s="150">
        <f>+B42</f>
        <v>113800000</v>
      </c>
      <c r="D73" s="18"/>
    </row>
    <row r="74" spans="1:7" x14ac:dyDescent="0.2">
      <c r="A74" s="149" t="s">
        <v>235</v>
      </c>
      <c r="B74" s="150">
        <f>+B51</f>
        <v>5800000</v>
      </c>
      <c r="D74" s="18"/>
    </row>
    <row r="75" spans="1:7" x14ac:dyDescent="0.2">
      <c r="A75" s="149" t="s">
        <v>80</v>
      </c>
      <c r="B75" s="150">
        <f>+B60</f>
        <v>282558333.33333331</v>
      </c>
      <c r="D75" s="18"/>
    </row>
    <row r="76" spans="1:7" ht="13.5" thickBot="1" x14ac:dyDescent="0.25">
      <c r="A76" s="318" t="s">
        <v>83</v>
      </c>
      <c r="B76" s="319">
        <f>SUM(B73:B75)</f>
        <v>402158333.33333331</v>
      </c>
    </row>
    <row r="77" spans="1:7" x14ac:dyDescent="0.2">
      <c r="D77" s="18"/>
    </row>
  </sheetData>
  <mergeCells count="1">
    <mergeCell ref="A71:B71"/>
  </mergeCells>
  <phoneticPr fontId="0" type="noConversion"/>
  <printOptions horizontalCentered="1" verticalCentered="1"/>
  <pageMargins left="0.78740157480314965" right="0.78740157480314965" top="0.59055118110236227" bottom="0.59055118110236227" header="0" footer="0"/>
  <pageSetup scale="82" orientation="portrait" horizontalDpi="4294967292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A1:M130"/>
  <sheetViews>
    <sheetView workbookViewId="0">
      <selection activeCell="M10" sqref="M10"/>
    </sheetView>
  </sheetViews>
  <sheetFormatPr baseColWidth="10" defaultRowHeight="12.75" x14ac:dyDescent="0.2"/>
  <cols>
    <col min="1" max="1" width="9.42578125" customWidth="1"/>
    <col min="2" max="2" width="18.5703125" customWidth="1"/>
    <col min="3" max="3" width="12.85546875" bestFit="1" customWidth="1"/>
    <col min="4" max="4" width="12.85546875" customWidth="1"/>
    <col min="5" max="5" width="13.7109375" customWidth="1"/>
    <col min="6" max="6" width="14.42578125" customWidth="1"/>
    <col min="7" max="7" width="15.140625" customWidth="1"/>
    <col min="8" max="8" width="15.85546875" customWidth="1"/>
    <col min="9" max="9" width="15.5703125" customWidth="1"/>
    <col min="11" max="11" width="17.85546875" customWidth="1"/>
    <col min="12" max="12" width="14.42578125" customWidth="1"/>
    <col min="13" max="13" width="14.140625" customWidth="1"/>
  </cols>
  <sheetData>
    <row r="1" spans="2:13" x14ac:dyDescent="0.2">
      <c r="B1" s="435"/>
      <c r="C1" s="435"/>
      <c r="D1" s="435"/>
      <c r="E1" s="435"/>
      <c r="F1" s="435"/>
      <c r="G1" s="435"/>
      <c r="H1" s="435"/>
      <c r="I1" s="435"/>
    </row>
    <row r="2" spans="2:13" x14ac:dyDescent="0.2">
      <c r="B2" s="436" t="s">
        <v>639</v>
      </c>
      <c r="C2" s="436"/>
      <c r="D2" s="436"/>
      <c r="E2" s="436"/>
      <c r="F2" s="436"/>
      <c r="G2" s="436"/>
      <c r="H2" s="436"/>
      <c r="I2" s="436"/>
    </row>
    <row r="3" spans="2:13" x14ac:dyDescent="0.2">
      <c r="B3" s="385"/>
      <c r="C3" s="437" t="s">
        <v>84</v>
      </c>
      <c r="D3" s="437"/>
      <c r="E3" s="437"/>
      <c r="F3" s="437"/>
      <c r="G3" s="437"/>
      <c r="H3" s="437"/>
    </row>
    <row r="4" spans="2:13" x14ac:dyDescent="0.2">
      <c r="B4" s="438"/>
      <c r="C4" s="438"/>
      <c r="D4" s="438"/>
      <c r="E4" s="438"/>
      <c r="F4" s="438"/>
      <c r="G4" s="438"/>
      <c r="H4" s="438"/>
      <c r="I4" s="438"/>
    </row>
    <row r="5" spans="2:13" ht="15" x14ac:dyDescent="0.25">
      <c r="B5" s="49"/>
      <c r="C5" s="49"/>
      <c r="D5" s="49">
        <v>0</v>
      </c>
      <c r="E5" s="270">
        <v>1</v>
      </c>
      <c r="F5" s="271">
        <v>2</v>
      </c>
      <c r="G5" s="271">
        <v>3</v>
      </c>
      <c r="H5" s="271">
        <v>4</v>
      </c>
      <c r="I5" s="271">
        <v>5</v>
      </c>
      <c r="J5" s="99"/>
      <c r="K5" s="99"/>
      <c r="L5" s="99"/>
      <c r="M5" s="99"/>
    </row>
    <row r="6" spans="2:13" x14ac:dyDescent="0.2">
      <c r="B6" s="199" t="s">
        <v>85</v>
      </c>
      <c r="C6" s="49"/>
      <c r="D6" s="342" t="s">
        <v>621</v>
      </c>
      <c r="E6" s="49"/>
      <c r="F6" s="189"/>
      <c r="G6" s="49"/>
      <c r="H6" s="49"/>
      <c r="I6" s="49"/>
    </row>
    <row r="7" spans="2:13" x14ac:dyDescent="0.2">
      <c r="B7" s="184" t="s">
        <v>575</v>
      </c>
      <c r="C7" s="49"/>
      <c r="D7" s="49">
        <f>+'4. COSTOS'!C25</f>
        <v>10</v>
      </c>
      <c r="E7" s="49">
        <f>+D7*12</f>
        <v>120</v>
      </c>
      <c r="F7" s="189">
        <f>+(E7)*(1+$F$11)</f>
        <v>138</v>
      </c>
      <c r="G7" s="189">
        <f>+F7*(1+$G$11)</f>
        <v>162.84</v>
      </c>
      <c r="H7" s="189">
        <f>+G7*(1+$H$11)</f>
        <v>197.03639999999999</v>
      </c>
      <c r="I7" s="189">
        <f>+H7*(1+$I$11)</f>
        <v>244.32513599999999</v>
      </c>
    </row>
    <row r="8" spans="2:13" x14ac:dyDescent="0.2">
      <c r="B8" s="184" t="s">
        <v>576</v>
      </c>
      <c r="C8" s="49"/>
      <c r="D8" s="49">
        <f>+'4. COSTOS'!C26</f>
        <v>3</v>
      </c>
      <c r="E8" s="49">
        <f>+D8*12</f>
        <v>36</v>
      </c>
      <c r="F8" s="189">
        <f>+(E8)*(1+$F$11)</f>
        <v>41.4</v>
      </c>
      <c r="G8" s="189">
        <f>+F8*(1+$G$11)</f>
        <v>48.851999999999997</v>
      </c>
      <c r="H8" s="189">
        <f>+G8*(1+$H$11)</f>
        <v>59.110919999999993</v>
      </c>
      <c r="I8" s="189">
        <f>+H8*(1+$I$11)</f>
        <v>73.297540799999993</v>
      </c>
    </row>
    <row r="9" spans="2:13" x14ac:dyDescent="0.2">
      <c r="B9" s="184" t="s">
        <v>587</v>
      </c>
      <c r="C9" s="49"/>
      <c r="D9" s="49">
        <f>+'4. COSTOS'!C27</f>
        <v>2</v>
      </c>
      <c r="E9" s="49">
        <f>+D9*12</f>
        <v>24</v>
      </c>
      <c r="F9" s="189">
        <f>+(E9)*(1+$F$11)</f>
        <v>27.599999999999998</v>
      </c>
      <c r="G9" s="189">
        <f>+F9*(1+$G$11)</f>
        <v>32.567999999999998</v>
      </c>
      <c r="H9" s="189">
        <f>+G9*(1+$H$11)</f>
        <v>39.407279999999993</v>
      </c>
      <c r="I9" s="189">
        <f>+H9*(1+$I$11)</f>
        <v>48.865027199999993</v>
      </c>
    </row>
    <row r="10" spans="2:13" x14ac:dyDescent="0.2">
      <c r="B10" s="49" t="s">
        <v>1</v>
      </c>
      <c r="C10" s="49"/>
      <c r="D10" s="49"/>
      <c r="E10" s="49">
        <f>SUM(E7:E9)</f>
        <v>180</v>
      </c>
      <c r="F10" s="189">
        <f>+(E10)*(1+$F$11)</f>
        <v>206.99999999999997</v>
      </c>
      <c r="G10" s="189">
        <f>SUM(G7:G9)</f>
        <v>244.26</v>
      </c>
      <c r="H10" s="189">
        <f>SUM(H7:H9)</f>
        <v>295.55459999999999</v>
      </c>
      <c r="I10" s="189">
        <f>SUM(I7:I9)</f>
        <v>366.48770399999995</v>
      </c>
    </row>
    <row r="11" spans="2:13" x14ac:dyDescent="0.2">
      <c r="B11" s="315" t="s">
        <v>86</v>
      </c>
      <c r="C11" s="315"/>
      <c r="D11" s="315"/>
      <c r="E11" s="315"/>
      <c r="F11" s="389">
        <v>0.15</v>
      </c>
      <c r="G11" s="389">
        <v>0.18</v>
      </c>
      <c r="H11" s="389">
        <v>0.21</v>
      </c>
      <c r="I11" s="389">
        <v>0.24</v>
      </c>
      <c r="J11" s="146" t="s">
        <v>394</v>
      </c>
    </row>
    <row r="12" spans="2:13" x14ac:dyDescent="0.2">
      <c r="E12" s="31"/>
    </row>
    <row r="13" spans="2:13" ht="25.5" x14ac:dyDescent="0.2">
      <c r="B13" s="388" t="s">
        <v>298</v>
      </c>
      <c r="C13" s="387" t="s">
        <v>299</v>
      </c>
      <c r="D13" s="386">
        <v>0.4</v>
      </c>
      <c r="E13" s="278"/>
      <c r="F13" s="278"/>
      <c r="G13" s="278"/>
      <c r="H13" s="278"/>
      <c r="I13" s="278"/>
    </row>
    <row r="14" spans="2:13" x14ac:dyDescent="0.2">
      <c r="B14" s="184" t="s">
        <v>575</v>
      </c>
      <c r="C14" s="335"/>
      <c r="D14" s="336"/>
      <c r="E14" s="195">
        <f>'4. COSTOS'!C20*(1+'3, INVENTARIO'!$D$13)</f>
        <v>11900000</v>
      </c>
      <c r="F14" s="62">
        <f>+E14*(1+$F$17)</f>
        <v>13030500</v>
      </c>
      <c r="G14" s="62">
        <f>+F14*(1+$G$17)</f>
        <v>14265791.4</v>
      </c>
      <c r="H14" s="62">
        <f>+G14*(1+$H$17)</f>
        <v>15874972.669920001</v>
      </c>
      <c r="I14" s="62">
        <f>+H14*(1+$I$17)</f>
        <v>17525969.827591684</v>
      </c>
    </row>
    <row r="15" spans="2:13" x14ac:dyDescent="0.2">
      <c r="B15" s="184" t="s">
        <v>576</v>
      </c>
      <c r="C15" s="210"/>
      <c r="D15" s="210"/>
      <c r="E15" s="195">
        <f>+'4. COSTOS'!D20*(1+$D$13)</f>
        <v>16309999.999999998</v>
      </c>
      <c r="F15" s="62">
        <f>+E15*(1+$F$17)</f>
        <v>17859449.999999996</v>
      </c>
      <c r="G15" s="62">
        <f>+F15*(1+$G$17)</f>
        <v>19552525.859999996</v>
      </c>
      <c r="H15" s="62">
        <f>+G15*(1+$H$17)</f>
        <v>21758050.777007997</v>
      </c>
      <c r="I15" s="62">
        <f>+H15*(1+$I$17)</f>
        <v>24020888.05781683</v>
      </c>
    </row>
    <row r="16" spans="2:13" x14ac:dyDescent="0.2">
      <c r="B16" s="184" t="s">
        <v>587</v>
      </c>
      <c r="C16" s="49"/>
      <c r="D16" s="49"/>
      <c r="E16" s="195">
        <f>+'4. COSTOS'!E20*(1+$D$13)</f>
        <v>56000000</v>
      </c>
      <c r="F16" s="62">
        <f>+E16*(1+$F$17)</f>
        <v>61320000</v>
      </c>
      <c r="G16" s="62">
        <f>+F16*(1+$G$17)</f>
        <v>67133136</v>
      </c>
      <c r="H16" s="62">
        <f>+G16*(1+$H$17)</f>
        <v>74705753.740800008</v>
      </c>
      <c r="I16" s="62">
        <f>+H16*(1+$I$17)</f>
        <v>82475152.12984322</v>
      </c>
    </row>
    <row r="17" spans="1:11" x14ac:dyDescent="0.2">
      <c r="B17" s="320" t="s">
        <v>87</v>
      </c>
      <c r="C17" s="199"/>
      <c r="D17" s="199"/>
      <c r="E17" s="199"/>
      <c r="F17" s="331">
        <f>+(0.9*'4. COSTOS'!O8+0.1*'3, INVENTARIO'!F18)</f>
        <v>9.5000000000000015E-2</v>
      </c>
      <c r="G17" s="331">
        <f>+(0.9*'4. COSTOS'!O8+0.1*'3, INVENTARIO'!G18)</f>
        <v>9.4800000000000009E-2</v>
      </c>
      <c r="H17" s="331">
        <f>+(0.9*'4. COSTOS'!P8+0.1*'3, INVENTARIO'!H18)</f>
        <v>0.1128</v>
      </c>
      <c r="I17" s="331">
        <f>+(0.9*'4. COSTOS'!Q8+0.1*'3, INVENTARIO'!I18)</f>
        <v>0.10400000000000001</v>
      </c>
    </row>
    <row r="18" spans="1:11" x14ac:dyDescent="0.2">
      <c r="B18" s="390" t="s">
        <v>392</v>
      </c>
      <c r="C18" s="390"/>
      <c r="D18" s="390"/>
      <c r="E18" s="391">
        <v>5.1999999999999998E-2</v>
      </c>
      <c r="F18" s="391">
        <v>0.05</v>
      </c>
      <c r="G18" s="391">
        <v>4.8000000000000001E-2</v>
      </c>
      <c r="H18" s="391">
        <v>4.8000000000000001E-2</v>
      </c>
      <c r="I18" s="391">
        <v>0.05</v>
      </c>
    </row>
    <row r="19" spans="1:11" x14ac:dyDescent="0.2">
      <c r="B19" s="49" t="s">
        <v>88</v>
      </c>
      <c r="C19" s="49"/>
      <c r="D19" s="49"/>
      <c r="E19" s="49"/>
      <c r="F19" s="176"/>
      <c r="G19" s="176"/>
      <c r="H19" s="176"/>
      <c r="I19" s="49"/>
    </row>
    <row r="20" spans="1:11" x14ac:dyDescent="0.2">
      <c r="B20" s="184" t="s">
        <v>575</v>
      </c>
      <c r="C20" s="49"/>
      <c r="D20" s="49"/>
      <c r="E20" s="189">
        <f>+E7*E14</f>
        <v>1428000000</v>
      </c>
      <c r="F20" s="189">
        <f>+F7*F14</f>
        <v>1798209000</v>
      </c>
      <c r="G20" s="189">
        <f t="shared" ref="F20:I22" si="0">+G7*G14</f>
        <v>2323041471.5760002</v>
      </c>
      <c r="H20" s="189">
        <f t="shared" si="0"/>
        <v>3127947464.979425</v>
      </c>
      <c r="I20" s="189">
        <f t="shared" si="0"/>
        <v>4282034961.6582346</v>
      </c>
    </row>
    <row r="21" spans="1:11" x14ac:dyDescent="0.2">
      <c r="B21" s="184" t="s">
        <v>576</v>
      </c>
      <c r="C21" s="49"/>
      <c r="D21" s="49"/>
      <c r="E21" s="189">
        <f>+E8*E15</f>
        <v>587159999.99999988</v>
      </c>
      <c r="F21" s="189">
        <f t="shared" si="0"/>
        <v>739381229.99999976</v>
      </c>
      <c r="G21" s="189">
        <f t="shared" si="0"/>
        <v>955179993.3127197</v>
      </c>
      <c r="H21" s="189">
        <f t="shared" si="0"/>
        <v>1286138398.8356574</v>
      </c>
      <c r="I21" s="189">
        <f t="shared" si="0"/>
        <v>1760672022.4700615</v>
      </c>
    </row>
    <row r="22" spans="1:11" x14ac:dyDescent="0.2">
      <c r="B22" s="184" t="s">
        <v>587</v>
      </c>
      <c r="C22" s="49"/>
      <c r="D22" s="49"/>
      <c r="E22" s="189">
        <f>+E9*E16</f>
        <v>1344000000</v>
      </c>
      <c r="F22" s="189">
        <f t="shared" si="0"/>
        <v>1692431999.9999998</v>
      </c>
      <c r="G22" s="189">
        <f t="shared" si="0"/>
        <v>2186391973.2479997</v>
      </c>
      <c r="H22" s="189">
        <f t="shared" si="0"/>
        <v>2943950555.2747526</v>
      </c>
      <c r="I22" s="189">
        <f t="shared" si="0"/>
        <v>4030150552.1489263</v>
      </c>
    </row>
    <row r="23" spans="1:11" x14ac:dyDescent="0.2">
      <c r="B23" s="49" t="s">
        <v>89</v>
      </c>
      <c r="C23" s="49"/>
      <c r="D23" s="49"/>
      <c r="E23" s="189">
        <f>SUM(E20:E22)</f>
        <v>3359160000</v>
      </c>
      <c r="F23" s="189">
        <f>SUM(F20:F22)</f>
        <v>4230022230</v>
      </c>
      <c r="G23" s="189">
        <f>SUM(G20:G22)</f>
        <v>5464613438.1367197</v>
      </c>
      <c r="H23" s="189">
        <f>SUM(H20:H22)</f>
        <v>7358036419.0898352</v>
      </c>
      <c r="I23" s="189">
        <f>SUM(I20:I22)</f>
        <v>10072857536.277222</v>
      </c>
    </row>
    <row r="24" spans="1:11" x14ac:dyDescent="0.2">
      <c r="B24" s="49"/>
      <c r="C24" s="49"/>
      <c r="D24" s="49"/>
      <c r="E24" s="49"/>
      <c r="F24" s="176"/>
      <c r="G24" s="176"/>
      <c r="H24" s="176"/>
      <c r="I24" s="49"/>
    </row>
    <row r="25" spans="1:11" x14ac:dyDescent="0.2">
      <c r="B25" s="392" t="s">
        <v>321</v>
      </c>
      <c r="C25" s="392"/>
      <c r="D25" s="392">
        <v>0.31</v>
      </c>
      <c r="E25" s="392">
        <v>0.31</v>
      </c>
      <c r="F25" s="392">
        <v>0.31</v>
      </c>
      <c r="G25" s="392">
        <v>0.31</v>
      </c>
      <c r="H25" s="392">
        <v>0.31</v>
      </c>
      <c r="I25" s="392">
        <v>0.31</v>
      </c>
    </row>
    <row r="26" spans="1:11" x14ac:dyDescent="0.2">
      <c r="F26" s="26"/>
      <c r="G26" s="26"/>
      <c r="H26" s="26"/>
    </row>
    <row r="27" spans="1:11" x14ac:dyDescent="0.2">
      <c r="F27" s="26"/>
      <c r="G27" s="26"/>
      <c r="H27" s="26"/>
    </row>
    <row r="28" spans="1:11" ht="15.75" x14ac:dyDescent="0.25">
      <c r="A28" s="102" t="s">
        <v>556</v>
      </c>
      <c r="B28" s="38"/>
      <c r="C28" s="92"/>
      <c r="D28" s="92"/>
      <c r="E28" s="92"/>
      <c r="F28" s="100"/>
      <c r="G28" s="100"/>
      <c r="H28" s="100"/>
      <c r="I28" s="36"/>
      <c r="J28" s="36"/>
      <c r="K28" s="36"/>
    </row>
    <row r="29" spans="1:11" ht="14.25" x14ac:dyDescent="0.2">
      <c r="A29" s="94"/>
      <c r="B29" s="94"/>
      <c r="C29" s="94"/>
      <c r="D29" s="94"/>
      <c r="E29" s="94"/>
      <c r="F29" s="101"/>
      <c r="G29" s="101"/>
      <c r="H29" s="101"/>
    </row>
    <row r="30" spans="1:11" ht="14.25" x14ac:dyDescent="0.2">
      <c r="A30" s="92" t="s">
        <v>90</v>
      </c>
      <c r="B30" s="92"/>
      <c r="C30" s="92"/>
      <c r="D30" s="92"/>
      <c r="E30" s="92"/>
      <c r="F30" s="92"/>
      <c r="G30" s="92"/>
      <c r="H30" s="92"/>
      <c r="I30" s="36"/>
      <c r="J30" s="36"/>
      <c r="K30" s="36"/>
    </row>
    <row r="31" spans="1:11" ht="13.5" thickBot="1" x14ac:dyDescent="0.25">
      <c r="A31" s="85"/>
    </row>
    <row r="32" spans="1:11" ht="18.75" customHeight="1" thickTop="1" thickBot="1" x14ac:dyDescent="0.25">
      <c r="A32" s="322" t="s">
        <v>582</v>
      </c>
      <c r="B32" s="91"/>
      <c r="C32" s="86" t="s">
        <v>0</v>
      </c>
      <c r="D32" s="86"/>
      <c r="E32" s="86"/>
      <c r="F32" s="87" t="s">
        <v>91</v>
      </c>
      <c r="G32" s="87"/>
      <c r="H32" s="87"/>
      <c r="I32" s="88" t="s">
        <v>92</v>
      </c>
      <c r="J32" s="89"/>
      <c r="K32" s="90"/>
    </row>
    <row r="33" spans="1:11" ht="13.5" thickBot="1" x14ac:dyDescent="0.25">
      <c r="A33" s="58" t="s">
        <v>93</v>
      </c>
      <c r="B33" s="59" t="s">
        <v>94</v>
      </c>
      <c r="C33" s="60" t="s">
        <v>95</v>
      </c>
      <c r="D33" s="59" t="s">
        <v>96</v>
      </c>
      <c r="E33" s="61" t="s">
        <v>1</v>
      </c>
      <c r="F33" s="59" t="s">
        <v>95</v>
      </c>
      <c r="G33" s="59" t="s">
        <v>96</v>
      </c>
      <c r="H33" s="59" t="s">
        <v>1</v>
      </c>
      <c r="I33" s="66" t="s">
        <v>95</v>
      </c>
      <c r="J33" s="67" t="s">
        <v>96</v>
      </c>
      <c r="K33" s="68" t="s">
        <v>1</v>
      </c>
    </row>
    <row r="34" spans="1:11" x14ac:dyDescent="0.2">
      <c r="A34" s="72"/>
      <c r="B34" s="49"/>
      <c r="C34" s="56"/>
      <c r="D34" s="49"/>
      <c r="E34" s="54"/>
      <c r="F34" s="49"/>
      <c r="G34" s="49"/>
      <c r="H34" s="49"/>
      <c r="I34" s="63">
        <v>0</v>
      </c>
      <c r="J34" s="62"/>
      <c r="K34" s="65">
        <v>0</v>
      </c>
    </row>
    <row r="35" spans="1:11" x14ac:dyDescent="0.2">
      <c r="A35" s="73" t="s">
        <v>100</v>
      </c>
      <c r="B35" s="49" t="s">
        <v>97</v>
      </c>
      <c r="C35" s="63">
        <f>+'3, INVENTARIO'!E7+1</f>
        <v>121</v>
      </c>
      <c r="D35" s="62">
        <f>+'4. COSTOS'!M10</f>
        <v>8500000</v>
      </c>
      <c r="E35" s="64">
        <f>+C35*D35</f>
        <v>1028500000</v>
      </c>
      <c r="F35" s="49"/>
      <c r="G35" s="49"/>
      <c r="H35" s="62"/>
      <c r="I35" s="63">
        <f>+C35-F35</f>
        <v>121</v>
      </c>
      <c r="J35" s="62">
        <f t="shared" ref="J35:J54" si="1">+K35/I35</f>
        <v>8500000</v>
      </c>
      <c r="K35" s="65">
        <f>+E35-H35</f>
        <v>1028500000</v>
      </c>
    </row>
    <row r="36" spans="1:11" x14ac:dyDescent="0.2">
      <c r="A36" s="73">
        <v>2025</v>
      </c>
      <c r="B36" s="49" t="s">
        <v>98</v>
      </c>
      <c r="C36" s="63"/>
      <c r="D36" s="62"/>
      <c r="E36" s="64"/>
      <c r="F36" s="49">
        <f>ROUND(+C35*0%,0)</f>
        <v>0</v>
      </c>
      <c r="G36" s="62">
        <f>+J35</f>
        <v>8500000</v>
      </c>
      <c r="H36" s="62">
        <f>+G36*F36</f>
        <v>0</v>
      </c>
      <c r="I36" s="63">
        <f>+I35+C36-F36</f>
        <v>121</v>
      </c>
      <c r="J36" s="62">
        <f t="shared" si="1"/>
        <v>8500000</v>
      </c>
      <c r="K36" s="65">
        <f t="shared" ref="K36:K54" si="2">+K35+E36-H36</f>
        <v>1028500000</v>
      </c>
    </row>
    <row r="37" spans="1:11" x14ac:dyDescent="0.2">
      <c r="A37" s="79"/>
      <c r="B37" s="80" t="s">
        <v>59</v>
      </c>
      <c r="C37" s="81"/>
      <c r="D37" s="82"/>
      <c r="E37" s="83"/>
      <c r="F37" s="80">
        <f>+'3, INVENTARIO'!E7</f>
        <v>120</v>
      </c>
      <c r="G37" s="82">
        <f>+J36</f>
        <v>8500000</v>
      </c>
      <c r="H37" s="82">
        <f>+F37*G37</f>
        <v>1020000000</v>
      </c>
      <c r="I37" s="63">
        <f>+I36+C37-F37</f>
        <v>1</v>
      </c>
      <c r="J37" s="62">
        <f>+K37/I37</f>
        <v>8500000</v>
      </c>
      <c r="K37" s="65">
        <f>+K36+E37-H37</f>
        <v>8500000</v>
      </c>
    </row>
    <row r="38" spans="1:11" ht="13.5" thickBot="1" x14ac:dyDescent="0.25">
      <c r="A38" s="74"/>
      <c r="B38" s="53" t="s">
        <v>99</v>
      </c>
      <c r="C38" s="55">
        <f>ROUND(+F37*0%,0)</f>
        <v>0</v>
      </c>
      <c r="D38" s="76">
        <f>+J37</f>
        <v>8500000</v>
      </c>
      <c r="E38" s="77">
        <f>+C38*D38</f>
        <v>0</v>
      </c>
      <c r="F38" s="53"/>
      <c r="G38" s="76"/>
      <c r="H38" s="76"/>
      <c r="I38" s="75">
        <f t="shared" ref="I38:I49" si="3">+I37+C38-F38</f>
        <v>1</v>
      </c>
      <c r="J38" s="76">
        <f t="shared" si="1"/>
        <v>8500000</v>
      </c>
      <c r="K38" s="78">
        <f t="shared" si="2"/>
        <v>8500000</v>
      </c>
    </row>
    <row r="39" spans="1:11" x14ac:dyDescent="0.2">
      <c r="A39" s="73" t="s">
        <v>100</v>
      </c>
      <c r="B39" s="49" t="s">
        <v>97</v>
      </c>
      <c r="C39" s="63">
        <f>+'3, INVENTARIO'!F7</f>
        <v>138</v>
      </c>
      <c r="D39" s="62">
        <f>+'4. COSTOS'!N10</f>
        <v>8500000</v>
      </c>
      <c r="E39" s="64">
        <f>+C39*D39</f>
        <v>1173000000</v>
      </c>
      <c r="F39" s="49"/>
      <c r="G39" s="49"/>
      <c r="H39" s="62"/>
      <c r="I39" s="63">
        <f t="shared" si="3"/>
        <v>139</v>
      </c>
      <c r="J39" s="62">
        <f t="shared" si="1"/>
        <v>8500000</v>
      </c>
      <c r="K39" s="65">
        <f t="shared" si="2"/>
        <v>1181500000</v>
      </c>
    </row>
    <row r="40" spans="1:11" x14ac:dyDescent="0.2">
      <c r="A40" s="73">
        <v>2026</v>
      </c>
      <c r="B40" s="49" t="s">
        <v>98</v>
      </c>
      <c r="C40" s="63"/>
      <c r="D40" s="62"/>
      <c r="E40" s="64"/>
      <c r="F40" s="49">
        <f>ROUND(+C39*0%,0)</f>
        <v>0</v>
      </c>
      <c r="G40" s="62">
        <f>+J39</f>
        <v>8500000</v>
      </c>
      <c r="H40" s="62">
        <f>+G40*F40</f>
        <v>0</v>
      </c>
      <c r="I40" s="63">
        <f t="shared" si="3"/>
        <v>139</v>
      </c>
      <c r="J40" s="62">
        <f t="shared" si="1"/>
        <v>8500000</v>
      </c>
      <c r="K40" s="65">
        <f t="shared" si="2"/>
        <v>1181500000</v>
      </c>
    </row>
    <row r="41" spans="1:11" x14ac:dyDescent="0.2">
      <c r="A41" s="48"/>
      <c r="B41" s="80" t="s">
        <v>59</v>
      </c>
      <c r="C41" s="81"/>
      <c r="D41" s="82"/>
      <c r="E41" s="83"/>
      <c r="F41" s="80">
        <f>+'3, INVENTARIO'!F7</f>
        <v>138</v>
      </c>
      <c r="G41" s="82">
        <f>+J40</f>
        <v>8500000</v>
      </c>
      <c r="H41" s="82">
        <f>+F41*G41</f>
        <v>1173000000</v>
      </c>
      <c r="I41" s="63">
        <f t="shared" si="3"/>
        <v>1</v>
      </c>
      <c r="J41" s="62">
        <f t="shared" si="1"/>
        <v>8500000</v>
      </c>
      <c r="K41" s="65">
        <f t="shared" si="2"/>
        <v>8500000</v>
      </c>
    </row>
    <row r="42" spans="1:11" ht="13.5" thickBot="1" x14ac:dyDescent="0.25">
      <c r="A42" s="52"/>
      <c r="B42" s="53" t="s">
        <v>99</v>
      </c>
      <c r="C42" s="55">
        <f>ROUND(+F41*0%,0)</f>
        <v>0</v>
      </c>
      <c r="D42" s="76">
        <f>+J41</f>
        <v>8500000</v>
      </c>
      <c r="E42" s="77">
        <f>+C42*D42</f>
        <v>0</v>
      </c>
      <c r="F42" s="53"/>
      <c r="G42" s="76"/>
      <c r="H42" s="76"/>
      <c r="I42" s="75">
        <f t="shared" si="3"/>
        <v>1</v>
      </c>
      <c r="J42" s="76">
        <f t="shared" si="1"/>
        <v>8500000</v>
      </c>
      <c r="K42" s="78">
        <f t="shared" si="2"/>
        <v>8500000</v>
      </c>
    </row>
    <row r="43" spans="1:11" x14ac:dyDescent="0.2">
      <c r="A43" s="73" t="s">
        <v>100</v>
      </c>
      <c r="B43" s="49" t="s">
        <v>97</v>
      </c>
      <c r="C43" s="63">
        <f>+'3, INVENTARIO'!G7</f>
        <v>162.84</v>
      </c>
      <c r="D43" s="62">
        <f>+'4. COSTOS'!O10</f>
        <v>9350000</v>
      </c>
      <c r="E43" s="64">
        <f>+C43*D43</f>
        <v>1522554000</v>
      </c>
      <c r="F43" s="49"/>
      <c r="G43" s="49"/>
      <c r="H43" s="62"/>
      <c r="I43" s="63">
        <f t="shared" si="3"/>
        <v>163.84</v>
      </c>
      <c r="J43" s="62">
        <f t="shared" si="1"/>
        <v>9344812.01171875</v>
      </c>
      <c r="K43" s="65">
        <f t="shared" si="2"/>
        <v>1531054000</v>
      </c>
    </row>
    <row r="44" spans="1:11" x14ac:dyDescent="0.2">
      <c r="A44" s="73">
        <v>2027</v>
      </c>
      <c r="B44" s="49" t="s">
        <v>98</v>
      </c>
      <c r="C44" s="63"/>
      <c r="D44" s="62"/>
      <c r="E44" s="64"/>
      <c r="F44" s="49">
        <f>ROUND(+C43*0%,0)</f>
        <v>0</v>
      </c>
      <c r="G44" s="62">
        <f>+J43</f>
        <v>9344812.01171875</v>
      </c>
      <c r="H44" s="62">
        <f>+G44*F44</f>
        <v>0</v>
      </c>
      <c r="I44" s="63">
        <f t="shared" si="3"/>
        <v>163.84</v>
      </c>
      <c r="J44" s="62">
        <f t="shared" si="1"/>
        <v>9344812.01171875</v>
      </c>
      <c r="K44" s="65">
        <f t="shared" si="2"/>
        <v>1531054000</v>
      </c>
    </row>
    <row r="45" spans="1:11" x14ac:dyDescent="0.2">
      <c r="A45" s="48"/>
      <c r="B45" s="80" t="s">
        <v>59</v>
      </c>
      <c r="C45" s="81"/>
      <c r="D45" s="82"/>
      <c r="E45" s="83"/>
      <c r="F45" s="82">
        <f>+C43</f>
        <v>162.84</v>
      </c>
      <c r="G45" s="82">
        <f>+J44</f>
        <v>9344812.01171875</v>
      </c>
      <c r="H45" s="82">
        <f>+F45*G45</f>
        <v>1521709187.9882813</v>
      </c>
      <c r="I45" s="63">
        <f t="shared" si="3"/>
        <v>1</v>
      </c>
      <c r="J45" s="62">
        <f t="shared" si="1"/>
        <v>9344812.01171875</v>
      </c>
      <c r="K45" s="65">
        <f t="shared" si="2"/>
        <v>9344812.01171875</v>
      </c>
    </row>
    <row r="46" spans="1:11" ht="13.5" thickBot="1" x14ac:dyDescent="0.25">
      <c r="A46" s="52"/>
      <c r="B46" s="53" t="s">
        <v>99</v>
      </c>
      <c r="C46" s="55">
        <f>ROUND(+F45*0%,0)</f>
        <v>0</v>
      </c>
      <c r="D46" s="76">
        <f>+J45</f>
        <v>9344812.01171875</v>
      </c>
      <c r="E46" s="77">
        <f>+C46*D46</f>
        <v>0</v>
      </c>
      <c r="F46" s="53"/>
      <c r="G46" s="76"/>
      <c r="H46" s="76"/>
      <c r="I46" s="75">
        <f t="shared" si="3"/>
        <v>1</v>
      </c>
      <c r="J46" s="76">
        <f t="shared" si="1"/>
        <v>9344812.01171875</v>
      </c>
      <c r="K46" s="78">
        <f t="shared" si="2"/>
        <v>9344812.01171875</v>
      </c>
    </row>
    <row r="47" spans="1:11" x14ac:dyDescent="0.2">
      <c r="A47" s="73" t="s">
        <v>100</v>
      </c>
      <c r="B47" s="49" t="s">
        <v>97</v>
      </c>
      <c r="C47" s="63">
        <f>+'3, INVENTARIO'!H7</f>
        <v>197.03639999999999</v>
      </c>
      <c r="D47" s="62">
        <f>+'4. COSTOS'!P10</f>
        <v>10472000.000000002</v>
      </c>
      <c r="E47" s="64">
        <f>+C47*D47</f>
        <v>2063365180.8000002</v>
      </c>
      <c r="F47" s="49"/>
      <c r="G47" s="49"/>
      <c r="H47" s="62"/>
      <c r="I47" s="63">
        <f t="shared" si="3"/>
        <v>198.03639999999999</v>
      </c>
      <c r="J47" s="62">
        <f t="shared" si="1"/>
        <v>10466308.177747723</v>
      </c>
      <c r="K47" s="65">
        <f t="shared" si="2"/>
        <v>2072709992.8117189</v>
      </c>
    </row>
    <row r="48" spans="1:11" x14ac:dyDescent="0.2">
      <c r="A48" s="73">
        <v>2028</v>
      </c>
      <c r="B48" s="49" t="s">
        <v>98</v>
      </c>
      <c r="C48" s="63"/>
      <c r="D48" s="62"/>
      <c r="E48" s="64"/>
      <c r="F48" s="49">
        <f>ROUND(+C47*0%,0)</f>
        <v>0</v>
      </c>
      <c r="G48" s="62">
        <f>+J47</f>
        <v>10466308.177747723</v>
      </c>
      <c r="H48" s="62">
        <f>+G48*F48</f>
        <v>0</v>
      </c>
      <c r="I48" s="63">
        <f t="shared" si="3"/>
        <v>198.03639999999999</v>
      </c>
      <c r="J48" s="62">
        <f t="shared" si="1"/>
        <v>10466308.177747723</v>
      </c>
      <c r="K48" s="65">
        <f t="shared" si="2"/>
        <v>2072709992.8117189</v>
      </c>
    </row>
    <row r="49" spans="1:11" x14ac:dyDescent="0.2">
      <c r="A49" s="48"/>
      <c r="B49" s="80" t="s">
        <v>59</v>
      </c>
      <c r="C49" s="81"/>
      <c r="D49" s="82"/>
      <c r="E49" s="83"/>
      <c r="F49" s="82">
        <f>+C47</f>
        <v>197.03639999999999</v>
      </c>
      <c r="G49" s="82">
        <f>+J48</f>
        <v>10466308.177747723</v>
      </c>
      <c r="H49" s="82">
        <f>+F49*G49</f>
        <v>2062243684.6339712</v>
      </c>
      <c r="I49" s="63">
        <f t="shared" si="3"/>
        <v>1</v>
      </c>
      <c r="J49" s="62">
        <f t="shared" si="1"/>
        <v>10466308.177747726</v>
      </c>
      <c r="K49" s="65">
        <f t="shared" si="2"/>
        <v>10466308.177747726</v>
      </c>
    </row>
    <row r="50" spans="1:11" ht="13.5" thickBot="1" x14ac:dyDescent="0.25">
      <c r="A50" s="52"/>
      <c r="B50" s="53" t="s">
        <v>99</v>
      </c>
      <c r="C50" s="75">
        <f>ROUND(+F49*0%,0)</f>
        <v>0</v>
      </c>
      <c r="D50" s="76">
        <f>+J49</f>
        <v>10466308.177747726</v>
      </c>
      <c r="E50" s="77">
        <f>+C50*D50</f>
        <v>0</v>
      </c>
      <c r="F50" s="76"/>
      <c r="G50" s="76"/>
      <c r="H50" s="76"/>
      <c r="I50" s="75">
        <f>+I49+C50-F50</f>
        <v>1</v>
      </c>
      <c r="J50" s="76">
        <f t="shared" si="1"/>
        <v>10466308.177747726</v>
      </c>
      <c r="K50" s="78">
        <f t="shared" si="2"/>
        <v>10466308.177747726</v>
      </c>
    </row>
    <row r="51" spans="1:11" x14ac:dyDescent="0.2">
      <c r="A51" s="272" t="s">
        <v>100</v>
      </c>
      <c r="B51" s="103" t="s">
        <v>97</v>
      </c>
      <c r="C51" s="137">
        <f>+I7</f>
        <v>244.32513599999999</v>
      </c>
      <c r="D51" s="138">
        <f>+'4. COSTOS'!Q10</f>
        <v>11623920.000000004</v>
      </c>
      <c r="E51" s="139">
        <f>+C51*D51</f>
        <v>2840015834.8531208</v>
      </c>
      <c r="F51" s="138"/>
      <c r="G51" s="138"/>
      <c r="H51" s="138"/>
      <c r="I51" s="137">
        <f>+I50+C51-F51</f>
        <v>245.32513599999999</v>
      </c>
      <c r="J51" s="62">
        <f t="shared" si="1"/>
        <v>11619201.315885009</v>
      </c>
      <c r="K51" s="65">
        <f t="shared" si="2"/>
        <v>2850482143.0308685</v>
      </c>
    </row>
    <row r="52" spans="1:11" x14ac:dyDescent="0.2">
      <c r="A52" s="136"/>
      <c r="B52" s="80" t="s">
        <v>307</v>
      </c>
      <c r="C52" s="81"/>
      <c r="D52" s="82"/>
      <c r="E52" s="83"/>
      <c r="F52" s="82">
        <f>ROUND(C51*0%,0)</f>
        <v>0</v>
      </c>
      <c r="G52" s="82">
        <f>+J51</f>
        <v>11619201.315885009</v>
      </c>
      <c r="H52" s="82">
        <f>+F52*G52</f>
        <v>0</v>
      </c>
      <c r="I52" s="63">
        <f>+I51+C52-F52</f>
        <v>245.32513599999999</v>
      </c>
      <c r="J52" s="62">
        <f t="shared" si="1"/>
        <v>11619201.315885009</v>
      </c>
      <c r="K52" s="65">
        <f t="shared" si="2"/>
        <v>2850482143.0308685</v>
      </c>
    </row>
    <row r="53" spans="1:11" x14ac:dyDescent="0.2">
      <c r="A53" s="136">
        <v>2029</v>
      </c>
      <c r="B53" s="80" t="s">
        <v>59</v>
      </c>
      <c r="C53" s="81"/>
      <c r="D53" s="82"/>
      <c r="E53" s="83"/>
      <c r="F53" s="82">
        <f>+C51</f>
        <v>244.32513599999999</v>
      </c>
      <c r="G53" s="82">
        <f>+J52</f>
        <v>11619201.315885009</v>
      </c>
      <c r="H53" s="82">
        <f>+F53*G53</f>
        <v>2838862941.7149835</v>
      </c>
      <c r="I53" s="63">
        <f>+I52+C53-F53</f>
        <v>1</v>
      </c>
      <c r="J53" s="62">
        <f t="shared" si="1"/>
        <v>11619201.315885067</v>
      </c>
      <c r="K53" s="65">
        <f t="shared" si="2"/>
        <v>11619201.315885067</v>
      </c>
    </row>
    <row r="54" spans="1:11" x14ac:dyDescent="0.2">
      <c r="A54" s="136"/>
      <c r="B54" s="80" t="s">
        <v>308</v>
      </c>
      <c r="C54" s="81">
        <f>ROUND(F53*0%,0)</f>
        <v>0</v>
      </c>
      <c r="D54" s="82">
        <f>+J53</f>
        <v>11619201.315885067</v>
      </c>
      <c r="E54" s="83">
        <f>+C54*D54</f>
        <v>0</v>
      </c>
      <c r="F54" s="82"/>
      <c r="G54" s="82"/>
      <c r="H54" s="82"/>
      <c r="I54" s="63">
        <f>+I53+C54-F54</f>
        <v>1</v>
      </c>
      <c r="J54" s="62">
        <f t="shared" si="1"/>
        <v>11619201.315885067</v>
      </c>
      <c r="K54" s="65">
        <f t="shared" si="2"/>
        <v>11619201.315885067</v>
      </c>
    </row>
    <row r="55" spans="1:11" ht="13.5" thickBot="1" x14ac:dyDescent="0.25">
      <c r="A55" s="50"/>
      <c r="B55" s="51"/>
      <c r="C55" s="57"/>
      <c r="D55" s="70"/>
      <c r="E55" s="84"/>
      <c r="F55" s="51"/>
      <c r="G55" s="70"/>
      <c r="H55" s="70"/>
      <c r="I55" s="69"/>
      <c r="J55" s="70"/>
      <c r="K55" s="71"/>
    </row>
    <row r="56" spans="1:11" ht="13.5" thickTop="1" x14ac:dyDescent="0.2"/>
    <row r="57" spans="1:11" ht="13.5" thickBot="1" x14ac:dyDescent="0.25"/>
    <row r="58" spans="1:11" ht="14.25" thickTop="1" thickBot="1" x14ac:dyDescent="0.25">
      <c r="A58" s="322" t="s">
        <v>589</v>
      </c>
      <c r="B58" s="91"/>
      <c r="C58" s="86" t="s">
        <v>0</v>
      </c>
      <c r="D58" s="86"/>
      <c r="E58" s="86"/>
      <c r="F58" s="87" t="s">
        <v>91</v>
      </c>
      <c r="G58" s="87"/>
      <c r="H58" s="87"/>
      <c r="I58" s="88" t="s">
        <v>92</v>
      </c>
      <c r="J58" s="89"/>
      <c r="K58" s="90"/>
    </row>
    <row r="59" spans="1:11" ht="13.5" thickBot="1" x14ac:dyDescent="0.25">
      <c r="A59" s="58" t="s">
        <v>93</v>
      </c>
      <c r="B59" s="59" t="s">
        <v>94</v>
      </c>
      <c r="C59" s="60" t="s">
        <v>95</v>
      </c>
      <c r="D59" s="59" t="s">
        <v>96</v>
      </c>
      <c r="E59" s="61" t="s">
        <v>1</v>
      </c>
      <c r="F59" s="59" t="s">
        <v>95</v>
      </c>
      <c r="G59" s="59" t="s">
        <v>96</v>
      </c>
      <c r="H59" s="59" t="s">
        <v>1</v>
      </c>
      <c r="I59" s="66" t="s">
        <v>95</v>
      </c>
      <c r="J59" s="67" t="s">
        <v>96</v>
      </c>
      <c r="K59" s="68" t="s">
        <v>1</v>
      </c>
    </row>
    <row r="60" spans="1:11" x14ac:dyDescent="0.2">
      <c r="A60" s="72"/>
      <c r="B60" s="49"/>
      <c r="C60" s="56"/>
      <c r="D60" s="49"/>
      <c r="E60" s="54"/>
      <c r="F60" s="49"/>
      <c r="G60" s="49"/>
      <c r="H60" s="49"/>
      <c r="I60" s="63">
        <v>0</v>
      </c>
      <c r="J60" s="62"/>
      <c r="K60" s="65">
        <v>0</v>
      </c>
    </row>
    <row r="61" spans="1:11" x14ac:dyDescent="0.2">
      <c r="A61" s="325" t="s">
        <v>100</v>
      </c>
      <c r="B61" s="326" t="s">
        <v>97</v>
      </c>
      <c r="C61" s="327">
        <f>+'3, INVENTARIO'!E8+1</f>
        <v>37</v>
      </c>
      <c r="D61" s="328">
        <f>+'4. COSTOS'!M11</f>
        <v>11650000</v>
      </c>
      <c r="E61" s="329">
        <f>+C61*D61</f>
        <v>431050000</v>
      </c>
      <c r="F61" s="326"/>
      <c r="G61" s="326"/>
      <c r="H61" s="328"/>
      <c r="I61" s="327">
        <f>+C61-F61</f>
        <v>37</v>
      </c>
      <c r="J61" s="328">
        <f t="shared" ref="J61:J80" si="4">+K61/I61</f>
        <v>11650000</v>
      </c>
      <c r="K61" s="330">
        <f>+E61-H61</f>
        <v>431050000</v>
      </c>
    </row>
    <row r="62" spans="1:11" x14ac:dyDescent="0.2">
      <c r="A62" s="325">
        <v>2025</v>
      </c>
      <c r="B62" s="326" t="s">
        <v>98</v>
      </c>
      <c r="C62" s="327"/>
      <c r="D62" s="328"/>
      <c r="E62" s="329"/>
      <c r="F62" s="326">
        <f>ROUND(+C61*0%,0)</f>
        <v>0</v>
      </c>
      <c r="G62" s="328">
        <f>+J61</f>
        <v>11650000</v>
      </c>
      <c r="H62" s="328">
        <f>+G62*F62</f>
        <v>0</v>
      </c>
      <c r="I62" s="327">
        <f>+I61+C62-F62</f>
        <v>37</v>
      </c>
      <c r="J62" s="328">
        <f t="shared" si="4"/>
        <v>11650000</v>
      </c>
      <c r="K62" s="330">
        <f t="shared" ref="K62:K79" si="5">+K61+E62-H62</f>
        <v>431050000</v>
      </c>
    </row>
    <row r="63" spans="1:11" x14ac:dyDescent="0.2">
      <c r="A63" s="79"/>
      <c r="B63" s="80" t="s">
        <v>59</v>
      </c>
      <c r="C63" s="81"/>
      <c r="D63" s="82"/>
      <c r="E63" s="83"/>
      <c r="F63" s="80">
        <f>+'3, INVENTARIO'!E8</f>
        <v>36</v>
      </c>
      <c r="G63" s="82">
        <f>+J62</f>
        <v>11650000</v>
      </c>
      <c r="H63" s="82">
        <f>+F63*G63</f>
        <v>419400000</v>
      </c>
      <c r="I63" s="63">
        <f>+I62+C63-F63</f>
        <v>1</v>
      </c>
      <c r="J63" s="62">
        <f>+K63/I63</f>
        <v>11650000</v>
      </c>
      <c r="K63" s="65">
        <f>+K62+E63-H63</f>
        <v>11650000</v>
      </c>
    </row>
    <row r="64" spans="1:11" ht="13.5" thickBot="1" x14ac:dyDescent="0.25">
      <c r="A64" s="74"/>
      <c r="B64" s="53" t="s">
        <v>99</v>
      </c>
      <c r="C64" s="55">
        <v>0</v>
      </c>
      <c r="D64" s="76">
        <f>+J63</f>
        <v>11650000</v>
      </c>
      <c r="E64" s="77">
        <f>+C64*D64</f>
        <v>0</v>
      </c>
      <c r="F64" s="53"/>
      <c r="G64" s="76"/>
      <c r="H64" s="76"/>
      <c r="I64" s="75">
        <f t="shared" ref="I64:I77" si="6">+I63+C64-F64</f>
        <v>1</v>
      </c>
      <c r="J64" s="76">
        <f t="shared" si="4"/>
        <v>11650000</v>
      </c>
      <c r="K64" s="78">
        <f>+K63+E64-H64</f>
        <v>11650000</v>
      </c>
    </row>
    <row r="65" spans="1:11" x14ac:dyDescent="0.2">
      <c r="A65" s="325" t="s">
        <v>100</v>
      </c>
      <c r="B65" s="326" t="s">
        <v>97</v>
      </c>
      <c r="C65" s="327">
        <f>+'3, INVENTARIO'!F8</f>
        <v>41.4</v>
      </c>
      <c r="D65" s="328">
        <f>+'4. COSTOS'!N11</f>
        <v>11650000</v>
      </c>
      <c r="E65" s="329">
        <f>+C65*D65</f>
        <v>482310000</v>
      </c>
      <c r="F65" s="326"/>
      <c r="G65" s="326"/>
      <c r="H65" s="328"/>
      <c r="I65" s="327">
        <f t="shared" ref="I65:I70" si="7">+I64+C65-F65</f>
        <v>42.4</v>
      </c>
      <c r="J65" s="328">
        <f>+K65/I65</f>
        <v>11650000</v>
      </c>
      <c r="K65" s="330">
        <f>+K64+E65-H65</f>
        <v>493960000</v>
      </c>
    </row>
    <row r="66" spans="1:11" x14ac:dyDescent="0.2">
      <c r="A66" s="325">
        <v>2026</v>
      </c>
      <c r="B66" s="326" t="s">
        <v>98</v>
      </c>
      <c r="C66" s="327"/>
      <c r="D66" s="328"/>
      <c r="E66" s="329"/>
      <c r="F66" s="326">
        <f>ROUND(+C65*0%,0)</f>
        <v>0</v>
      </c>
      <c r="G66" s="328">
        <f>+J65</f>
        <v>11650000</v>
      </c>
      <c r="H66" s="328">
        <f>+G66*F66</f>
        <v>0</v>
      </c>
      <c r="I66" s="327">
        <f t="shared" si="7"/>
        <v>42.4</v>
      </c>
      <c r="J66" s="328">
        <f t="shared" si="4"/>
        <v>11650000</v>
      </c>
      <c r="K66" s="330">
        <f t="shared" si="5"/>
        <v>493960000</v>
      </c>
    </row>
    <row r="67" spans="1:11" x14ac:dyDescent="0.2">
      <c r="A67" s="48"/>
      <c r="B67" s="80" t="s">
        <v>59</v>
      </c>
      <c r="C67" s="81"/>
      <c r="D67" s="82"/>
      <c r="E67" s="83"/>
      <c r="F67" s="82">
        <f>+C65</f>
        <v>41.4</v>
      </c>
      <c r="G67" s="82">
        <f>+J66</f>
        <v>11650000</v>
      </c>
      <c r="H67" s="82">
        <f>+F67*G67</f>
        <v>482310000</v>
      </c>
      <c r="I67" s="63">
        <f t="shared" si="7"/>
        <v>1</v>
      </c>
      <c r="J67" s="62">
        <f t="shared" si="4"/>
        <v>11650000</v>
      </c>
      <c r="K67" s="65">
        <f t="shared" si="5"/>
        <v>11650000</v>
      </c>
    </row>
    <row r="68" spans="1:11" ht="13.5" thickBot="1" x14ac:dyDescent="0.25">
      <c r="A68" s="52"/>
      <c r="B68" s="53" t="s">
        <v>99</v>
      </c>
      <c r="C68" s="55">
        <f>ROUND(+F67*0%,0)</f>
        <v>0</v>
      </c>
      <c r="D68" s="76">
        <f>+J67</f>
        <v>11650000</v>
      </c>
      <c r="E68" s="77">
        <f>+C68*D68</f>
        <v>0</v>
      </c>
      <c r="F68" s="53"/>
      <c r="G68" s="76"/>
      <c r="H68" s="76"/>
      <c r="I68" s="75">
        <f t="shared" si="7"/>
        <v>1</v>
      </c>
      <c r="J68" s="76">
        <f t="shared" si="4"/>
        <v>11650000</v>
      </c>
      <c r="K68" s="78">
        <f t="shared" si="5"/>
        <v>11650000</v>
      </c>
    </row>
    <row r="69" spans="1:11" x14ac:dyDescent="0.2">
      <c r="A69" s="73" t="s">
        <v>100</v>
      </c>
      <c r="B69" s="49" t="s">
        <v>97</v>
      </c>
      <c r="C69" s="63">
        <f>+'3, INVENTARIO'!G8</f>
        <v>48.851999999999997</v>
      </c>
      <c r="D69" s="62">
        <f>+'4. COSTOS'!O11</f>
        <v>12815000.000000002</v>
      </c>
      <c r="E69" s="64">
        <f>+C69*D69</f>
        <v>626038380</v>
      </c>
      <c r="F69" s="49"/>
      <c r="G69" s="49"/>
      <c r="H69" s="62"/>
      <c r="I69" s="63">
        <f t="shared" si="7"/>
        <v>49.851999999999997</v>
      </c>
      <c r="J69" s="62">
        <f t="shared" si="4"/>
        <v>12791630.827248657</v>
      </c>
      <c r="K69" s="65">
        <f t="shared" si="5"/>
        <v>637688380</v>
      </c>
    </row>
    <row r="70" spans="1:11" x14ac:dyDescent="0.2">
      <c r="A70" s="73">
        <v>2027</v>
      </c>
      <c r="B70" s="49" t="s">
        <v>98</v>
      </c>
      <c r="C70" s="63"/>
      <c r="D70" s="62"/>
      <c r="E70" s="64"/>
      <c r="F70" s="49">
        <f>ROUND(+C69*0%,0)</f>
        <v>0</v>
      </c>
      <c r="G70" s="62">
        <f>+J69</f>
        <v>12791630.827248657</v>
      </c>
      <c r="H70" s="62">
        <f>+G70*F70</f>
        <v>0</v>
      </c>
      <c r="I70" s="63">
        <f t="shared" si="7"/>
        <v>49.851999999999997</v>
      </c>
      <c r="J70" s="62">
        <f t="shared" si="4"/>
        <v>12791630.827248657</v>
      </c>
      <c r="K70" s="65">
        <f t="shared" si="5"/>
        <v>637688380</v>
      </c>
    </row>
    <row r="71" spans="1:11" x14ac:dyDescent="0.2">
      <c r="A71" s="48"/>
      <c r="B71" s="80" t="s">
        <v>59</v>
      </c>
      <c r="C71" s="81"/>
      <c r="D71" s="82"/>
      <c r="E71" s="83"/>
      <c r="F71" s="82">
        <f>+C69</f>
        <v>48.851999999999997</v>
      </c>
      <c r="G71" s="82">
        <f>+J70</f>
        <v>12791630.827248657</v>
      </c>
      <c r="H71" s="82">
        <f>+F71*G71</f>
        <v>624896749.17275131</v>
      </c>
      <c r="I71" s="63">
        <f t="shared" si="6"/>
        <v>1</v>
      </c>
      <c r="J71" s="62">
        <f t="shared" si="4"/>
        <v>12791630.827248693</v>
      </c>
      <c r="K71" s="65">
        <f t="shared" si="5"/>
        <v>12791630.827248693</v>
      </c>
    </row>
    <row r="72" spans="1:11" ht="13.5" thickBot="1" x14ac:dyDescent="0.25">
      <c r="A72" s="52"/>
      <c r="B72" s="53" t="s">
        <v>99</v>
      </c>
      <c r="C72" s="55">
        <f>ROUND(+F71*2.5%,0)</f>
        <v>1</v>
      </c>
      <c r="D72" s="76">
        <f>+J71</f>
        <v>12791630.827248693</v>
      </c>
      <c r="E72" s="77">
        <f>+C72*D72</f>
        <v>12791630.827248693</v>
      </c>
      <c r="F72" s="53"/>
      <c r="G72" s="76"/>
      <c r="H72" s="76"/>
      <c r="I72" s="75">
        <f t="shared" si="6"/>
        <v>2</v>
      </c>
      <c r="J72" s="76">
        <f t="shared" si="4"/>
        <v>12791630.827248693</v>
      </c>
      <c r="K72" s="78">
        <f t="shared" si="5"/>
        <v>25583261.654497385</v>
      </c>
    </row>
    <row r="73" spans="1:11" x14ac:dyDescent="0.2">
      <c r="A73" s="73" t="s">
        <v>100</v>
      </c>
      <c r="B73" s="49" t="s">
        <v>97</v>
      </c>
      <c r="C73" s="63">
        <f>+'3, INVENTARIO'!H8</f>
        <v>59.110919999999993</v>
      </c>
      <c r="D73" s="62">
        <f>+'4. COSTOS'!P11</f>
        <v>14352800.000000004</v>
      </c>
      <c r="E73" s="64">
        <f>+C73*D73</f>
        <v>848407212.57600009</v>
      </c>
      <c r="F73" s="49"/>
      <c r="G73" s="49"/>
      <c r="H73" s="62"/>
      <c r="I73" s="63">
        <f t="shared" si="6"/>
        <v>61.110919999999993</v>
      </c>
      <c r="J73" s="62">
        <f t="shared" si="4"/>
        <v>14301707.030928312</v>
      </c>
      <c r="K73" s="65">
        <f t="shared" si="5"/>
        <v>873990474.23049748</v>
      </c>
    </row>
    <row r="74" spans="1:11" x14ac:dyDescent="0.2">
      <c r="A74" s="73">
        <v>2028</v>
      </c>
      <c r="B74" s="49" t="s">
        <v>98</v>
      </c>
      <c r="C74" s="63"/>
      <c r="D74" s="62"/>
      <c r="E74" s="64"/>
      <c r="F74" s="49">
        <f>ROUND(+C73*2.5%,0)</f>
        <v>1</v>
      </c>
      <c r="G74" s="62">
        <f>+J73</f>
        <v>14301707.030928312</v>
      </c>
      <c r="H74" s="62">
        <f>+G74*F74</f>
        <v>14301707.030928312</v>
      </c>
      <c r="I74" s="63">
        <f t="shared" si="6"/>
        <v>60.110919999999993</v>
      </c>
      <c r="J74" s="62">
        <f t="shared" si="4"/>
        <v>14301707.030928312</v>
      </c>
      <c r="K74" s="65">
        <f t="shared" si="5"/>
        <v>859688767.19956923</v>
      </c>
    </row>
    <row r="75" spans="1:11" x14ac:dyDescent="0.2">
      <c r="A75" s="48"/>
      <c r="B75" s="80" t="s">
        <v>59</v>
      </c>
      <c r="C75" s="81"/>
      <c r="D75" s="82"/>
      <c r="E75" s="83"/>
      <c r="F75" s="82">
        <f>+C73</f>
        <v>59.110919999999993</v>
      </c>
      <c r="G75" s="82">
        <f>+J74</f>
        <v>14301707.030928312</v>
      </c>
      <c r="H75" s="82">
        <f>+F75*G75</f>
        <v>845387060.16864085</v>
      </c>
      <c r="I75" s="63">
        <f t="shared" si="6"/>
        <v>1</v>
      </c>
      <c r="J75" s="62">
        <f t="shared" si="4"/>
        <v>14301707.030928373</v>
      </c>
      <c r="K75" s="65">
        <f t="shared" si="5"/>
        <v>14301707.030928373</v>
      </c>
    </row>
    <row r="76" spans="1:11" ht="13.5" thickBot="1" x14ac:dyDescent="0.25">
      <c r="A76" s="52"/>
      <c r="B76" s="53" t="s">
        <v>308</v>
      </c>
      <c r="C76" s="75">
        <f>ROUND(F75*2.5%,0)</f>
        <v>1</v>
      </c>
      <c r="D76" s="76">
        <f>+J75</f>
        <v>14301707.030928373</v>
      </c>
      <c r="E76" s="77">
        <f>+C76*D76</f>
        <v>14301707.030928373</v>
      </c>
      <c r="F76" s="76"/>
      <c r="G76" s="76"/>
      <c r="H76" s="76"/>
      <c r="I76" s="75">
        <f t="shared" si="6"/>
        <v>2</v>
      </c>
      <c r="J76" s="76">
        <f t="shared" si="4"/>
        <v>14301707.030928373</v>
      </c>
      <c r="K76" s="78">
        <f t="shared" si="5"/>
        <v>28603414.061856747</v>
      </c>
    </row>
    <row r="77" spans="1:11" x14ac:dyDescent="0.2">
      <c r="A77" s="272" t="s">
        <v>100</v>
      </c>
      <c r="B77" s="103" t="s">
        <v>97</v>
      </c>
      <c r="C77" s="137">
        <f>+I8</f>
        <v>73.297540799999993</v>
      </c>
      <c r="D77" s="138">
        <f>+'4. COSTOS'!Q11</f>
        <v>15931608.000000006</v>
      </c>
      <c r="E77" s="139">
        <f>+C77*D77</f>
        <v>1167747687.3896067</v>
      </c>
      <c r="F77" s="138"/>
      <c r="G77" s="138"/>
      <c r="H77" s="138"/>
      <c r="I77" s="63">
        <f t="shared" si="6"/>
        <v>75.297540799999993</v>
      </c>
      <c r="J77" s="62">
        <f t="shared" si="4"/>
        <v>15888315.723738266</v>
      </c>
      <c r="K77" s="65">
        <f t="shared" si="5"/>
        <v>1196351101.4514635</v>
      </c>
    </row>
    <row r="78" spans="1:11" x14ac:dyDescent="0.2">
      <c r="A78" s="136">
        <v>2029</v>
      </c>
      <c r="B78" s="80" t="s">
        <v>309</v>
      </c>
      <c r="C78" s="81"/>
      <c r="D78" s="82"/>
      <c r="E78" s="83"/>
      <c r="F78" s="82">
        <v>3</v>
      </c>
      <c r="G78" s="62">
        <f>+J77</f>
        <v>15888315.723738266</v>
      </c>
      <c r="H78" s="62">
        <f>+G78*F78</f>
        <v>47664947.171214797</v>
      </c>
      <c r="I78" s="63">
        <f>+I77+C78-F78</f>
        <v>72.297540799999993</v>
      </c>
      <c r="J78" s="62">
        <f t="shared" si="4"/>
        <v>15888315.723738264</v>
      </c>
      <c r="K78" s="65">
        <f t="shared" si="5"/>
        <v>1148686154.2802486</v>
      </c>
    </row>
    <row r="79" spans="1:11" x14ac:dyDescent="0.2">
      <c r="A79" s="136"/>
      <c r="B79" s="80" t="s">
        <v>59</v>
      </c>
      <c r="C79" s="81"/>
      <c r="D79" s="82"/>
      <c r="E79" s="83"/>
      <c r="F79" s="82">
        <f>+C77</f>
        <v>73.297540799999993</v>
      </c>
      <c r="G79" s="62">
        <f>+J78</f>
        <v>15888315.723738264</v>
      </c>
      <c r="H79" s="62">
        <f>+G79*F79</f>
        <v>1164574470.0039868</v>
      </c>
      <c r="I79" s="63">
        <f>+I78+C79-F79</f>
        <v>-1</v>
      </c>
      <c r="J79" s="62">
        <f>+K79/I79</f>
        <v>15888315.723738194</v>
      </c>
      <c r="K79" s="65">
        <f t="shared" si="5"/>
        <v>-15888315.723738194</v>
      </c>
    </row>
    <row r="80" spans="1:11" ht="13.5" thickBot="1" x14ac:dyDescent="0.25">
      <c r="A80" s="50"/>
      <c r="B80" s="51" t="s">
        <v>99</v>
      </c>
      <c r="C80" s="75">
        <f>ROUND(F79*2.5%,0)</f>
        <v>2</v>
      </c>
      <c r="D80" s="76">
        <f>+J79</f>
        <v>15888315.723738194</v>
      </c>
      <c r="E80" s="77">
        <f>+C80*D80</f>
        <v>31776631.447476387</v>
      </c>
      <c r="F80" s="51"/>
      <c r="G80" s="70"/>
      <c r="H80" s="70"/>
      <c r="I80" s="69">
        <f>+I79+C80-F80</f>
        <v>1</v>
      </c>
      <c r="J80" s="62">
        <f t="shared" si="4"/>
        <v>15888315.723738194</v>
      </c>
      <c r="K80" s="71">
        <f>+K79+E80-H80</f>
        <v>15888315.723738194</v>
      </c>
    </row>
    <row r="81" spans="1:11" ht="14.25" thickTop="1" thickBot="1" x14ac:dyDescent="0.25"/>
    <row r="82" spans="1:11" ht="14.25" thickTop="1" thickBot="1" x14ac:dyDescent="0.25">
      <c r="A82" s="322" t="s">
        <v>590</v>
      </c>
      <c r="B82" s="91"/>
      <c r="C82" s="86" t="s">
        <v>0</v>
      </c>
      <c r="D82" s="86"/>
      <c r="E82" s="86"/>
      <c r="F82" s="87" t="s">
        <v>91</v>
      </c>
      <c r="G82" s="87"/>
      <c r="H82" s="87"/>
      <c r="I82" s="88" t="s">
        <v>92</v>
      </c>
      <c r="J82" s="89"/>
      <c r="K82" s="90"/>
    </row>
    <row r="83" spans="1:11" ht="13.5" thickBot="1" x14ac:dyDescent="0.25">
      <c r="A83" s="58" t="s">
        <v>93</v>
      </c>
      <c r="B83" s="59" t="s">
        <v>94</v>
      </c>
      <c r="C83" s="60" t="s">
        <v>95</v>
      </c>
      <c r="D83" s="59" t="s">
        <v>96</v>
      </c>
      <c r="E83" s="61" t="s">
        <v>1</v>
      </c>
      <c r="F83" s="59" t="s">
        <v>95</v>
      </c>
      <c r="G83" s="59" t="s">
        <v>96</v>
      </c>
      <c r="H83" s="59" t="s">
        <v>1</v>
      </c>
      <c r="I83" s="66" t="s">
        <v>95</v>
      </c>
      <c r="J83" s="67" t="s">
        <v>96</v>
      </c>
      <c r="K83" s="68" t="s">
        <v>1</v>
      </c>
    </row>
    <row r="84" spans="1:11" x14ac:dyDescent="0.2">
      <c r="A84" s="72"/>
      <c r="B84" s="49"/>
      <c r="C84" s="56"/>
      <c r="D84" s="49"/>
      <c r="E84" s="54"/>
      <c r="F84" s="49"/>
      <c r="G84" s="49"/>
      <c r="H84" s="49"/>
      <c r="I84" s="63">
        <v>0</v>
      </c>
      <c r="J84" s="62"/>
      <c r="K84" s="65">
        <v>0</v>
      </c>
    </row>
    <row r="85" spans="1:11" x14ac:dyDescent="0.2">
      <c r="A85" s="73" t="s">
        <v>100</v>
      </c>
      <c r="B85" s="49" t="s">
        <v>97</v>
      </c>
      <c r="C85" s="63">
        <f>+'3, INVENTARIO'!E9+1</f>
        <v>25</v>
      </c>
      <c r="D85" s="62">
        <f>+'4. COSTOS'!M12</f>
        <v>40000000</v>
      </c>
      <c r="E85" s="64">
        <f>+C85*D85</f>
        <v>1000000000</v>
      </c>
      <c r="F85" s="49"/>
      <c r="G85" s="49"/>
      <c r="H85" s="62"/>
      <c r="I85" s="63">
        <f>+C85-F85</f>
        <v>25</v>
      </c>
      <c r="J85" s="62">
        <f>+K85/I85</f>
        <v>40000000</v>
      </c>
      <c r="K85" s="65">
        <f>+E85-H85</f>
        <v>1000000000</v>
      </c>
    </row>
    <row r="86" spans="1:11" x14ac:dyDescent="0.2">
      <c r="A86" s="73">
        <v>2025</v>
      </c>
      <c r="B86" s="49" t="s">
        <v>98</v>
      </c>
      <c r="C86" s="63"/>
      <c r="D86" s="62"/>
      <c r="E86" s="64"/>
      <c r="F86" s="49">
        <f>ROUND(+C85*0%,0)</f>
        <v>0</v>
      </c>
      <c r="G86" s="62">
        <f>+J85</f>
        <v>40000000</v>
      </c>
      <c r="H86" s="64">
        <f>+F86*G86</f>
        <v>0</v>
      </c>
      <c r="I86" s="63">
        <f t="shared" ref="I86:I104" si="8">+I85+C86-F86</f>
        <v>25</v>
      </c>
      <c r="J86" s="62">
        <f>+K86/I86</f>
        <v>40000000</v>
      </c>
      <c r="K86" s="65">
        <f t="shared" ref="K86:K104" si="9">+K85+E86-H86</f>
        <v>1000000000</v>
      </c>
    </row>
    <row r="87" spans="1:11" x14ac:dyDescent="0.2">
      <c r="A87" s="79"/>
      <c r="B87" s="80" t="s">
        <v>59</v>
      </c>
      <c r="C87" s="81"/>
      <c r="D87" s="82"/>
      <c r="E87" s="83"/>
      <c r="F87" s="80">
        <f>+'3, INVENTARIO'!E9</f>
        <v>24</v>
      </c>
      <c r="G87" s="82">
        <f>+J86</f>
        <v>40000000</v>
      </c>
      <c r="H87" s="64">
        <f>+F87*G87</f>
        <v>960000000</v>
      </c>
      <c r="I87" s="63">
        <f t="shared" si="8"/>
        <v>1</v>
      </c>
      <c r="J87" s="62">
        <f>+K87/I87</f>
        <v>40000000</v>
      </c>
      <c r="K87" s="65">
        <f>+K86+E87-H87</f>
        <v>40000000</v>
      </c>
    </row>
    <row r="88" spans="1:11" ht="13.5" thickBot="1" x14ac:dyDescent="0.25">
      <c r="A88" s="74"/>
      <c r="B88" s="53" t="s">
        <v>99</v>
      </c>
      <c r="C88" s="55">
        <f>ROUND(+F87*2.5%,0)</f>
        <v>1</v>
      </c>
      <c r="D88" s="76">
        <f>+J87</f>
        <v>40000000</v>
      </c>
      <c r="E88" s="77">
        <f>+C88*D88</f>
        <v>40000000</v>
      </c>
      <c r="F88" s="53"/>
      <c r="G88" s="76"/>
      <c r="H88" s="76"/>
      <c r="I88" s="75">
        <f t="shared" si="8"/>
        <v>2</v>
      </c>
      <c r="J88" s="76">
        <f>+K88/I88</f>
        <v>40000000</v>
      </c>
      <c r="K88" s="78">
        <f>+K87+E88-H88</f>
        <v>80000000</v>
      </c>
    </row>
    <row r="89" spans="1:11" x14ac:dyDescent="0.2">
      <c r="A89" s="73" t="s">
        <v>100</v>
      </c>
      <c r="B89" s="49" t="s">
        <v>97</v>
      </c>
      <c r="C89" s="63">
        <f>+'3, INVENTARIO'!F9</f>
        <v>27.599999999999998</v>
      </c>
      <c r="D89" s="62">
        <f>+'4. COSTOS'!N12</f>
        <v>40000000</v>
      </c>
      <c r="E89" s="64">
        <f>+C89*D89</f>
        <v>1104000000</v>
      </c>
      <c r="F89" s="49"/>
      <c r="G89" s="49"/>
      <c r="H89" s="62"/>
      <c r="I89" s="63">
        <f t="shared" si="8"/>
        <v>29.599999999999998</v>
      </c>
      <c r="J89" s="62">
        <f t="shared" ref="J89:J104" si="10">+K89/I89</f>
        <v>40000000</v>
      </c>
      <c r="K89" s="65">
        <f t="shared" si="9"/>
        <v>1184000000</v>
      </c>
    </row>
    <row r="90" spans="1:11" x14ac:dyDescent="0.2">
      <c r="A90" s="73">
        <v>2026</v>
      </c>
      <c r="B90" s="49" t="s">
        <v>98</v>
      </c>
      <c r="C90" s="63"/>
      <c r="D90" s="62"/>
      <c r="E90" s="64"/>
      <c r="F90" s="49">
        <f>ROUND(+C89*2.5%,0)</f>
        <v>1</v>
      </c>
      <c r="G90" s="62">
        <f>+J89</f>
        <v>40000000</v>
      </c>
      <c r="H90" s="62">
        <f>+G90*F90</f>
        <v>40000000</v>
      </c>
      <c r="I90" s="63">
        <f t="shared" si="8"/>
        <v>28.599999999999998</v>
      </c>
      <c r="J90" s="62">
        <f t="shared" si="10"/>
        <v>40000000</v>
      </c>
      <c r="K90" s="65">
        <f t="shared" si="9"/>
        <v>1144000000</v>
      </c>
    </row>
    <row r="91" spans="1:11" x14ac:dyDescent="0.2">
      <c r="A91" s="48"/>
      <c r="B91" s="80" t="s">
        <v>59</v>
      </c>
      <c r="C91" s="81"/>
      <c r="D91" s="82"/>
      <c r="E91" s="83"/>
      <c r="F91" s="82">
        <f>+C89</f>
        <v>27.599999999999998</v>
      </c>
      <c r="G91" s="82">
        <f>+J90</f>
        <v>40000000</v>
      </c>
      <c r="H91" s="82">
        <f>+F91*G91</f>
        <v>1104000000</v>
      </c>
      <c r="I91" s="63">
        <f t="shared" si="8"/>
        <v>1</v>
      </c>
      <c r="J91" s="62">
        <f t="shared" si="10"/>
        <v>40000000</v>
      </c>
      <c r="K91" s="65">
        <f t="shared" si="9"/>
        <v>40000000</v>
      </c>
    </row>
    <row r="92" spans="1:11" ht="13.5" thickBot="1" x14ac:dyDescent="0.25">
      <c r="A92" s="52"/>
      <c r="B92" s="53" t="s">
        <v>99</v>
      </c>
      <c r="C92" s="55">
        <f>ROUND(+F91*2.5%,0)</f>
        <v>1</v>
      </c>
      <c r="D92" s="76">
        <f>+J91</f>
        <v>40000000</v>
      </c>
      <c r="E92" s="77">
        <f>+C92*D92</f>
        <v>40000000</v>
      </c>
      <c r="F92" s="53"/>
      <c r="G92" s="76"/>
      <c r="H92" s="76"/>
      <c r="I92" s="75">
        <f t="shared" si="8"/>
        <v>2</v>
      </c>
      <c r="J92" s="76">
        <f t="shared" si="10"/>
        <v>40000000</v>
      </c>
      <c r="K92" s="78">
        <f t="shared" si="9"/>
        <v>80000000</v>
      </c>
    </row>
    <row r="93" spans="1:11" x14ac:dyDescent="0.2">
      <c r="A93" s="73" t="s">
        <v>100</v>
      </c>
      <c r="B93" s="49" t="s">
        <v>97</v>
      </c>
      <c r="C93" s="63">
        <f>+'3, INVENTARIO'!G9</f>
        <v>32.567999999999998</v>
      </c>
      <c r="D93" s="62">
        <f>+'4. COSTOS'!O12</f>
        <v>44000000</v>
      </c>
      <c r="E93" s="64">
        <f>+C93*D93</f>
        <v>1432992000</v>
      </c>
      <c r="F93" s="49"/>
      <c r="G93" s="49"/>
      <c r="H93" s="62"/>
      <c r="I93" s="63">
        <f t="shared" si="8"/>
        <v>34.567999999999998</v>
      </c>
      <c r="J93" s="62">
        <f>+K93/I93</f>
        <v>43768572.089794032</v>
      </c>
      <c r="K93" s="65">
        <f>+K92+E93-H93</f>
        <v>1512992000</v>
      </c>
    </row>
    <row r="94" spans="1:11" x14ac:dyDescent="0.2">
      <c r="A94" s="73">
        <v>2027</v>
      </c>
      <c r="B94" s="49" t="s">
        <v>98</v>
      </c>
      <c r="C94" s="63"/>
      <c r="D94" s="62"/>
      <c r="E94" s="64"/>
      <c r="F94" s="49">
        <f>ROUND(+C93*2.5%,0)</f>
        <v>1</v>
      </c>
      <c r="G94" s="62">
        <f>+J93</f>
        <v>43768572.089794032</v>
      </c>
      <c r="H94" s="62">
        <f>+G94*F94</f>
        <v>43768572.089794032</v>
      </c>
      <c r="I94" s="63">
        <f t="shared" si="8"/>
        <v>33.567999999999998</v>
      </c>
      <c r="J94" s="62">
        <f>+K94/I94</f>
        <v>43768572.089794032</v>
      </c>
      <c r="K94" s="65">
        <f>+K93+E94-H94</f>
        <v>1469223427.9102061</v>
      </c>
    </row>
    <row r="95" spans="1:11" x14ac:dyDescent="0.2">
      <c r="A95" s="48"/>
      <c r="B95" s="80" t="s">
        <v>59</v>
      </c>
      <c r="C95" s="81"/>
      <c r="D95" s="82"/>
      <c r="E95" s="83"/>
      <c r="F95" s="82">
        <f>+C93</f>
        <v>32.567999999999998</v>
      </c>
      <c r="G95" s="82">
        <f>+J94</f>
        <v>43768572.089794032</v>
      </c>
      <c r="H95" s="82">
        <f>+F95*G95</f>
        <v>1425454855.8204119</v>
      </c>
      <c r="I95" s="63">
        <f t="shared" si="8"/>
        <v>1</v>
      </c>
      <c r="J95" s="62">
        <f t="shared" si="10"/>
        <v>43768572.089794159</v>
      </c>
      <c r="K95" s="65">
        <f t="shared" si="9"/>
        <v>43768572.089794159</v>
      </c>
    </row>
    <row r="96" spans="1:11" ht="13.5" thickBot="1" x14ac:dyDescent="0.25">
      <c r="A96" s="52"/>
      <c r="B96" s="53" t="s">
        <v>99</v>
      </c>
      <c r="C96" s="55">
        <f>ROUND(+F95*2.5%,0)</f>
        <v>1</v>
      </c>
      <c r="D96" s="76">
        <f>+J95</f>
        <v>43768572.089794159</v>
      </c>
      <c r="E96" s="77">
        <f>+C96*D96</f>
        <v>43768572.089794159</v>
      </c>
      <c r="F96" s="53"/>
      <c r="G96" s="76"/>
      <c r="H96" s="76"/>
      <c r="I96" s="75">
        <f t="shared" si="8"/>
        <v>2</v>
      </c>
      <c r="J96" s="76">
        <f t="shared" si="10"/>
        <v>43768572.089794159</v>
      </c>
      <c r="K96" s="78">
        <f t="shared" si="9"/>
        <v>87537144.179588318</v>
      </c>
    </row>
    <row r="97" spans="1:13" x14ac:dyDescent="0.2">
      <c r="A97" s="73" t="s">
        <v>100</v>
      </c>
      <c r="B97" s="49" t="s">
        <v>97</v>
      </c>
      <c r="C97" s="63">
        <f>+'3, INVENTARIO'!H9</f>
        <v>39.407279999999993</v>
      </c>
      <c r="D97" s="62">
        <f>+'4. COSTOS'!P12</f>
        <v>49280000.000000007</v>
      </c>
      <c r="E97" s="64">
        <f>+C97*D97</f>
        <v>1941990758.3999999</v>
      </c>
      <c r="F97" s="49"/>
      <c r="G97" s="49"/>
      <c r="H97" s="62"/>
      <c r="I97" s="63">
        <f t="shared" si="8"/>
        <v>41.407279999999993</v>
      </c>
      <c r="J97" s="62">
        <f t="shared" si="10"/>
        <v>49013794.255009949</v>
      </c>
      <c r="K97" s="65">
        <f t="shared" si="9"/>
        <v>2029527902.5795882</v>
      </c>
    </row>
    <row r="98" spans="1:13" x14ac:dyDescent="0.2">
      <c r="A98" s="73">
        <v>2028</v>
      </c>
      <c r="B98" s="49" t="s">
        <v>98</v>
      </c>
      <c r="C98" s="63"/>
      <c r="D98" s="62"/>
      <c r="E98" s="64"/>
      <c r="F98" s="49">
        <f>ROUND(+C97*2.5%,0)</f>
        <v>1</v>
      </c>
      <c r="G98" s="62">
        <f>+J97</f>
        <v>49013794.255009949</v>
      </c>
      <c r="H98" s="62">
        <f>+G98*F98</f>
        <v>49013794.255009949</v>
      </c>
      <c r="I98" s="63">
        <f t="shared" si="8"/>
        <v>40.407279999999993</v>
      </c>
      <c r="J98" s="62">
        <f t="shared" si="10"/>
        <v>49013794.255009957</v>
      </c>
      <c r="K98" s="65">
        <f t="shared" si="9"/>
        <v>1980514108.3245783</v>
      </c>
    </row>
    <row r="99" spans="1:13" x14ac:dyDescent="0.2">
      <c r="A99" s="48"/>
      <c r="B99" s="80" t="s">
        <v>59</v>
      </c>
      <c r="C99" s="81"/>
      <c r="D99" s="82"/>
      <c r="E99" s="83"/>
      <c r="F99" s="82">
        <f>+C97</f>
        <v>39.407279999999993</v>
      </c>
      <c r="G99" s="82">
        <f>+J98</f>
        <v>49013794.255009957</v>
      </c>
      <c r="H99" s="82">
        <f>+F99*G99</f>
        <v>1931500314.0695684</v>
      </c>
      <c r="I99" s="63">
        <f t="shared" si="8"/>
        <v>1</v>
      </c>
      <c r="J99" s="62">
        <f t="shared" si="10"/>
        <v>49013794.25500989</v>
      </c>
      <c r="K99" s="65">
        <f t="shared" si="9"/>
        <v>49013794.25500989</v>
      </c>
    </row>
    <row r="100" spans="1:13" ht="13.5" thickBot="1" x14ac:dyDescent="0.25">
      <c r="A100" s="52"/>
      <c r="B100" s="53" t="s">
        <v>99</v>
      </c>
      <c r="C100" s="55">
        <f>ROUND(+F99*2.5%,0)</f>
        <v>1</v>
      </c>
      <c r="D100" s="76">
        <f>+J99</f>
        <v>49013794.25500989</v>
      </c>
      <c r="E100" s="77">
        <f>+C100*D100</f>
        <v>49013794.25500989</v>
      </c>
      <c r="F100" s="53"/>
      <c r="G100" s="76"/>
      <c r="H100" s="76"/>
      <c r="I100" s="75">
        <f>+I99+C100-F100</f>
        <v>2</v>
      </c>
      <c r="J100" s="76">
        <f>+K100/I100</f>
        <v>49013794.25500989</v>
      </c>
      <c r="K100" s="78">
        <f>+K99+E100-H100</f>
        <v>98027588.510019779</v>
      </c>
    </row>
    <row r="101" spans="1:13" x14ac:dyDescent="0.2">
      <c r="A101" s="273" t="s">
        <v>100</v>
      </c>
      <c r="B101" s="49" t="s">
        <v>97</v>
      </c>
      <c r="C101" s="81">
        <f>+I9</f>
        <v>48.865027199999993</v>
      </c>
      <c r="D101" s="82">
        <f>+'4. COSTOS'!Q12</f>
        <v>54700800.000000015</v>
      </c>
      <c r="E101" s="83">
        <f>+C101*D101</f>
        <v>2672956079.8617601</v>
      </c>
      <c r="F101" s="82"/>
      <c r="G101" s="82"/>
      <c r="H101" s="82"/>
      <c r="I101" s="63">
        <f t="shared" si="8"/>
        <v>50.865027199999993</v>
      </c>
      <c r="J101" s="62">
        <f t="shared" si="10"/>
        <v>54477188.372992367</v>
      </c>
      <c r="K101" s="65">
        <f t="shared" si="9"/>
        <v>2770983668.3717799</v>
      </c>
    </row>
    <row r="102" spans="1:13" x14ac:dyDescent="0.2">
      <c r="A102" s="136">
        <v>2029</v>
      </c>
      <c r="B102" s="49" t="s">
        <v>98</v>
      </c>
      <c r="C102" s="81"/>
      <c r="D102" s="82"/>
      <c r="E102" s="83"/>
      <c r="F102" s="49">
        <f>ROUND(+C101*2.5%,0)</f>
        <v>1</v>
      </c>
      <c r="G102" s="62">
        <f>+J101</f>
        <v>54477188.372992367</v>
      </c>
      <c r="H102" s="62">
        <f>+G102*F102</f>
        <v>54477188.372992367</v>
      </c>
      <c r="I102" s="63">
        <f t="shared" si="8"/>
        <v>49.865027199999993</v>
      </c>
      <c r="J102" s="62">
        <f t="shared" si="10"/>
        <v>54477188.372992359</v>
      </c>
      <c r="K102" s="65">
        <f t="shared" si="9"/>
        <v>2716506479.9987874</v>
      </c>
    </row>
    <row r="103" spans="1:13" x14ac:dyDescent="0.2">
      <c r="A103" s="136"/>
      <c r="B103" s="80" t="s">
        <v>59</v>
      </c>
      <c r="C103" s="81"/>
      <c r="D103" s="82"/>
      <c r="E103" s="83"/>
      <c r="F103" s="82">
        <f>+C101</f>
        <v>48.865027199999993</v>
      </c>
      <c r="G103" s="82">
        <f>+J102</f>
        <v>54477188.372992359</v>
      </c>
      <c r="H103" s="62">
        <f>+G103*F103</f>
        <v>2662029291.6257949</v>
      </c>
      <c r="I103" s="63">
        <f t="shared" si="8"/>
        <v>1</v>
      </c>
      <c r="J103" s="62">
        <f t="shared" si="10"/>
        <v>54477188.372992516</v>
      </c>
      <c r="K103" s="65">
        <f t="shared" si="9"/>
        <v>54477188.372992516</v>
      </c>
    </row>
    <row r="104" spans="1:13" ht="13.5" thickBot="1" x14ac:dyDescent="0.25">
      <c r="A104" s="50"/>
      <c r="B104" s="51" t="s">
        <v>99</v>
      </c>
      <c r="C104" s="55">
        <f>ROUND(+F103*2.5%,0)</f>
        <v>1</v>
      </c>
      <c r="D104" s="76">
        <f>+J103</f>
        <v>54477188.372992516</v>
      </c>
      <c r="E104" s="77">
        <f>+C104*D104</f>
        <v>54477188.372992516</v>
      </c>
      <c r="F104" s="51"/>
      <c r="G104" s="70"/>
      <c r="H104" s="70"/>
      <c r="I104" s="63">
        <f t="shared" si="8"/>
        <v>2</v>
      </c>
      <c r="J104" s="62">
        <f t="shared" si="10"/>
        <v>54477188.372992516</v>
      </c>
      <c r="K104" s="65">
        <f t="shared" si="9"/>
        <v>108954376.74598503</v>
      </c>
    </row>
    <row r="105" spans="1:13" ht="14.25" thickTop="1" thickBot="1" x14ac:dyDescent="0.25"/>
    <row r="106" spans="1:13" ht="14.25" thickTop="1" thickBot="1" x14ac:dyDescent="0.25">
      <c r="A106" s="322" t="s">
        <v>591</v>
      </c>
      <c r="B106" s="91"/>
      <c r="C106" s="86" t="s">
        <v>0</v>
      </c>
      <c r="D106" s="86"/>
      <c r="E106" s="86"/>
      <c r="F106" s="87" t="s">
        <v>91</v>
      </c>
      <c r="G106" s="87"/>
      <c r="H106" s="87"/>
      <c r="I106" s="88" t="s">
        <v>92</v>
      </c>
      <c r="J106" s="89"/>
      <c r="K106" s="90"/>
    </row>
    <row r="107" spans="1:13" ht="13.5" thickBot="1" x14ac:dyDescent="0.25">
      <c r="A107" s="58" t="s">
        <v>93</v>
      </c>
      <c r="B107" s="59" t="s">
        <v>94</v>
      </c>
      <c r="C107" s="60" t="s">
        <v>95</v>
      </c>
      <c r="D107" s="59" t="s">
        <v>96</v>
      </c>
      <c r="E107" s="61" t="s">
        <v>1</v>
      </c>
      <c r="F107" s="59" t="s">
        <v>95</v>
      </c>
      <c r="G107" s="59" t="s">
        <v>96</v>
      </c>
      <c r="H107" s="59" t="s">
        <v>1</v>
      </c>
      <c r="I107" s="66" t="s">
        <v>95</v>
      </c>
      <c r="J107" s="67" t="s">
        <v>96</v>
      </c>
      <c r="K107" s="68" t="s">
        <v>1</v>
      </c>
    </row>
    <row r="108" spans="1:13" x14ac:dyDescent="0.2">
      <c r="A108" s="72"/>
      <c r="B108" s="49"/>
      <c r="C108" s="56"/>
      <c r="D108" s="49"/>
      <c r="E108" s="54"/>
      <c r="F108" s="49"/>
      <c r="G108" s="49"/>
      <c r="H108" s="49"/>
      <c r="I108" s="63">
        <v>0</v>
      </c>
      <c r="J108" s="62"/>
      <c r="K108" s="65">
        <v>0</v>
      </c>
    </row>
    <row r="109" spans="1:13" x14ac:dyDescent="0.2">
      <c r="A109" s="73" t="s">
        <v>100</v>
      </c>
      <c r="B109" s="49" t="s">
        <v>97</v>
      </c>
      <c r="C109" s="63">
        <f>+C35+C61+C85</f>
        <v>183</v>
      </c>
      <c r="D109" s="62">
        <f>+E109/C109</f>
        <v>13440163.934426229</v>
      </c>
      <c r="E109" s="64">
        <f>+E35+E61+E85</f>
        <v>2459550000</v>
      </c>
      <c r="F109" s="49"/>
      <c r="G109" s="49"/>
      <c r="H109" s="62"/>
      <c r="I109" s="63">
        <f>+C109-F109</f>
        <v>183</v>
      </c>
      <c r="J109" s="62">
        <f t="shared" ref="J109:J128" si="11">+K109/I109</f>
        <v>13440163.934426229</v>
      </c>
      <c r="K109" s="65">
        <f>+E109-H109</f>
        <v>2459550000</v>
      </c>
      <c r="L109" s="290">
        <f t="shared" ref="L109:L128" si="12">+K35+K61+K85-K109</f>
        <v>0</v>
      </c>
    </row>
    <row r="110" spans="1:13" x14ac:dyDescent="0.2">
      <c r="A110" s="73">
        <v>2025</v>
      </c>
      <c r="B110" s="49" t="s">
        <v>98</v>
      </c>
      <c r="C110" s="63"/>
      <c r="D110" s="62"/>
      <c r="E110" s="64"/>
      <c r="F110" s="63">
        <f>+F36+F62+F86</f>
        <v>0</v>
      </c>
      <c r="G110" s="62" t="e">
        <f>+H110/F110</f>
        <v>#DIV/0!</v>
      </c>
      <c r="H110" s="64">
        <f>+H36+H62+H86</f>
        <v>0</v>
      </c>
      <c r="I110" s="63">
        <f t="shared" ref="I110:I126" si="13">+I109+C110-F110</f>
        <v>183</v>
      </c>
      <c r="J110" s="62">
        <f t="shared" si="11"/>
        <v>13440163.934426229</v>
      </c>
      <c r="K110" s="65">
        <f t="shared" ref="K110:K128" si="14">+K109+E110-H110</f>
        <v>2459550000</v>
      </c>
      <c r="L110" s="290">
        <f t="shared" si="12"/>
        <v>0</v>
      </c>
    </row>
    <row r="111" spans="1:13" x14ac:dyDescent="0.2">
      <c r="A111" s="79"/>
      <c r="B111" s="80" t="s">
        <v>59</v>
      </c>
      <c r="C111" s="81"/>
      <c r="D111" s="82"/>
      <c r="E111" s="83"/>
      <c r="F111" s="63">
        <f>+F37+F63+F87</f>
        <v>180</v>
      </c>
      <c r="G111" s="62">
        <f>+H111/F111</f>
        <v>13330000</v>
      </c>
      <c r="H111" s="64">
        <f>+H37+H63+H87</f>
        <v>2399400000</v>
      </c>
      <c r="I111" s="63">
        <f t="shared" si="13"/>
        <v>3</v>
      </c>
      <c r="J111" s="62">
        <f t="shared" si="11"/>
        <v>20050000</v>
      </c>
      <c r="K111" s="65">
        <f>+K110+E111-H111</f>
        <v>60150000</v>
      </c>
      <c r="L111" s="290">
        <f t="shared" si="12"/>
        <v>0</v>
      </c>
      <c r="M111" s="18"/>
    </row>
    <row r="112" spans="1:13" ht="13.5" thickBot="1" x14ac:dyDescent="0.25">
      <c r="A112" s="74"/>
      <c r="B112" s="53" t="s">
        <v>99</v>
      </c>
      <c r="C112" s="75">
        <f>+C38+C64+C88</f>
        <v>1</v>
      </c>
      <c r="D112" s="76">
        <f>+E112/C112</f>
        <v>40000000</v>
      </c>
      <c r="E112" s="77">
        <f>+E38+E64+E88</f>
        <v>40000000</v>
      </c>
      <c r="F112" s="53"/>
      <c r="G112" s="76"/>
      <c r="H112" s="76"/>
      <c r="I112" s="75">
        <f t="shared" si="13"/>
        <v>4</v>
      </c>
      <c r="J112" s="76">
        <f t="shared" si="11"/>
        <v>25037500</v>
      </c>
      <c r="K112" s="78">
        <f>+K111+E112-H112</f>
        <v>100150000</v>
      </c>
      <c r="L112" s="290">
        <f t="shared" si="12"/>
        <v>0</v>
      </c>
    </row>
    <row r="113" spans="1:13" x14ac:dyDescent="0.2">
      <c r="A113" s="73" t="s">
        <v>100</v>
      </c>
      <c r="B113" s="49" t="s">
        <v>97</v>
      </c>
      <c r="C113" s="63">
        <f>+C39+C65+C89</f>
        <v>207</v>
      </c>
      <c r="D113" s="62">
        <f>+E113/C113</f>
        <v>13330000</v>
      </c>
      <c r="E113" s="64">
        <f>+E39+E65+E89</f>
        <v>2759310000</v>
      </c>
      <c r="F113" s="49"/>
      <c r="G113" s="49"/>
      <c r="H113" s="62"/>
      <c r="I113" s="63">
        <f t="shared" si="13"/>
        <v>211</v>
      </c>
      <c r="J113" s="62">
        <f t="shared" si="11"/>
        <v>13551943.127962084</v>
      </c>
      <c r="K113" s="65">
        <f t="shared" si="14"/>
        <v>2859460000</v>
      </c>
      <c r="L113" s="290">
        <f t="shared" si="12"/>
        <v>0</v>
      </c>
    </row>
    <row r="114" spans="1:13" x14ac:dyDescent="0.2">
      <c r="A114" s="73">
        <v>2026</v>
      </c>
      <c r="B114" s="49" t="s">
        <v>98</v>
      </c>
      <c r="C114" s="63"/>
      <c r="D114" s="62"/>
      <c r="E114" s="64"/>
      <c r="F114" s="63">
        <f>+F40+F66+F90</f>
        <v>1</v>
      </c>
      <c r="G114" s="62">
        <f>+H114/F114</f>
        <v>40000000</v>
      </c>
      <c r="H114" s="64">
        <f>+H40+H66+H90</f>
        <v>40000000</v>
      </c>
      <c r="I114" s="63">
        <f t="shared" si="13"/>
        <v>210</v>
      </c>
      <c r="J114" s="62">
        <f t="shared" si="11"/>
        <v>13426000</v>
      </c>
      <c r="K114" s="65">
        <f t="shared" si="14"/>
        <v>2819460000</v>
      </c>
      <c r="L114" s="290">
        <f t="shared" si="12"/>
        <v>0</v>
      </c>
      <c r="M114" s="18"/>
    </row>
    <row r="115" spans="1:13" x14ac:dyDescent="0.2">
      <c r="A115" s="48"/>
      <c r="B115" s="80" t="s">
        <v>59</v>
      </c>
      <c r="C115" s="81"/>
      <c r="D115" s="82"/>
      <c r="E115" s="83"/>
      <c r="F115" s="63">
        <f>+F41+F67+F91</f>
        <v>207</v>
      </c>
      <c r="G115" s="62">
        <f>+H115/F115</f>
        <v>13330000</v>
      </c>
      <c r="H115" s="64">
        <f>+H41+H67+H91</f>
        <v>2759310000</v>
      </c>
      <c r="I115" s="63">
        <f t="shared" si="13"/>
        <v>3</v>
      </c>
      <c r="J115" s="62">
        <f t="shared" si="11"/>
        <v>20050000</v>
      </c>
      <c r="K115" s="65">
        <f t="shared" si="14"/>
        <v>60150000</v>
      </c>
      <c r="L115" s="290">
        <f t="shared" si="12"/>
        <v>0</v>
      </c>
      <c r="M115" s="18"/>
    </row>
    <row r="116" spans="1:13" ht="13.5" thickBot="1" x14ac:dyDescent="0.25">
      <c r="A116" s="52"/>
      <c r="B116" s="53" t="s">
        <v>99</v>
      </c>
      <c r="C116" s="75">
        <f>+C42+C68+C92</f>
        <v>1</v>
      </c>
      <c r="D116" s="76">
        <f>+E116/C116</f>
        <v>40000000</v>
      </c>
      <c r="E116" s="77">
        <f>+E42+E68+E92</f>
        <v>40000000</v>
      </c>
      <c r="F116" s="53"/>
      <c r="G116" s="76"/>
      <c r="H116" s="76"/>
      <c r="I116" s="75">
        <f t="shared" si="13"/>
        <v>4</v>
      </c>
      <c r="J116" s="76">
        <f t="shared" si="11"/>
        <v>25037500</v>
      </c>
      <c r="K116" s="78">
        <f t="shared" si="14"/>
        <v>100150000</v>
      </c>
      <c r="L116" s="290">
        <f t="shared" si="12"/>
        <v>0</v>
      </c>
    </row>
    <row r="117" spans="1:13" x14ac:dyDescent="0.2">
      <c r="A117" s="73" t="s">
        <v>100</v>
      </c>
      <c r="B117" s="49" t="s">
        <v>97</v>
      </c>
      <c r="C117" s="63">
        <f>+C43+C69+C93</f>
        <v>244.26</v>
      </c>
      <c r="D117" s="62">
        <f>+E117/C117</f>
        <v>14663000</v>
      </c>
      <c r="E117" s="64">
        <f>+E43+E69+E93</f>
        <v>3581584380</v>
      </c>
      <c r="F117" s="49"/>
      <c r="G117" s="49"/>
      <c r="H117" s="62"/>
      <c r="I117" s="63">
        <f t="shared" si="13"/>
        <v>248.26</v>
      </c>
      <c r="J117" s="62">
        <f t="shared" si="11"/>
        <v>14830155.401595103</v>
      </c>
      <c r="K117" s="65">
        <f t="shared" si="14"/>
        <v>3681734380</v>
      </c>
      <c r="L117" s="290">
        <f t="shared" si="12"/>
        <v>0</v>
      </c>
    </row>
    <row r="118" spans="1:13" x14ac:dyDescent="0.2">
      <c r="A118" s="73">
        <v>2027</v>
      </c>
      <c r="B118" s="49" t="s">
        <v>98</v>
      </c>
      <c r="C118" s="63"/>
      <c r="D118" s="62"/>
      <c r="E118" s="64"/>
      <c r="F118" s="49">
        <f>ROUND(+C117*3%,0)</f>
        <v>7</v>
      </c>
      <c r="G118" s="62">
        <f>+H118/F118</f>
        <v>6252653.1556848614</v>
      </c>
      <c r="H118" s="64">
        <f>+H44+H70+H94</f>
        <v>43768572.089794032</v>
      </c>
      <c r="I118" s="63">
        <f t="shared" si="13"/>
        <v>241.26</v>
      </c>
      <c r="J118" s="62">
        <f t="shared" si="11"/>
        <v>15079025.97989806</v>
      </c>
      <c r="K118" s="65">
        <f t="shared" si="14"/>
        <v>3637965807.9102058</v>
      </c>
      <c r="L118" s="290">
        <f t="shared" si="12"/>
        <v>0</v>
      </c>
    </row>
    <row r="119" spans="1:13" x14ac:dyDescent="0.2">
      <c r="A119" s="48"/>
      <c r="B119" s="80" t="s">
        <v>59</v>
      </c>
      <c r="C119" s="81"/>
      <c r="D119" s="82"/>
      <c r="E119" s="83"/>
      <c r="F119" s="63">
        <f>+F45+F71+F95</f>
        <v>244.26</v>
      </c>
      <c r="G119" s="62">
        <f>+H119/F119</f>
        <v>14624010.451901434</v>
      </c>
      <c r="H119" s="64">
        <f>+H45+H71+H95</f>
        <v>3572060792.9814444</v>
      </c>
      <c r="I119" s="63">
        <f t="shared" si="13"/>
        <v>-3</v>
      </c>
      <c r="J119" s="62">
        <f t="shared" si="11"/>
        <v>-21968338.309587162</v>
      </c>
      <c r="K119" s="65">
        <f t="shared" si="14"/>
        <v>65905014.928761482</v>
      </c>
      <c r="L119" s="290">
        <f t="shared" si="12"/>
        <v>1.1920928955078125E-7</v>
      </c>
    </row>
    <row r="120" spans="1:13" ht="13.5" thickBot="1" x14ac:dyDescent="0.25">
      <c r="A120" s="52"/>
      <c r="B120" s="53" t="s">
        <v>99</v>
      </c>
      <c r="C120" s="75">
        <f>+C46+C72+C96</f>
        <v>2</v>
      </c>
      <c r="D120" s="76">
        <f>+E120/C120</f>
        <v>28280101.458521426</v>
      </c>
      <c r="E120" s="77">
        <f>+E46+E72+E96</f>
        <v>56560202.917042851</v>
      </c>
      <c r="F120" s="53"/>
      <c r="G120" s="76"/>
      <c r="H120" s="76"/>
      <c r="I120" s="75">
        <f t="shared" si="13"/>
        <v>-1</v>
      </c>
      <c r="J120" s="76">
        <f t="shared" si="11"/>
        <v>-122465217.84580433</v>
      </c>
      <c r="K120" s="78">
        <f t="shared" si="14"/>
        <v>122465217.84580433</v>
      </c>
      <c r="L120" s="290">
        <f t="shared" si="12"/>
        <v>1.1920928955078125E-7</v>
      </c>
    </row>
    <row r="121" spans="1:13" x14ac:dyDescent="0.2">
      <c r="A121" s="73" t="s">
        <v>100</v>
      </c>
      <c r="B121" s="49" t="s">
        <v>97</v>
      </c>
      <c r="C121" s="63">
        <f>+C47+C73+C97</f>
        <v>295.55459999999999</v>
      </c>
      <c r="D121" s="62">
        <f>+E121/C121</f>
        <v>16422560</v>
      </c>
      <c r="E121" s="64">
        <f>+E47+E73+E97</f>
        <v>4853763151.776</v>
      </c>
      <c r="F121" s="49"/>
      <c r="G121" s="49"/>
      <c r="H121" s="62"/>
      <c r="I121" s="63">
        <f t="shared" si="13"/>
        <v>294.55459999999999</v>
      </c>
      <c r="J121" s="62">
        <f t="shared" si="11"/>
        <v>16894077.938765187</v>
      </c>
      <c r="K121" s="65">
        <f t="shared" si="14"/>
        <v>4976228369.6218042</v>
      </c>
      <c r="L121" s="290">
        <f t="shared" si="12"/>
        <v>0</v>
      </c>
    </row>
    <row r="122" spans="1:13" x14ac:dyDescent="0.2">
      <c r="A122" s="73">
        <v>2028</v>
      </c>
      <c r="B122" s="49" t="s">
        <v>98</v>
      </c>
      <c r="C122" s="63"/>
      <c r="D122" s="62"/>
      <c r="E122" s="64"/>
      <c r="F122" s="49">
        <f>ROUND(+C121*2.5%,0)</f>
        <v>7</v>
      </c>
      <c r="G122" s="62">
        <f>+H122/F122</f>
        <v>9045071.612276895</v>
      </c>
      <c r="H122" s="64">
        <f>+H48+H74+H98</f>
        <v>63315501.285938263</v>
      </c>
      <c r="I122" s="63">
        <f t="shared" si="13"/>
        <v>287.55459999999999</v>
      </c>
      <c r="J122" s="62">
        <f t="shared" si="11"/>
        <v>17085147.893081404</v>
      </c>
      <c r="K122" s="65">
        <f t="shared" si="14"/>
        <v>4912912868.335866</v>
      </c>
      <c r="L122" s="290">
        <f t="shared" si="12"/>
        <v>0</v>
      </c>
    </row>
    <row r="123" spans="1:13" x14ac:dyDescent="0.2">
      <c r="A123" s="48"/>
      <c r="B123" s="80" t="s">
        <v>59</v>
      </c>
      <c r="C123" s="81"/>
      <c r="D123" s="82"/>
      <c r="E123" s="83"/>
      <c r="F123" s="63">
        <f>+F49+F75+F99</f>
        <v>295.55459999999999</v>
      </c>
      <c r="G123" s="62">
        <f>+H123/F123</f>
        <v>16373052.758685471</v>
      </c>
      <c r="H123" s="64">
        <f>+H49+H75+H99</f>
        <v>4839131058.8721809</v>
      </c>
      <c r="I123" s="63">
        <f t="shared" si="13"/>
        <v>-8</v>
      </c>
      <c r="J123" s="62">
        <f t="shared" si="11"/>
        <v>-9222726.1829606295</v>
      </c>
      <c r="K123" s="65">
        <f t="shared" si="14"/>
        <v>73781809.463685036</v>
      </c>
      <c r="L123" s="290">
        <f t="shared" si="12"/>
        <v>9.5367431640625E-7</v>
      </c>
    </row>
    <row r="124" spans="1:13" ht="13.5" thickBot="1" x14ac:dyDescent="0.25">
      <c r="A124" s="52"/>
      <c r="B124" s="53" t="s">
        <v>99</v>
      </c>
      <c r="C124" s="75">
        <f>+C50+C76+C100</f>
        <v>2</v>
      </c>
      <c r="D124" s="76">
        <f>+E124/C124</f>
        <v>31657750.642969131</v>
      </c>
      <c r="E124" s="77">
        <f>+E50+E76+E100</f>
        <v>63315501.285938263</v>
      </c>
      <c r="F124" s="53"/>
      <c r="G124" s="76"/>
      <c r="H124" s="76"/>
      <c r="I124" s="75">
        <f>+I123+C124-F124</f>
        <v>-6</v>
      </c>
      <c r="J124" s="76">
        <f t="shared" si="11"/>
        <v>-22849551.791603882</v>
      </c>
      <c r="K124" s="78">
        <f t="shared" si="14"/>
        <v>137097310.7496233</v>
      </c>
      <c r="L124" s="290">
        <f t="shared" si="12"/>
        <v>9.5367431640625E-7</v>
      </c>
    </row>
    <row r="125" spans="1:13" x14ac:dyDescent="0.2">
      <c r="A125" s="273" t="s">
        <v>100</v>
      </c>
      <c r="B125" s="49" t="s">
        <v>97</v>
      </c>
      <c r="C125" s="63">
        <f>+C51+C77+C101</f>
        <v>366.48770399999995</v>
      </c>
      <c r="D125" s="62">
        <f>+E125/C125</f>
        <v>18229041.600000005</v>
      </c>
      <c r="E125" s="64">
        <f>+E51+E77+E101</f>
        <v>6680719602.1044874</v>
      </c>
      <c r="F125" s="140"/>
      <c r="G125" s="82"/>
      <c r="H125" s="141"/>
      <c r="I125" s="63">
        <f t="shared" si="13"/>
        <v>360.48770399999995</v>
      </c>
      <c r="J125" s="62">
        <f t="shared" si="11"/>
        <v>18912758.569024898</v>
      </c>
      <c r="K125" s="65">
        <f t="shared" si="14"/>
        <v>6817816912.8541107</v>
      </c>
      <c r="L125" s="290">
        <f t="shared" si="12"/>
        <v>0</v>
      </c>
    </row>
    <row r="126" spans="1:13" x14ac:dyDescent="0.2">
      <c r="A126" s="136">
        <v>2029</v>
      </c>
      <c r="B126" s="49" t="s">
        <v>98</v>
      </c>
      <c r="C126" s="81"/>
      <c r="D126" s="82"/>
      <c r="E126" s="83"/>
      <c r="F126" s="49">
        <f>ROUND(+C125*2.5%,0)</f>
        <v>9</v>
      </c>
      <c r="G126" s="62">
        <f>+H126/F126</f>
        <v>11349126.171578573</v>
      </c>
      <c r="H126" s="64">
        <f>+H52+H78+H102</f>
        <v>102142135.54420716</v>
      </c>
      <c r="I126" s="63">
        <f t="shared" si="13"/>
        <v>351.48770399999995</v>
      </c>
      <c r="J126" s="62">
        <f t="shared" si="11"/>
        <v>19106428.762327071</v>
      </c>
      <c r="K126" s="65">
        <f t="shared" si="14"/>
        <v>6715674777.3099031</v>
      </c>
      <c r="L126" s="290">
        <f t="shared" si="12"/>
        <v>0</v>
      </c>
    </row>
    <row r="127" spans="1:13" x14ac:dyDescent="0.2">
      <c r="A127" s="136"/>
      <c r="B127" s="80" t="s">
        <v>59</v>
      </c>
      <c r="C127" s="81"/>
      <c r="D127" s="82"/>
      <c r="E127" s="83"/>
      <c r="F127" s="63">
        <f>+F53+F79+F103</f>
        <v>366.48770399999995</v>
      </c>
      <c r="G127" s="62">
        <f>+H127/F127</f>
        <v>18187422.47173664</v>
      </c>
      <c r="H127" s="64">
        <f>+H53+H79+H103</f>
        <v>6665466703.3447647</v>
      </c>
      <c r="I127" s="63">
        <f>+I126+C127-F127</f>
        <v>-15</v>
      </c>
      <c r="J127" s="62">
        <f t="shared" si="11"/>
        <v>-3347204.9310092288</v>
      </c>
      <c r="K127" s="65">
        <f t="shared" si="14"/>
        <v>50208073.965138435</v>
      </c>
      <c r="L127" s="290">
        <f t="shared" si="12"/>
        <v>9.5367431640625E-7</v>
      </c>
    </row>
    <row r="128" spans="1:13" ht="13.5" thickBot="1" x14ac:dyDescent="0.25">
      <c r="A128" s="50"/>
      <c r="B128" s="53" t="s">
        <v>99</v>
      </c>
      <c r="C128" s="75">
        <f>+C54+C80+C104</f>
        <v>3</v>
      </c>
      <c r="D128" s="76">
        <f>+E128/C128</f>
        <v>28751273.273489635</v>
      </c>
      <c r="E128" s="77">
        <f>+E54+E80+E104</f>
        <v>86253819.820468903</v>
      </c>
      <c r="F128" s="51"/>
      <c r="G128" s="70"/>
      <c r="H128" s="70"/>
      <c r="I128" s="63">
        <f>+I127+C128-F128</f>
        <v>-12</v>
      </c>
      <c r="J128" s="62">
        <f t="shared" si="11"/>
        <v>-11371824.482133945</v>
      </c>
      <c r="K128" s="65">
        <f t="shared" si="14"/>
        <v>136461893.78560734</v>
      </c>
      <c r="L128" s="290">
        <f t="shared" si="12"/>
        <v>9.5367431640625E-7</v>
      </c>
    </row>
    <row r="129" spans="3:12" ht="13.5" thickTop="1" x14ac:dyDescent="0.2">
      <c r="F129" s="18"/>
      <c r="H129" s="18"/>
    </row>
    <row r="130" spans="3:12" x14ac:dyDescent="0.2">
      <c r="C130" s="18"/>
      <c r="D130" s="18"/>
      <c r="E130" s="18"/>
      <c r="I130" s="18"/>
      <c r="J130" s="18"/>
      <c r="K130" s="18"/>
      <c r="L130" s="18"/>
    </row>
  </sheetData>
  <mergeCells count="4">
    <mergeCell ref="B1:I1"/>
    <mergeCell ref="B2:I2"/>
    <mergeCell ref="C3:H3"/>
    <mergeCell ref="B4:I4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0" orientation="landscape" horizontalDpi="360" verticalDpi="36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1:R181"/>
  <sheetViews>
    <sheetView topLeftCell="A71" zoomScale="90" zoomScaleNormal="90" workbookViewId="0">
      <selection activeCell="K78" sqref="K78"/>
    </sheetView>
  </sheetViews>
  <sheetFormatPr baseColWidth="10" defaultRowHeight="12.75" x14ac:dyDescent="0.2"/>
  <cols>
    <col min="1" max="1" width="28" customWidth="1"/>
    <col min="2" max="2" width="28.85546875" customWidth="1"/>
    <col min="3" max="3" width="24.85546875" customWidth="1"/>
    <col min="4" max="4" width="21.5703125" customWidth="1"/>
    <col min="5" max="5" width="19.42578125" customWidth="1"/>
    <col min="6" max="9" width="15" customWidth="1"/>
    <col min="10" max="10" width="18.5703125" customWidth="1"/>
    <col min="12" max="12" width="23.5703125" customWidth="1"/>
    <col min="13" max="13" width="16.5703125" customWidth="1"/>
    <col min="14" max="14" width="14.28515625" customWidth="1"/>
    <col min="15" max="15" width="14.5703125" customWidth="1"/>
    <col min="16" max="16" width="14.140625" customWidth="1"/>
    <col min="17" max="18" width="13.85546875" customWidth="1"/>
  </cols>
  <sheetData>
    <row r="1" spans="1:18" ht="15.75" x14ac:dyDescent="0.25">
      <c r="A1" s="93"/>
      <c r="B1" s="32" t="s">
        <v>556</v>
      </c>
      <c r="C1" s="32"/>
      <c r="D1" s="32"/>
      <c r="E1" s="32"/>
      <c r="F1" s="32" t="s">
        <v>101</v>
      </c>
      <c r="G1" s="32"/>
      <c r="H1" s="32"/>
      <c r="I1" s="32"/>
      <c r="J1" s="32"/>
    </row>
    <row r="2" spans="1:18" ht="15.75" x14ac:dyDescent="0.25">
      <c r="A2" s="36"/>
      <c r="B2" s="102" t="s">
        <v>262</v>
      </c>
      <c r="C2" s="36"/>
      <c r="D2" s="37"/>
      <c r="E2" s="37"/>
      <c r="F2" s="8"/>
      <c r="G2" s="8"/>
      <c r="H2" s="8"/>
      <c r="I2" s="8"/>
      <c r="J2" s="8"/>
    </row>
    <row r="3" spans="1:18" ht="15" x14ac:dyDescent="0.2">
      <c r="A3" s="36" t="s">
        <v>102</v>
      </c>
      <c r="B3" s="36"/>
      <c r="C3" s="36"/>
      <c r="D3" s="37"/>
      <c r="E3" s="8">
        <v>2025</v>
      </c>
      <c r="F3" s="8">
        <f>E3+1</f>
        <v>2026</v>
      </c>
      <c r="G3" s="8">
        <f t="shared" ref="G3:I3" si="0">F3+1</f>
        <v>2027</v>
      </c>
      <c r="H3" s="8">
        <f t="shared" si="0"/>
        <v>2028</v>
      </c>
      <c r="I3" s="8">
        <f t="shared" si="0"/>
        <v>2029</v>
      </c>
      <c r="J3" s="8"/>
    </row>
    <row r="4" spans="1:18" ht="15" x14ac:dyDescent="0.2">
      <c r="A4" s="131" t="s">
        <v>572</v>
      </c>
      <c r="B4" s="1"/>
      <c r="C4" s="1"/>
      <c r="D4" s="1"/>
      <c r="E4" s="1"/>
      <c r="F4" s="8"/>
      <c r="G4" s="8"/>
      <c r="H4" s="8"/>
      <c r="I4" s="8"/>
      <c r="J4" s="8"/>
      <c r="L4" s="128" t="s">
        <v>508</v>
      </c>
      <c r="M4" s="128"/>
      <c r="N4" s="128"/>
    </row>
    <row r="5" spans="1:18" ht="15" x14ac:dyDescent="0.2">
      <c r="A5" s="132" t="s">
        <v>239</v>
      </c>
      <c r="B5" s="1"/>
      <c r="C5" s="1"/>
      <c r="D5" s="1"/>
      <c r="E5" s="98">
        <f>+E6+E32+E37</f>
        <v>2428013475</v>
      </c>
      <c r="F5" s="98">
        <f>+F6+F32+F37</f>
        <v>2387320368.3937502</v>
      </c>
      <c r="G5" s="98">
        <f>+G6+G32+G37</f>
        <v>3153893906.1826243</v>
      </c>
      <c r="H5" s="98">
        <f>+H6+H32+H37</f>
        <v>4235941047.1247315</v>
      </c>
      <c r="I5" s="98">
        <f>+I6+I32+I37</f>
        <v>5829658697.1749859</v>
      </c>
      <c r="J5" s="8"/>
    </row>
    <row r="6" spans="1:18" ht="15.75" thickBot="1" x14ac:dyDescent="0.25">
      <c r="A6" s="128" t="s">
        <v>263</v>
      </c>
      <c r="D6" s="23"/>
      <c r="E6" s="23">
        <f>+E30</f>
        <v>2399400000</v>
      </c>
      <c r="F6" s="23">
        <f>+F30</f>
        <v>2351382000</v>
      </c>
      <c r="G6" s="23">
        <f>+G30</f>
        <v>3107586451.2000008</v>
      </c>
      <c r="H6" s="23">
        <f>+H30</f>
        <v>4173799362.6067209</v>
      </c>
      <c r="I6" s="23">
        <f>+I30</f>
        <v>5744817442.6918907</v>
      </c>
      <c r="J6" s="8"/>
      <c r="L6" s="49"/>
      <c r="M6" s="315" t="s">
        <v>592</v>
      </c>
      <c r="N6" s="315" t="s">
        <v>381</v>
      </c>
      <c r="O6" s="315" t="s">
        <v>604</v>
      </c>
      <c r="P6" s="315" t="s">
        <v>605</v>
      </c>
      <c r="Q6" s="315" t="s">
        <v>606</v>
      </c>
      <c r="R6" s="315" t="s">
        <v>617</v>
      </c>
    </row>
    <row r="7" spans="1:18" ht="15.75" thickBot="1" x14ac:dyDescent="0.25">
      <c r="A7" s="146" t="s">
        <v>583</v>
      </c>
      <c r="C7" s="321" t="s">
        <v>582</v>
      </c>
      <c r="D7" s="323" t="s">
        <v>589</v>
      </c>
      <c r="E7" s="324" t="s">
        <v>590</v>
      </c>
      <c r="F7" s="8"/>
      <c r="G7" s="8"/>
      <c r="H7" s="8"/>
      <c r="I7" s="8"/>
      <c r="J7" s="8"/>
      <c r="L7" s="49"/>
      <c r="M7" s="49"/>
      <c r="N7" s="49"/>
      <c r="O7" s="49"/>
      <c r="P7" s="49"/>
      <c r="Q7" s="49"/>
      <c r="R7" s="49"/>
    </row>
    <row r="8" spans="1:18" ht="15" x14ac:dyDescent="0.2">
      <c r="C8" s="155">
        <v>0</v>
      </c>
      <c r="D8" s="156"/>
      <c r="E8" s="157"/>
      <c r="F8" s="8"/>
      <c r="G8" s="8"/>
      <c r="H8" s="8"/>
      <c r="I8" s="8"/>
      <c r="J8" s="8"/>
      <c r="L8" s="393" t="s">
        <v>261</v>
      </c>
      <c r="M8" s="393"/>
      <c r="N8" s="394">
        <v>0</v>
      </c>
      <c r="O8" s="394">
        <v>0.1</v>
      </c>
      <c r="P8" s="394">
        <v>0.12</v>
      </c>
      <c r="Q8" s="395">
        <v>0.11</v>
      </c>
      <c r="R8" s="395">
        <v>0.12</v>
      </c>
    </row>
    <row r="9" spans="1:18" ht="15" x14ac:dyDescent="0.2">
      <c r="C9" s="158">
        <v>0</v>
      </c>
      <c r="D9" s="159"/>
      <c r="E9" s="160"/>
      <c r="F9" s="8"/>
      <c r="G9" s="8"/>
      <c r="H9" s="8"/>
      <c r="I9" s="8"/>
      <c r="J9" s="8"/>
      <c r="L9" s="199" t="s">
        <v>594</v>
      </c>
      <c r="M9" s="49"/>
      <c r="N9" s="49"/>
      <c r="O9" s="49"/>
      <c r="P9" s="49"/>
      <c r="Q9" s="49"/>
      <c r="R9" s="49"/>
    </row>
    <row r="10" spans="1:18" ht="15" x14ac:dyDescent="0.2">
      <c r="C10" s="158">
        <v>0</v>
      </c>
      <c r="D10" s="159"/>
      <c r="E10" s="160"/>
      <c r="F10" s="8"/>
      <c r="G10" s="8"/>
      <c r="H10" s="8"/>
      <c r="I10" s="8"/>
      <c r="J10" s="8"/>
      <c r="L10" s="396" t="s">
        <v>575</v>
      </c>
      <c r="M10" s="62">
        <f>+B25</f>
        <v>8500000</v>
      </c>
      <c r="N10" s="62">
        <f>+M10*(1+$N$8)</f>
        <v>8500000</v>
      </c>
      <c r="O10" s="62">
        <f>+N10*(1+$O$8)</f>
        <v>9350000</v>
      </c>
      <c r="P10" s="62">
        <f>+O10*(1+$P$8)</f>
        <v>10472000.000000002</v>
      </c>
      <c r="Q10" s="62">
        <f t="shared" ref="Q10:R12" si="1">+P10*(1+$Q$8)</f>
        <v>11623920.000000004</v>
      </c>
      <c r="R10" s="62">
        <f t="shared" si="1"/>
        <v>12902551.200000005</v>
      </c>
    </row>
    <row r="11" spans="1:18" ht="15" x14ac:dyDescent="0.2">
      <c r="C11" s="158">
        <v>0</v>
      </c>
      <c r="D11" s="159"/>
      <c r="E11" s="160"/>
      <c r="F11" s="8"/>
      <c r="G11" s="8"/>
      <c r="H11" s="8"/>
      <c r="I11" s="8"/>
      <c r="J11" s="8"/>
      <c r="L11" s="396" t="s">
        <v>576</v>
      </c>
      <c r="M11" s="62">
        <f>+B26</f>
        <v>11650000</v>
      </c>
      <c r="N11" s="62">
        <f>+M11*(1+$N$8)</f>
        <v>11650000</v>
      </c>
      <c r="O11" s="62">
        <f>+N11*(1+$O$8)</f>
        <v>12815000.000000002</v>
      </c>
      <c r="P11" s="62">
        <f>+O11*(1+$P$8)</f>
        <v>14352800.000000004</v>
      </c>
      <c r="Q11" s="62">
        <f t="shared" si="1"/>
        <v>15931608.000000006</v>
      </c>
      <c r="R11" s="62">
        <f t="shared" si="1"/>
        <v>17684084.880000006</v>
      </c>
    </row>
    <row r="12" spans="1:18" ht="15" x14ac:dyDescent="0.2">
      <c r="C12" s="158">
        <v>0</v>
      </c>
      <c r="D12" s="159"/>
      <c r="E12" s="160"/>
      <c r="F12" s="8"/>
      <c r="G12" s="8"/>
      <c r="H12" s="8"/>
      <c r="I12" s="8"/>
      <c r="J12" s="8"/>
      <c r="L12" s="396" t="s">
        <v>587</v>
      </c>
      <c r="M12" s="62">
        <f>+B27</f>
        <v>40000000</v>
      </c>
      <c r="N12" s="62">
        <f>+M12*(1+$N$8)</f>
        <v>40000000</v>
      </c>
      <c r="O12" s="62">
        <f>+N12*(1+$O$8)</f>
        <v>44000000</v>
      </c>
      <c r="P12" s="62">
        <f>+O12*(1+$P$8)</f>
        <v>49280000.000000007</v>
      </c>
      <c r="Q12" s="62">
        <f t="shared" si="1"/>
        <v>54700800.000000015</v>
      </c>
      <c r="R12" s="62">
        <f t="shared" si="1"/>
        <v>60717888.000000022</v>
      </c>
    </row>
    <row r="13" spans="1:18" ht="15" x14ac:dyDescent="0.2">
      <c r="C13" s="158">
        <v>0</v>
      </c>
      <c r="D13" s="159"/>
      <c r="E13" s="160"/>
      <c r="F13" s="8"/>
      <c r="G13" s="8"/>
      <c r="H13" s="8"/>
      <c r="I13" s="8"/>
      <c r="J13" s="8"/>
    </row>
    <row r="14" spans="1:18" ht="15" x14ac:dyDescent="0.2">
      <c r="C14" s="158">
        <v>0</v>
      </c>
      <c r="D14" s="159"/>
      <c r="E14" s="160"/>
      <c r="F14" s="8"/>
      <c r="G14" s="8"/>
      <c r="H14" s="8"/>
      <c r="I14" s="8"/>
      <c r="J14" s="8"/>
    </row>
    <row r="15" spans="1:18" ht="15" x14ac:dyDescent="0.2">
      <c r="A15" s="252" t="s">
        <v>584</v>
      </c>
      <c r="B15" s="24"/>
      <c r="C15" s="158">
        <v>8000000</v>
      </c>
      <c r="D15" s="159">
        <v>11000000</v>
      </c>
      <c r="E15" s="160">
        <v>38000000</v>
      </c>
      <c r="F15" s="124"/>
      <c r="G15" s="124"/>
      <c r="H15" s="8"/>
      <c r="I15" s="8"/>
      <c r="J15" s="8"/>
    </row>
    <row r="16" spans="1:18" ht="15" x14ac:dyDescent="0.2">
      <c r="A16" s="252" t="s">
        <v>585</v>
      </c>
      <c r="B16" s="24"/>
      <c r="C16" s="158">
        <v>100000</v>
      </c>
      <c r="D16" s="159">
        <v>100000</v>
      </c>
      <c r="E16" s="160">
        <v>100000</v>
      </c>
      <c r="F16" s="124"/>
      <c r="G16" s="124"/>
      <c r="H16" s="8"/>
      <c r="I16" s="8"/>
      <c r="J16" s="8"/>
    </row>
    <row r="17" spans="1:10" ht="15" x14ac:dyDescent="0.2">
      <c r="A17" s="252" t="s">
        <v>586</v>
      </c>
      <c r="B17" s="24"/>
      <c r="C17" s="158">
        <f>C15*0.05</f>
        <v>400000</v>
      </c>
      <c r="D17" s="159">
        <f>D15*0.05</f>
        <v>550000</v>
      </c>
      <c r="E17" s="160">
        <f>E15*0.05</f>
        <v>1900000</v>
      </c>
      <c r="F17" s="124"/>
      <c r="G17" s="124"/>
      <c r="H17" s="8"/>
      <c r="I17" s="8"/>
      <c r="J17" s="8"/>
    </row>
    <row r="18" spans="1:10" ht="15" x14ac:dyDescent="0.2">
      <c r="A18" s="252"/>
      <c r="B18" s="24"/>
      <c r="C18" s="158">
        <v>0</v>
      </c>
      <c r="D18" s="159"/>
      <c r="E18" s="160"/>
      <c r="F18" s="124"/>
      <c r="G18" s="124"/>
      <c r="H18" s="8"/>
      <c r="I18" s="8"/>
      <c r="J18" s="8"/>
    </row>
    <row r="19" spans="1:10" ht="15" x14ac:dyDescent="0.2">
      <c r="A19" s="129"/>
      <c r="B19" s="24"/>
      <c r="C19" s="152"/>
      <c r="D19" s="154"/>
      <c r="E19" s="153"/>
      <c r="F19" s="125"/>
      <c r="G19" s="125"/>
      <c r="H19" s="32"/>
      <c r="I19" s="32"/>
      <c r="J19" s="32"/>
    </row>
    <row r="20" spans="1:10" ht="15.75" thickBot="1" x14ac:dyDescent="0.25">
      <c r="A20" s="282" t="s">
        <v>578</v>
      </c>
      <c r="B20" s="279"/>
      <c r="C20" s="280">
        <f>SUM(C8:C18)</f>
        <v>8500000</v>
      </c>
      <c r="D20" s="280">
        <f>SUM(D8:D19)</f>
        <v>11650000</v>
      </c>
      <c r="E20" s="281">
        <f>SUM(E8:E19)</f>
        <v>40000000</v>
      </c>
      <c r="F20" s="30"/>
      <c r="G20" s="30"/>
      <c r="H20" s="30"/>
      <c r="I20" s="30"/>
      <c r="J20" s="9"/>
    </row>
    <row r="21" spans="1:10" ht="15" x14ac:dyDescent="0.2">
      <c r="A21" s="24"/>
      <c r="B21" s="24"/>
      <c r="C21" s="24"/>
      <c r="D21" s="24"/>
      <c r="E21" s="24"/>
      <c r="F21" s="30"/>
      <c r="G21" s="30"/>
      <c r="H21" s="30"/>
      <c r="I21" s="30"/>
      <c r="J21" s="9"/>
    </row>
    <row r="22" spans="1:10" ht="15" x14ac:dyDescent="0.2">
      <c r="A22" s="126" t="s">
        <v>103</v>
      </c>
      <c r="B22" s="126"/>
      <c r="C22" s="126"/>
      <c r="D22" s="126"/>
      <c r="E22" s="126"/>
      <c r="F22" s="30"/>
      <c r="G22" s="30"/>
      <c r="H22" s="30"/>
      <c r="I22" s="30"/>
      <c r="J22" s="9"/>
    </row>
    <row r="23" spans="1:10" ht="15" x14ac:dyDescent="0.2">
      <c r="A23" s="252" t="s">
        <v>581</v>
      </c>
      <c r="B23" s="24"/>
      <c r="C23" s="24"/>
      <c r="D23" s="24"/>
      <c r="E23" s="198"/>
      <c r="F23" s="30"/>
      <c r="G23" s="30"/>
      <c r="H23" s="30"/>
      <c r="I23" s="30"/>
      <c r="J23" s="9"/>
    </row>
    <row r="24" spans="1:10" ht="15" x14ac:dyDescent="0.2">
      <c r="A24" s="49" t="s">
        <v>94</v>
      </c>
      <c r="B24" s="342" t="s">
        <v>618</v>
      </c>
      <c r="C24" s="342" t="s">
        <v>619</v>
      </c>
      <c r="D24" s="367" t="s">
        <v>643</v>
      </c>
      <c r="E24" s="367" t="s">
        <v>568</v>
      </c>
      <c r="F24" s="367" t="s">
        <v>611</v>
      </c>
      <c r="G24" s="367" t="s">
        <v>612</v>
      </c>
      <c r="H24" s="367" t="s">
        <v>620</v>
      </c>
      <c r="I24" s="367" t="s">
        <v>644</v>
      </c>
      <c r="J24" s="9"/>
    </row>
    <row r="25" spans="1:10" ht="15" x14ac:dyDescent="0.2">
      <c r="A25" s="184" t="s">
        <v>575</v>
      </c>
      <c r="B25" s="284">
        <f>+C20</f>
        <v>8500000</v>
      </c>
      <c r="C25" s="161">
        <v>10</v>
      </c>
      <c r="D25" s="198">
        <f>+B25*C25</f>
        <v>85000000</v>
      </c>
      <c r="E25" s="198">
        <f>+D25*12</f>
        <v>1020000000</v>
      </c>
      <c r="F25" s="198">
        <f>+O10*'3, INVENTARIO'!F7</f>
        <v>1290300000</v>
      </c>
      <c r="G25" s="198">
        <f>+P10*'3, INVENTARIO'!G7</f>
        <v>1705260480.0000002</v>
      </c>
      <c r="H25" s="198">
        <f>+Q10*'3, INVENTARIO'!H7</f>
        <v>2290335350.6880007</v>
      </c>
      <c r="I25" s="198">
        <f>+R10*'3, INVENTARIO'!I7</f>
        <v>3152417576.686964</v>
      </c>
      <c r="J25" s="9"/>
    </row>
    <row r="26" spans="1:10" ht="15" x14ac:dyDescent="0.2">
      <c r="A26" s="184" t="s">
        <v>576</v>
      </c>
      <c r="B26" s="284">
        <f>+D20</f>
        <v>11650000</v>
      </c>
      <c r="C26" s="161">
        <v>3</v>
      </c>
      <c r="D26" s="198">
        <f>+B26*C26</f>
        <v>34950000</v>
      </c>
      <c r="E26" s="198">
        <f>+D26*12</f>
        <v>419400000</v>
      </c>
      <c r="F26" s="198">
        <f>+O11*'3, INVENTARIO'!F8</f>
        <v>530541000.00000006</v>
      </c>
      <c r="G26" s="198">
        <f>+P11*'3, INVENTARIO'!G8</f>
        <v>701162985.60000014</v>
      </c>
      <c r="H26" s="198">
        <f>+Q11*'3, INVENTARIO'!H8</f>
        <v>941732005.95936024</v>
      </c>
      <c r="I26" s="198">
        <f>+R11*'3, INVENTARIO'!I8</f>
        <v>1296199933.0024633</v>
      </c>
      <c r="J26" s="9"/>
    </row>
    <row r="27" spans="1:10" ht="15" x14ac:dyDescent="0.2">
      <c r="A27" s="184" t="s">
        <v>577</v>
      </c>
      <c r="B27" s="284">
        <f>+E20</f>
        <v>40000000</v>
      </c>
      <c r="C27" s="161">
        <v>2</v>
      </c>
      <c r="D27" s="198">
        <f>+B27*C27</f>
        <v>80000000</v>
      </c>
      <c r="E27" s="198">
        <f>+D27*12</f>
        <v>960000000</v>
      </c>
      <c r="F27" s="198">
        <f>+O11*'3, INVENTARIO'!F8</f>
        <v>530541000.00000006</v>
      </c>
      <c r="G27" s="198">
        <f>+P11*'3, INVENTARIO'!G8</f>
        <v>701162985.60000014</v>
      </c>
      <c r="H27" s="198">
        <f>+Q11*'3, INVENTARIO'!H8</f>
        <v>941732005.95936024</v>
      </c>
      <c r="I27" s="198">
        <f>+R11*'3, INVENTARIO'!I8</f>
        <v>1296199933.0024633</v>
      </c>
      <c r="J27" s="9"/>
    </row>
    <row r="28" spans="1:10" ht="15" x14ac:dyDescent="0.2">
      <c r="A28" s="184" t="s">
        <v>579</v>
      </c>
      <c r="B28" s="284"/>
      <c r="C28" s="161"/>
      <c r="D28" s="198">
        <f>+B28*C28</f>
        <v>0</v>
      </c>
      <c r="E28" s="198">
        <f>+D28*12</f>
        <v>0</v>
      </c>
      <c r="F28" s="198">
        <f>+O12*'3, INVENTARIO'!F9</f>
        <v>1214400000</v>
      </c>
      <c r="G28" s="198">
        <f>+P12*'3, INVENTARIO'!G9</f>
        <v>1604951040.0000002</v>
      </c>
      <c r="H28" s="198">
        <f>+Q12*'3, INVENTARIO'!H9</f>
        <v>2155609741.8240004</v>
      </c>
      <c r="I28" s="198">
        <f>+R12*'3, INVENTARIO'!I9</f>
        <v>2966981248.6465545</v>
      </c>
      <c r="J28" s="9"/>
    </row>
    <row r="29" spans="1:10" ht="15" x14ac:dyDescent="0.2">
      <c r="A29" s="184" t="s">
        <v>580</v>
      </c>
      <c r="B29" s="284"/>
      <c r="C29" s="161"/>
      <c r="D29" s="198">
        <f>+B29*C29</f>
        <v>0</v>
      </c>
      <c r="E29" s="198">
        <f>+D29*12</f>
        <v>0</v>
      </c>
      <c r="F29" s="198">
        <f>+O12*'3, INVENTARIO'!F9</f>
        <v>1214400000</v>
      </c>
      <c r="G29" s="198">
        <f>+P12*'3, INVENTARIO'!G9</f>
        <v>1604951040.0000002</v>
      </c>
      <c r="H29" s="198">
        <f>+Q12*'3, INVENTARIO'!H9</f>
        <v>2155609741.8240004</v>
      </c>
      <c r="I29" s="198">
        <f>+R12*'3, INVENTARIO'!I9</f>
        <v>2966981248.6465545</v>
      </c>
      <c r="J29" s="9"/>
    </row>
    <row r="30" spans="1:10" ht="15" x14ac:dyDescent="0.2">
      <c r="A30" s="199" t="s">
        <v>588</v>
      </c>
      <c r="B30" s="49"/>
      <c r="C30" s="49">
        <f t="shared" ref="C30:I30" si="2">SUM(C25:C27)</f>
        <v>15</v>
      </c>
      <c r="D30" s="198">
        <f>SUM(D25:D27)</f>
        <v>199950000</v>
      </c>
      <c r="E30" s="198">
        <f t="shared" si="2"/>
        <v>2399400000</v>
      </c>
      <c r="F30" s="198">
        <f t="shared" si="2"/>
        <v>2351382000</v>
      </c>
      <c r="G30" s="198">
        <f t="shared" si="2"/>
        <v>3107586451.2000008</v>
      </c>
      <c r="H30" s="198">
        <f t="shared" si="2"/>
        <v>4173799362.6067209</v>
      </c>
      <c r="I30" s="198">
        <f t="shared" si="2"/>
        <v>5744817442.6918907</v>
      </c>
      <c r="J30" s="9"/>
    </row>
    <row r="31" spans="1:10" ht="15" x14ac:dyDescent="0.2">
      <c r="A31" s="24"/>
      <c r="B31" s="24"/>
      <c r="C31" s="24"/>
      <c r="D31" s="24"/>
      <c r="E31" s="24"/>
      <c r="F31" s="30"/>
      <c r="G31" s="30"/>
      <c r="H31" s="30"/>
      <c r="I31" s="30"/>
      <c r="J31" s="9"/>
    </row>
    <row r="32" spans="1:10" ht="15" x14ac:dyDescent="0.2">
      <c r="A32" s="200" t="s">
        <v>290</v>
      </c>
      <c r="B32" s="49"/>
      <c r="C32" s="49"/>
      <c r="D32" s="62">
        <f>SUM(D33:D34)</f>
        <v>150000</v>
      </c>
      <c r="E32" s="62">
        <f>SUM(E33:E34)</f>
        <v>1800000</v>
      </c>
      <c r="F32" s="62">
        <f>+E32*(1+'3, INVENTARIO'!$F$11)*(1+'3, INVENTARIO'!$F$18)</f>
        <v>2173500</v>
      </c>
      <c r="G32" s="62">
        <f>+F32*(1+'3, INVENTARIO'!$G$11)*(1+'3, INVENTARIO'!$G$18)</f>
        <v>2687837.04</v>
      </c>
      <c r="H32" s="62">
        <f>+G32*(1+'3, INVENTARIO'!$H$11)*(1+'3, INVENTARIO'!$H$18)</f>
        <v>3408392.3936831998</v>
      </c>
      <c r="I32" s="62">
        <f>+H32*(1+'3, INVENTARIO'!$I$11)*(1+'3, INVENTARIO'!$I$18)</f>
        <v>4437726.8965755263</v>
      </c>
      <c r="J32" s="9"/>
    </row>
    <row r="33" spans="1:10" ht="15" x14ac:dyDescent="0.2">
      <c r="A33" s="49" t="s">
        <v>567</v>
      </c>
      <c r="B33" s="161">
        <v>50000</v>
      </c>
      <c r="C33" s="161">
        <v>1</v>
      </c>
      <c r="D33" s="201">
        <f>+B33*C33</f>
        <v>50000</v>
      </c>
      <c r="E33" s="201">
        <f>+D33*12</f>
        <v>600000</v>
      </c>
      <c r="F33" s="190"/>
      <c r="G33" s="190"/>
      <c r="H33" s="190"/>
      <c r="I33" s="190"/>
      <c r="J33" s="9"/>
    </row>
    <row r="34" spans="1:10" ht="15" x14ac:dyDescent="0.2">
      <c r="A34" s="49" t="s">
        <v>569</v>
      </c>
      <c r="B34" s="161">
        <v>2000</v>
      </c>
      <c r="C34" s="161">
        <v>50</v>
      </c>
      <c r="D34" s="49">
        <f>+B34*C34</f>
        <v>100000</v>
      </c>
      <c r="E34" s="201">
        <f>+D34*12</f>
        <v>1200000</v>
      </c>
      <c r="F34" s="190"/>
      <c r="G34" s="190"/>
      <c r="H34" s="190"/>
      <c r="I34" s="190"/>
      <c r="J34" s="9"/>
    </row>
    <row r="35" spans="1:10" ht="15" x14ac:dyDescent="0.2">
      <c r="A35" s="130"/>
      <c r="B35" s="24"/>
      <c r="C35" s="24"/>
      <c r="F35" s="30"/>
      <c r="G35" s="30"/>
      <c r="H35" s="30"/>
      <c r="I35" s="30"/>
      <c r="J35" s="9"/>
    </row>
    <row r="36" spans="1:10" ht="15" x14ac:dyDescent="0.2">
      <c r="A36" s="130"/>
      <c r="B36" s="24"/>
      <c r="C36" s="24"/>
      <c r="D36" s="127"/>
      <c r="E36" s="127"/>
      <c r="F36" s="30"/>
      <c r="G36" s="30"/>
      <c r="H36" s="30"/>
      <c r="I36" s="30"/>
      <c r="J36" s="9"/>
    </row>
    <row r="37" spans="1:10" ht="15" x14ac:dyDescent="0.2">
      <c r="A37" s="200" t="s">
        <v>291</v>
      </c>
      <c r="B37" s="49"/>
      <c r="C37" s="49"/>
      <c r="D37" s="62">
        <f>+'1. PERSONAL'!D73</f>
        <v>2169375</v>
      </c>
      <c r="E37" s="62">
        <f>+D37*12*(1.03)</f>
        <v>26813475</v>
      </c>
      <c r="F37" s="62">
        <f>+E37*(1+'3, INVENTARIO'!F11)*(1+'3, INVENTARIO'!F17)</f>
        <v>33764868.393749997</v>
      </c>
      <c r="G37" s="62">
        <f>+F37*(1+'3, INVENTARIO'!G11)*(1+'3, INVENTARIO'!G17)</f>
        <v>43619617.942623444</v>
      </c>
      <c r="H37" s="62">
        <f>+G37*(1+'3, INVENTARIO'!H11)*(1+'3, INVENTARIO'!H17)</f>
        <v>58733292.124327153</v>
      </c>
      <c r="I37" s="62">
        <f>+H37*(1+'3, INVENTARIO'!I11)*(1+'3, INVENTARIO'!I17)</f>
        <v>80403527.586518899</v>
      </c>
      <c r="J37" s="9"/>
    </row>
    <row r="38" spans="1:10" ht="15" x14ac:dyDescent="0.2">
      <c r="A38" s="130"/>
      <c r="B38" s="24"/>
      <c r="C38" s="24"/>
      <c r="I38" s="30"/>
      <c r="J38" s="9"/>
    </row>
    <row r="39" spans="1:10" ht="15" x14ac:dyDescent="0.2">
      <c r="A39" s="200" t="s">
        <v>570</v>
      </c>
      <c r="B39" s="49"/>
      <c r="C39" s="49"/>
      <c r="D39" s="62">
        <f>+D40+D45</f>
        <v>338333.33333333331</v>
      </c>
      <c r="E39" s="62">
        <f>+D39*12</f>
        <v>4060000</v>
      </c>
      <c r="F39" s="62">
        <f>+F45+F40</f>
        <v>4667985</v>
      </c>
      <c r="G39" s="62">
        <f>+G45+G40</f>
        <v>5417140.5766800009</v>
      </c>
      <c r="H39" s="62">
        <f>+H45+H40</f>
        <v>6450167.6160905706</v>
      </c>
      <c r="I39" s="62">
        <f>+I45+I40</f>
        <v>7690663.8520171102</v>
      </c>
      <c r="J39" s="9"/>
    </row>
    <row r="40" spans="1:10" ht="15" x14ac:dyDescent="0.2">
      <c r="A40" s="200" t="s">
        <v>264</v>
      </c>
      <c r="B40" s="49"/>
      <c r="C40" s="49"/>
      <c r="D40" s="202">
        <f>SUM(D41:D44)</f>
        <v>338333.33333333331</v>
      </c>
      <c r="E40" s="202">
        <f>+D40*12</f>
        <v>4060000</v>
      </c>
      <c r="F40" s="62">
        <f>+E40*(1+'3, INVENTARIO'!F11/3)*(1+'3, INVENTARIO'!F17)</f>
        <v>4667985</v>
      </c>
      <c r="G40" s="62">
        <f>+F40*(1+'3, INVENTARIO'!G11/3)*(1+'3, INVENTARIO'!G17)</f>
        <v>5417140.5766800009</v>
      </c>
      <c r="H40" s="62">
        <f>+G40*(1+'3, INVENTARIO'!H11/3)*(1+'3, INVENTARIO'!H17)</f>
        <v>6450167.6160905706</v>
      </c>
      <c r="I40" s="62">
        <f>+H40*(1+'3, INVENTARIO'!I11/3)*(1+'3, INVENTARIO'!I17)</f>
        <v>7690663.8520171102</v>
      </c>
      <c r="J40" s="9"/>
    </row>
    <row r="41" spans="1:10" ht="15" x14ac:dyDescent="0.2">
      <c r="A41" s="49" t="s">
        <v>104</v>
      </c>
      <c r="B41" s="161">
        <v>250000</v>
      </c>
      <c r="C41" s="161">
        <v>1</v>
      </c>
      <c r="D41" s="201">
        <f>+B41*C41</f>
        <v>250000</v>
      </c>
      <c r="E41" s="202">
        <f>+D41*12</f>
        <v>3000000</v>
      </c>
      <c r="F41" s="62">
        <f>+E41*(1+'3, INVENTARIO'!F11)</f>
        <v>3449999.9999999995</v>
      </c>
      <c r="G41" s="62">
        <f>+F41*(1+'3, INVENTARIO'!G11)</f>
        <v>4070999.9999999991</v>
      </c>
      <c r="H41" s="62">
        <f>+G41*(1+'3, INVENTARIO'!H11)</f>
        <v>4925909.9999999991</v>
      </c>
      <c r="I41" s="62">
        <f>+H41*(1+'3, INVENTARIO'!I11)</f>
        <v>6108128.3999999985</v>
      </c>
      <c r="J41" s="9"/>
    </row>
    <row r="42" spans="1:10" ht="15" x14ac:dyDescent="0.2">
      <c r="A42" s="49" t="s">
        <v>105</v>
      </c>
      <c r="B42" s="161">
        <v>250000</v>
      </c>
      <c r="C42" s="161">
        <v>1</v>
      </c>
      <c r="D42" s="201"/>
      <c r="E42" s="202">
        <f>+D42*12</f>
        <v>0</v>
      </c>
      <c r="F42" s="190"/>
      <c r="G42" s="190"/>
      <c r="H42" s="190"/>
      <c r="I42" s="190"/>
      <c r="J42" s="9"/>
    </row>
    <row r="43" spans="1:10" ht="15" x14ac:dyDescent="0.2">
      <c r="A43" s="49" t="s">
        <v>109</v>
      </c>
      <c r="B43" s="161">
        <v>16000</v>
      </c>
      <c r="C43" s="161">
        <v>5</v>
      </c>
      <c r="D43" s="201">
        <f>+B43*C43</f>
        <v>80000</v>
      </c>
      <c r="E43" s="202">
        <f>+D43*12*(1+'3, INVENTARIO'!E18)*(1+'3, INVENTARIO'!E11)</f>
        <v>1009920</v>
      </c>
      <c r="F43" s="202">
        <f>+E43*((1+'3, INVENTARIO'!F11)*0.7+(1+'3, INVENTARIO'!E18)*0.3)</f>
        <v>1131716.352</v>
      </c>
      <c r="G43" s="202">
        <f>+F43*((1+'3, INVENTARIO'!G11)*0.7+(1+'3, INVENTARIO'!F18)*0.3)</f>
        <v>1291288.357632</v>
      </c>
      <c r="H43" s="202">
        <f>+G43*((1+'3, INVENTARIO'!H11)*0.7+(1+'3, INVENTARIO'!G18)*0.3)</f>
        <v>1499702.2985538049</v>
      </c>
      <c r="I43" s="202">
        <f>+H43*((1+'3, INVENTARIO'!I11)*0.7+(1+'3, INVENTARIO'!H18)*0.3)</f>
        <v>1773247.9978100187</v>
      </c>
      <c r="J43" s="9"/>
    </row>
    <row r="44" spans="1:10" ht="15" x14ac:dyDescent="0.2">
      <c r="A44" s="49" t="s">
        <v>113</v>
      </c>
      <c r="B44" s="161">
        <v>100000</v>
      </c>
      <c r="C44" s="161">
        <v>1</v>
      </c>
      <c r="D44" s="201">
        <f>+(B44*C44)/12</f>
        <v>8333.3333333333339</v>
      </c>
      <c r="E44" s="202">
        <f>+D44*12</f>
        <v>100000</v>
      </c>
      <c r="F44" s="202">
        <f>+E44*((1+'3, INVENTARIO'!F11)*0.7+(1+'3, INVENTARIO'!F18)*0.3)</f>
        <v>111999.99999999999</v>
      </c>
      <c r="G44" s="190"/>
      <c r="H44" s="190"/>
      <c r="I44" s="190"/>
      <c r="J44" s="9"/>
    </row>
    <row r="45" spans="1:10" ht="15" x14ac:dyDescent="0.2">
      <c r="A45" s="199" t="s">
        <v>265</v>
      </c>
      <c r="B45" s="49"/>
      <c r="C45" s="49"/>
      <c r="D45" s="62">
        <f>+'1. PERSONAL'!D76</f>
        <v>0</v>
      </c>
      <c r="E45" s="201">
        <f>+D45*12*(1+'3, INVENTARIO'!E11/3)*(1+'3, INVENTARIO'!E18)</f>
        <v>0</v>
      </c>
      <c r="F45" s="62">
        <f>+E45*(1+'3, INVENTARIO'!F11/3)*(1+'3, INVENTARIO'!F18)</f>
        <v>0</v>
      </c>
      <c r="G45" s="62">
        <f>+F45*(1+'3, INVENTARIO'!G11/3)*(1+'3, INVENTARIO'!G18)</f>
        <v>0</v>
      </c>
      <c r="H45" s="62">
        <f>+G45*(1+'3, INVENTARIO'!H11/3)*(1+'3, INVENTARIO'!H18)</f>
        <v>0</v>
      </c>
      <c r="I45" s="62">
        <f>+H45*(1+'3, INVENTARIO'!I11/3)*(1+'3, INVENTARIO'!I18)</f>
        <v>0</v>
      </c>
      <c r="J45" s="9"/>
    </row>
    <row r="46" spans="1:10" ht="15" x14ac:dyDescent="0.2">
      <c r="A46" s="130"/>
      <c r="B46" s="24"/>
      <c r="C46" s="24"/>
      <c r="D46" s="24"/>
      <c r="E46" s="24"/>
      <c r="F46" s="30"/>
      <c r="G46" s="30"/>
      <c r="H46" s="30"/>
      <c r="I46" s="30"/>
      <c r="J46" s="9"/>
    </row>
    <row r="47" spans="1:10" ht="15" x14ac:dyDescent="0.2">
      <c r="A47" s="130"/>
      <c r="B47" s="24"/>
      <c r="C47" s="24"/>
      <c r="D47" s="24"/>
      <c r="E47" s="24"/>
      <c r="F47" s="30"/>
      <c r="G47" s="30"/>
      <c r="H47" s="30"/>
      <c r="I47" s="30"/>
      <c r="J47" s="9"/>
    </row>
    <row r="48" spans="1:10" ht="15" x14ac:dyDescent="0.2">
      <c r="A48" s="200" t="s">
        <v>244</v>
      </c>
      <c r="B48" s="49"/>
      <c r="C48" s="49"/>
      <c r="D48" s="62">
        <f>+D49+D55+D59+C62+D64+D66+D69</f>
        <v>42950293.866666667</v>
      </c>
      <c r="E48" s="62">
        <f>+E49+E55+E59+E62+E64+E66+E69</f>
        <v>122835526.40000001</v>
      </c>
      <c r="F48" s="62">
        <f>+F49+F55+F59+F62+F64+F66+F69</f>
        <v>137990138.9192</v>
      </c>
      <c r="G48" s="62">
        <f>+G49+G55+G59+G62+G64+G66+G69</f>
        <v>157362751.28093365</v>
      </c>
      <c r="H48" s="62">
        <f>+H49+H55+H59+H62+H64+H66+H69</f>
        <v>185441307.27337599</v>
      </c>
      <c r="I48" s="62">
        <f>+I49+I55+I59+I62+I64+I66+I69</f>
        <v>222790912.37195519</v>
      </c>
      <c r="J48" s="9"/>
    </row>
    <row r="49" spans="1:10" ht="15" x14ac:dyDescent="0.2">
      <c r="A49" s="200" t="s">
        <v>266</v>
      </c>
      <c r="B49" s="49"/>
      <c r="C49" s="49"/>
      <c r="D49" s="62">
        <f>SUM(D50:D53)</f>
        <v>790000</v>
      </c>
      <c r="E49" s="62">
        <f>SUM(E50:E53)</f>
        <v>9480000</v>
      </c>
      <c r="F49" s="203">
        <f>+E49</f>
        <v>9480000</v>
      </c>
      <c r="G49" s="203">
        <f>+F49</f>
        <v>9480000</v>
      </c>
      <c r="H49" s="203">
        <f>+G49</f>
        <v>9480000</v>
      </c>
      <c r="I49" s="203">
        <f>+H49</f>
        <v>9480000</v>
      </c>
      <c r="J49" s="9"/>
    </row>
    <row r="50" spans="1:10" ht="15" x14ac:dyDescent="0.2">
      <c r="A50" s="49" t="s">
        <v>571</v>
      </c>
      <c r="B50" s="62">
        <f>+'2. INVERSION'!D10</f>
        <v>77800000</v>
      </c>
      <c r="C50" s="161">
        <v>1</v>
      </c>
      <c r="D50" s="201">
        <f>+B50/(10*12)</f>
        <v>648333.33333333337</v>
      </c>
      <c r="E50" s="201">
        <f>+D50*12</f>
        <v>7780000</v>
      </c>
      <c r="F50" s="201">
        <f>+D50*12</f>
        <v>7780000</v>
      </c>
      <c r="G50" s="201">
        <f>+D50*12</f>
        <v>7780000</v>
      </c>
      <c r="H50" s="201">
        <f>+D50*12</f>
        <v>7780000</v>
      </c>
      <c r="I50" s="201">
        <f>+D50*12</f>
        <v>7780000</v>
      </c>
      <c r="J50" s="9"/>
    </row>
    <row r="51" spans="1:10" ht="25.5" x14ac:dyDescent="0.2">
      <c r="A51" s="205" t="s">
        <v>68</v>
      </c>
      <c r="B51" s="62">
        <f>+'2. INVERSION'!D11</f>
        <v>5000000</v>
      </c>
      <c r="C51" s="161">
        <v>1</v>
      </c>
      <c r="D51" s="204">
        <f>+B51/(10*12)</f>
        <v>41666.666666666664</v>
      </c>
      <c r="E51" s="201">
        <f>+$D$51*12</f>
        <v>500000</v>
      </c>
      <c r="F51" s="201">
        <f>+$D$51*12</f>
        <v>500000</v>
      </c>
      <c r="G51" s="201">
        <f>+$D$51*12</f>
        <v>500000</v>
      </c>
      <c r="H51" s="201">
        <f>+$D$51*12</f>
        <v>500000</v>
      </c>
      <c r="I51" s="201">
        <f>+$D$51*12</f>
        <v>500000</v>
      </c>
      <c r="J51" s="9"/>
    </row>
    <row r="52" spans="1:10" ht="15" x14ac:dyDescent="0.2">
      <c r="A52" s="205" t="s">
        <v>70</v>
      </c>
      <c r="B52" s="62">
        <f>+'2. INVERSION'!D14</f>
        <v>6000000</v>
      </c>
      <c r="C52" s="161">
        <v>1</v>
      </c>
      <c r="D52" s="204">
        <f>+B52/(10*12)</f>
        <v>50000</v>
      </c>
      <c r="E52" s="201">
        <f>+$D$52*12</f>
        <v>600000</v>
      </c>
      <c r="F52" s="201">
        <f>+$D$52*12</f>
        <v>600000</v>
      </c>
      <c r="G52" s="201">
        <f>+$D$52*12</f>
        <v>600000</v>
      </c>
      <c r="H52" s="201">
        <f>+$D$52*12</f>
        <v>600000</v>
      </c>
      <c r="I52" s="201">
        <f>+$D$52*12</f>
        <v>600000</v>
      </c>
      <c r="J52" s="9"/>
    </row>
    <row r="53" spans="1:10" ht="15" x14ac:dyDescent="0.2">
      <c r="A53" s="205" t="s">
        <v>69</v>
      </c>
      <c r="B53" s="62">
        <f>+'2. INVERSION'!D13</f>
        <v>6000000</v>
      </c>
      <c r="C53" s="161">
        <v>1</v>
      </c>
      <c r="D53" s="204">
        <f>+B53/(10*12)</f>
        <v>50000</v>
      </c>
      <c r="E53" s="201">
        <f>+$D$53*12</f>
        <v>600000</v>
      </c>
      <c r="F53" s="201">
        <f>+$D$53*12</f>
        <v>600000</v>
      </c>
      <c r="G53" s="201">
        <f>+$D$53*12</f>
        <v>600000</v>
      </c>
      <c r="H53" s="201">
        <f>+$D$53*12</f>
        <v>600000</v>
      </c>
      <c r="I53" s="201">
        <f>+$D$53*12</f>
        <v>600000</v>
      </c>
      <c r="J53" s="9"/>
    </row>
    <row r="54" spans="1:10" ht="15" x14ac:dyDescent="0.2">
      <c r="B54" s="24"/>
      <c r="C54" s="24"/>
      <c r="D54" s="24"/>
      <c r="E54" s="24"/>
      <c r="F54" s="30"/>
      <c r="G54" s="30"/>
      <c r="H54" s="30"/>
      <c r="I54" s="30"/>
      <c r="J54" s="9"/>
    </row>
    <row r="55" spans="1:10" ht="15" x14ac:dyDescent="0.2">
      <c r="A55" s="200" t="s">
        <v>267</v>
      </c>
      <c r="B55" s="49"/>
      <c r="C55" s="49"/>
      <c r="D55" s="62">
        <f>SUM(D56:D58)</f>
        <v>485000</v>
      </c>
      <c r="E55" s="62">
        <f>SUM(E56:E58)</f>
        <v>5820000</v>
      </c>
      <c r="F55" s="62">
        <f>+E55*(1+'3, INVENTARIO'!F11/10)*(1+'3, INVENTARIO'!F17)</f>
        <v>6468493.4999999991</v>
      </c>
      <c r="G55" s="62">
        <f>+F55*(1+'3, INVENTARIO'!G11/10)*(1+'3, INVENTARIO'!G17)</f>
        <v>7209177.4041083995</v>
      </c>
      <c r="H55" s="62">
        <f>+G55*(1+'3, INVENTARIO'!H11/10)*(1+'3, INVENTARIO'!H17)</f>
        <v>8190842.4402129548</v>
      </c>
      <c r="I55" s="62">
        <f>+H55*(1+'3, INVENTARIO'!I11/10)*(1+'3, INVENTARIO'!I17)</f>
        <v>9259714.6152909845</v>
      </c>
      <c r="J55" s="9"/>
    </row>
    <row r="56" spans="1:10" ht="15" x14ac:dyDescent="0.2">
      <c r="A56" s="49"/>
      <c r="B56" s="161" t="s">
        <v>110</v>
      </c>
      <c r="C56" s="161"/>
      <c r="D56" s="162">
        <v>220000</v>
      </c>
      <c r="E56" s="201">
        <f>+D56*12</f>
        <v>2640000</v>
      </c>
      <c r="F56" s="201">
        <f>+E56*(1+'3, INVENTARIO'!F11)</f>
        <v>3035999.9999999995</v>
      </c>
      <c r="G56" s="201">
        <f>+F56*(1+'3, INVENTARIO'!G11)</f>
        <v>3582479.9999999991</v>
      </c>
      <c r="H56" s="201">
        <f>+G56*(1+'3, INVENTARIO'!H11)</f>
        <v>4334800.7999999989</v>
      </c>
      <c r="I56" s="201">
        <f>+H56*(1+'3, INVENTARIO'!I11)</f>
        <v>5375152.9919999987</v>
      </c>
      <c r="J56" s="9"/>
    </row>
    <row r="57" spans="1:10" ht="15" x14ac:dyDescent="0.2">
      <c r="A57" s="49"/>
      <c r="B57" s="161" t="s">
        <v>111</v>
      </c>
      <c r="C57" s="161"/>
      <c r="D57" s="162">
        <v>65000</v>
      </c>
      <c r="E57" s="201">
        <f>+D57*12</f>
        <v>780000</v>
      </c>
      <c r="F57" s="190"/>
      <c r="G57" s="190"/>
      <c r="H57" s="190"/>
      <c r="I57" s="190"/>
      <c r="J57" s="9"/>
    </row>
    <row r="58" spans="1:10" ht="15" x14ac:dyDescent="0.2">
      <c r="A58" s="200"/>
      <c r="B58" s="161" t="s">
        <v>112</v>
      </c>
      <c r="C58" s="181" t="s">
        <v>562</v>
      </c>
      <c r="D58" s="162">
        <f>2*100000</f>
        <v>200000</v>
      </c>
      <c r="E58" s="201">
        <f>+D58*12</f>
        <v>2400000</v>
      </c>
      <c r="F58" s="190"/>
      <c r="G58" s="190"/>
      <c r="H58" s="190"/>
      <c r="I58" s="190"/>
      <c r="J58" s="9"/>
    </row>
    <row r="59" spans="1:10" ht="15" x14ac:dyDescent="0.2">
      <c r="A59" s="200" t="s">
        <v>268</v>
      </c>
      <c r="B59" s="49"/>
      <c r="C59" s="49"/>
      <c r="D59" s="62">
        <f>SUM(D60:D61)</f>
        <v>2300000</v>
      </c>
      <c r="E59" s="62">
        <f>SUM(E60:E61)</f>
        <v>29035200</v>
      </c>
      <c r="F59" s="62">
        <f>+E59*(1+'3, INVENTARIO'!F17)</f>
        <v>31793544</v>
      </c>
      <c r="G59" s="62">
        <f>+F59*(1+'3, INVENTARIO'!G17)</f>
        <v>34807571.971199997</v>
      </c>
      <c r="H59" s="62">
        <f>+G59*(1+'3, INVENTARIO'!H17)</f>
        <v>38733866.089551359</v>
      </c>
      <c r="I59" s="62">
        <f>+H59*(1+'3, INVENTARIO'!I17)</f>
        <v>42762188.162864707</v>
      </c>
      <c r="J59" s="9"/>
    </row>
    <row r="60" spans="1:10" ht="15" x14ac:dyDescent="0.2">
      <c r="A60" s="200" t="s">
        <v>275</v>
      </c>
      <c r="B60" s="162">
        <v>100000</v>
      </c>
      <c r="C60" s="162">
        <v>3</v>
      </c>
      <c r="D60" s="201">
        <f>+B60*C60</f>
        <v>300000</v>
      </c>
      <c r="E60" s="62">
        <f>+D60*12*(1+'3, INVENTARIO'!E18)</f>
        <v>3787200</v>
      </c>
      <c r="F60" s="190"/>
      <c r="G60" s="190"/>
      <c r="H60" s="190"/>
      <c r="I60" s="190"/>
      <c r="J60" s="9"/>
    </row>
    <row r="61" spans="1:10" ht="15" x14ac:dyDescent="0.2">
      <c r="A61" s="200" t="s">
        <v>276</v>
      </c>
      <c r="B61" s="162">
        <v>500000</v>
      </c>
      <c r="C61" s="162">
        <v>4</v>
      </c>
      <c r="D61" s="201">
        <f>+B61*C61</f>
        <v>2000000</v>
      </c>
      <c r="E61" s="62">
        <f>+D61*12*(1+'3, INVENTARIO'!E18)</f>
        <v>25248000</v>
      </c>
      <c r="F61" s="62"/>
      <c r="G61" s="62"/>
      <c r="H61" s="62"/>
      <c r="I61" s="62"/>
      <c r="J61" s="9"/>
    </row>
    <row r="62" spans="1:10" ht="51" x14ac:dyDescent="0.2">
      <c r="A62" s="200" t="s">
        <v>269</v>
      </c>
      <c r="B62" s="206" t="s">
        <v>106</v>
      </c>
      <c r="C62" s="162">
        <v>200000</v>
      </c>
      <c r="D62" s="49"/>
      <c r="E62" s="201">
        <f>+C62*12*(1+'3, INVENTARIO'!E18)</f>
        <v>2524800</v>
      </c>
      <c r="F62" s="201">
        <f>+E62*(1+'3, INVENTARIO'!F17)</f>
        <v>2764656</v>
      </c>
      <c r="G62" s="201">
        <f>+F62*(1+'3, INVENTARIO'!G17)</f>
        <v>3026745.3887999998</v>
      </c>
      <c r="H62" s="201">
        <f>+G62*(1+'3, INVENTARIO'!H17)</f>
        <v>3368162.2686566398</v>
      </c>
      <c r="I62" s="201">
        <f>+H62*(1+'3, INVENTARIO'!I17)</f>
        <v>3718451.1445969306</v>
      </c>
      <c r="J62" s="9"/>
    </row>
    <row r="63" spans="1:10" ht="15" x14ac:dyDescent="0.2">
      <c r="A63" s="207"/>
      <c r="B63" s="49"/>
      <c r="C63" s="49"/>
      <c r="D63" s="49"/>
      <c r="E63" s="49"/>
      <c r="F63" s="190"/>
      <c r="G63" s="190"/>
      <c r="H63" s="190"/>
      <c r="I63" s="190"/>
      <c r="J63" s="9"/>
    </row>
    <row r="64" spans="1:10" ht="15" x14ac:dyDescent="0.2">
      <c r="A64" s="200" t="s">
        <v>270</v>
      </c>
      <c r="B64" s="181" t="s">
        <v>295</v>
      </c>
      <c r="C64" s="161">
        <v>1.1039999999999999E-2</v>
      </c>
      <c r="D64" s="201">
        <f>+E64/12</f>
        <v>3053627.1999999997</v>
      </c>
      <c r="E64" s="201">
        <f>+'6. ESTADOS FINANCIEROS'!D11*'4. COSTOS'!C64</f>
        <v>36643526.399999999</v>
      </c>
      <c r="F64" s="201">
        <f>+'6. ESTADOS FINANCIEROS'!E11*'4. COSTOS'!C64</f>
        <v>46257845.419199996</v>
      </c>
      <c r="G64" s="201">
        <f>+'6. ESTADOS FINANCIEROS'!F11*'4. COSTOS'!C64</f>
        <v>59704907.716825232</v>
      </c>
      <c r="H64" s="201">
        <f>+'6. ESTADOS FINANCIEROS'!G11*'4. COSTOS'!C64</f>
        <v>80533718.93255502</v>
      </c>
      <c r="I64" s="201">
        <f>+'6. ESTADOS FINANCIEROS'!H11*'4. COSTOS'!C64</f>
        <v>110252105.02968255</v>
      </c>
      <c r="J64" s="9"/>
    </row>
    <row r="65" spans="1:10" ht="15" x14ac:dyDescent="0.2">
      <c r="A65" s="320" t="s">
        <v>574</v>
      </c>
      <c r="B65" s="49"/>
      <c r="C65" s="49"/>
      <c r="D65" s="49"/>
      <c r="E65" s="49"/>
      <c r="F65" s="190"/>
      <c r="G65" s="190"/>
      <c r="H65" s="190"/>
      <c r="I65" s="190"/>
      <c r="J65" s="9"/>
    </row>
    <row r="66" spans="1:10" ht="15" x14ac:dyDescent="0.2">
      <c r="A66" s="200" t="s">
        <v>271</v>
      </c>
      <c r="B66" s="49"/>
      <c r="C66" s="49"/>
      <c r="D66" s="201">
        <f>+'2. INVERSION'!D36/(5*12)</f>
        <v>121666.66666666667</v>
      </c>
      <c r="E66" s="201">
        <f>+D66*12</f>
        <v>1460000</v>
      </c>
      <c r="F66" s="203">
        <f>+E66</f>
        <v>1460000</v>
      </c>
      <c r="G66" s="203">
        <f>+F66</f>
        <v>1460000</v>
      </c>
      <c r="H66" s="203">
        <f>+G66</f>
        <v>1460000</v>
      </c>
      <c r="I66" s="203">
        <f>+H66</f>
        <v>1460000</v>
      </c>
      <c r="J66" s="9"/>
    </row>
    <row r="67" spans="1:10" ht="15" x14ac:dyDescent="0.2">
      <c r="A67" s="130"/>
      <c r="B67" s="24"/>
      <c r="C67" s="24"/>
      <c r="D67" s="24"/>
      <c r="E67" s="24"/>
      <c r="F67" s="30"/>
      <c r="G67" s="30"/>
      <c r="H67" s="30"/>
      <c r="I67" s="30"/>
      <c r="J67" s="9"/>
    </row>
    <row r="68" spans="1:10" ht="15" x14ac:dyDescent="0.2">
      <c r="A68" s="130"/>
      <c r="B68" s="24"/>
      <c r="C68" s="24"/>
      <c r="D68" s="24"/>
      <c r="E68" s="24"/>
      <c r="F68" s="30"/>
      <c r="G68" s="30"/>
      <c r="H68" s="30"/>
      <c r="I68" s="30"/>
      <c r="J68" s="9"/>
    </row>
    <row r="69" spans="1:10" ht="15" x14ac:dyDescent="0.2">
      <c r="A69" s="200" t="s">
        <v>272</v>
      </c>
      <c r="B69" s="49"/>
      <c r="C69" s="49"/>
      <c r="D69" s="62">
        <f t="shared" ref="D69:I69" si="3">+D70</f>
        <v>36000000</v>
      </c>
      <c r="E69" s="62">
        <f t="shared" si="3"/>
        <v>37872000</v>
      </c>
      <c r="F69" s="62">
        <f t="shared" si="3"/>
        <v>39765600</v>
      </c>
      <c r="G69" s="62">
        <f t="shared" si="3"/>
        <v>41674348.800000004</v>
      </c>
      <c r="H69" s="62">
        <f t="shared" si="3"/>
        <v>43674717.54240001</v>
      </c>
      <c r="I69" s="62">
        <f t="shared" si="3"/>
        <v>45858453.419520013</v>
      </c>
      <c r="J69" s="9"/>
    </row>
    <row r="70" spans="1:10" ht="15" x14ac:dyDescent="0.2">
      <c r="A70" s="184" t="s">
        <v>563</v>
      </c>
      <c r="B70" s="161"/>
      <c r="C70" s="162">
        <v>3000000</v>
      </c>
      <c r="D70" s="49">
        <f>+C70*12</f>
        <v>36000000</v>
      </c>
      <c r="E70" s="201">
        <f>+D70*(1+'3, INVENTARIO'!E18)</f>
        <v>37872000</v>
      </c>
      <c r="F70" s="201">
        <f>+E70*(1+'3, INVENTARIO'!F18)</f>
        <v>39765600</v>
      </c>
      <c r="G70" s="201">
        <f>+F70*(1+'3, INVENTARIO'!G18)</f>
        <v>41674348.800000004</v>
      </c>
      <c r="H70" s="201">
        <f>+G70*(1+'3, INVENTARIO'!H18)</f>
        <v>43674717.54240001</v>
      </c>
      <c r="I70" s="201">
        <f>+H70*(1+'3, INVENTARIO'!I18)</f>
        <v>45858453.419520013</v>
      </c>
      <c r="J70" s="9"/>
    </row>
    <row r="71" spans="1:10" ht="15" x14ac:dyDescent="0.2">
      <c r="A71" s="130"/>
      <c r="B71" s="24"/>
      <c r="C71" s="24"/>
      <c r="D71" s="24"/>
      <c r="E71" s="24"/>
      <c r="F71" s="30"/>
      <c r="G71" s="30"/>
      <c r="H71" s="30"/>
      <c r="I71" s="30"/>
      <c r="J71" s="9"/>
    </row>
    <row r="72" spans="1:10" ht="15" x14ac:dyDescent="0.2">
      <c r="A72" s="421" t="s">
        <v>273</v>
      </c>
      <c r="B72" s="422"/>
      <c r="C72" s="422"/>
      <c r="D72" s="423">
        <f>+D73+D76+D82+D83+D84</f>
        <v>12522940.350877192</v>
      </c>
      <c r="E72" s="424">
        <f t="shared" ref="E72:I72" si="4">+E73+E76+E82+E83+E84</f>
        <v>150431284.21052632</v>
      </c>
      <c r="F72" s="424">
        <f t="shared" si="4"/>
        <v>164617756.21052632</v>
      </c>
      <c r="G72" s="424">
        <f t="shared" si="4"/>
        <v>180119239.49928421</v>
      </c>
      <c r="H72" s="424">
        <f t="shared" si="4"/>
        <v>200312609.71480346</v>
      </c>
      <c r="I72" s="424">
        <f t="shared" si="4"/>
        <v>221030721.12514305</v>
      </c>
      <c r="J72" s="9"/>
    </row>
    <row r="73" spans="1:10" ht="15" x14ac:dyDescent="0.2">
      <c r="A73" s="200" t="s">
        <v>252</v>
      </c>
      <c r="B73" s="49"/>
      <c r="C73" s="49"/>
      <c r="D73" s="62">
        <f>SUM(D74:D75)</f>
        <v>12181273.684210526</v>
      </c>
      <c r="E73" s="62">
        <f>+D73*12</f>
        <v>146175284.21052632</v>
      </c>
      <c r="F73" s="62">
        <f>+E73*(1+'3, INVENTARIO'!F17)</f>
        <v>160061936.21052632</v>
      </c>
      <c r="G73" s="62">
        <f>+F73*(1+'3, INVENTARIO'!G17)</f>
        <v>175235807.76328421</v>
      </c>
      <c r="H73" s="62">
        <f>+G73*(1+'3, INVENTARIO'!H17)</f>
        <v>195002406.87898266</v>
      </c>
      <c r="I73" s="62">
        <f>+H73*(1+'3, INVENTARIO'!I17)</f>
        <v>215282657.19439688</v>
      </c>
      <c r="J73" s="9"/>
    </row>
    <row r="74" spans="1:10" ht="15" x14ac:dyDescent="0.2">
      <c r="A74" s="200" t="s">
        <v>293</v>
      </c>
      <c r="B74" s="49"/>
      <c r="C74" s="49"/>
      <c r="D74" s="62">
        <f>+'1. PERSONAL'!D80</f>
        <v>11581273.684210526</v>
      </c>
      <c r="E74" s="62">
        <f>+D74*12*(1+'3, INVENTARIO'!E18)</f>
        <v>146201998.9894737</v>
      </c>
      <c r="F74" s="62">
        <f>+E74*(1+'3, INVENTARIO'!F18)</f>
        <v>153512098.93894738</v>
      </c>
      <c r="G74" s="190"/>
      <c r="H74" s="190"/>
      <c r="I74" s="190"/>
      <c r="J74" s="9"/>
    </row>
    <row r="75" spans="1:10" ht="15" x14ac:dyDescent="0.2">
      <c r="A75" s="200" t="s">
        <v>277</v>
      </c>
      <c r="B75" s="49"/>
      <c r="C75" s="49"/>
      <c r="D75" s="209">
        <f>+'1. PERSONAL'!D65</f>
        <v>600000</v>
      </c>
      <c r="E75" s="209">
        <f t="shared" ref="E75:E80" si="5">+D75*12</f>
        <v>7200000</v>
      </c>
      <c r="F75" s="209">
        <f>+E75*(1+'3, INVENTARIO'!E18)</f>
        <v>7574400</v>
      </c>
      <c r="G75" s="190"/>
      <c r="H75" s="190"/>
      <c r="I75" s="190"/>
      <c r="J75" s="9"/>
    </row>
    <row r="76" spans="1:10" ht="15" x14ac:dyDescent="0.2">
      <c r="A76" s="200" t="s">
        <v>274</v>
      </c>
      <c r="B76" s="49"/>
      <c r="C76" s="49"/>
      <c r="D76" s="62">
        <f>SUM(D77:D81)</f>
        <v>91666.666666666657</v>
      </c>
      <c r="E76" s="201">
        <f t="shared" si="5"/>
        <v>1100000</v>
      </c>
      <c r="F76" s="201">
        <f>+E76</f>
        <v>1100000</v>
      </c>
      <c r="G76" s="201">
        <f>+F76</f>
        <v>1100000</v>
      </c>
      <c r="H76" s="201">
        <f>+G76</f>
        <v>1100000</v>
      </c>
      <c r="I76" s="201">
        <f>+H76</f>
        <v>1100000</v>
      </c>
      <c r="J76" s="9"/>
    </row>
    <row r="77" spans="1:10" ht="25.5" x14ac:dyDescent="0.2">
      <c r="A77" s="205" t="s">
        <v>71</v>
      </c>
      <c r="B77" s="62">
        <f>+'2. INVERSION'!D15</f>
        <v>1000000</v>
      </c>
      <c r="C77" s="274">
        <f>+'2. INVERSION'!B15</f>
        <v>1</v>
      </c>
      <c r="D77" s="201">
        <f>+B77/(10*12)</f>
        <v>8333.3333333333339</v>
      </c>
      <c r="E77" s="201">
        <f>+$D$77*12</f>
        <v>100000</v>
      </c>
      <c r="F77" s="201">
        <f>+$D$77*12</f>
        <v>100000</v>
      </c>
      <c r="G77" s="201">
        <f>+$D$77*12</f>
        <v>100000</v>
      </c>
      <c r="H77" s="201">
        <f>+$D$77*12</f>
        <v>100000</v>
      </c>
      <c r="I77" s="201">
        <f>+$D$77*12</f>
        <v>100000</v>
      </c>
      <c r="J77" s="9"/>
    </row>
    <row r="78" spans="1:10" ht="25.5" x14ac:dyDescent="0.2">
      <c r="A78" s="205" t="s">
        <v>72</v>
      </c>
      <c r="B78" s="62">
        <f>+'2. INVERSION'!D16</f>
        <v>10000000</v>
      </c>
      <c r="C78" s="274">
        <f>+'2. INVERSION'!B16</f>
        <v>1</v>
      </c>
      <c r="D78" s="201">
        <f>+B78/(10*12)</f>
        <v>83333.333333333328</v>
      </c>
      <c r="E78" s="201">
        <f t="shared" si="5"/>
        <v>1000000</v>
      </c>
      <c r="F78" s="190"/>
      <c r="G78" s="190"/>
      <c r="H78" s="190"/>
      <c r="I78" s="190"/>
      <c r="J78" s="9"/>
    </row>
    <row r="79" spans="1:10" ht="25.5" x14ac:dyDescent="0.2">
      <c r="A79" s="205" t="s">
        <v>73</v>
      </c>
      <c r="B79" s="62">
        <f>+'2. INVERSION'!D17</f>
        <v>0</v>
      </c>
      <c r="C79" s="274">
        <f>+'2. INVERSION'!B17</f>
        <v>1</v>
      </c>
      <c r="D79" s="201">
        <f>+B79/(10*12)</f>
        <v>0</v>
      </c>
      <c r="E79" s="201">
        <f t="shared" si="5"/>
        <v>0</v>
      </c>
      <c r="F79" s="190"/>
      <c r="G79" s="190"/>
      <c r="H79" s="190"/>
      <c r="I79" s="190"/>
      <c r="J79" s="9"/>
    </row>
    <row r="80" spans="1:10" ht="25.5" x14ac:dyDescent="0.2">
      <c r="A80" s="205" t="s">
        <v>74</v>
      </c>
      <c r="B80" s="62">
        <f>+'2. INVERSION'!D18</f>
        <v>0</v>
      </c>
      <c r="C80" s="274">
        <f>+'2. INVERSION'!B18</f>
        <v>1</v>
      </c>
      <c r="D80" s="201">
        <f>+B80/(10*12)</f>
        <v>0</v>
      </c>
      <c r="E80" s="201">
        <f t="shared" si="5"/>
        <v>0</v>
      </c>
      <c r="F80" s="190"/>
      <c r="G80" s="190"/>
      <c r="H80" s="190"/>
      <c r="I80" s="190"/>
      <c r="J80" s="9"/>
    </row>
    <row r="81" spans="1:10" ht="15" x14ac:dyDescent="0.2">
      <c r="A81" s="49" t="s">
        <v>75</v>
      </c>
      <c r="B81" s="62">
        <f>+'2. INVERSION'!D19</f>
        <v>0</v>
      </c>
      <c r="C81" s="274">
        <f>+'2. INVERSION'!B19</f>
        <v>0</v>
      </c>
      <c r="D81" s="201">
        <f>+E81/12</f>
        <v>0</v>
      </c>
      <c r="E81" s="201">
        <f>+B81/5</f>
        <v>0</v>
      </c>
      <c r="F81" s="190"/>
      <c r="G81" s="190"/>
      <c r="H81" s="190"/>
      <c r="I81" s="190"/>
      <c r="J81" s="9"/>
    </row>
    <row r="82" spans="1:10" ht="15" x14ac:dyDescent="0.2">
      <c r="A82" s="199" t="s">
        <v>254</v>
      </c>
      <c r="B82" s="49"/>
      <c r="C82" s="49"/>
      <c r="D82" s="210">
        <v>0</v>
      </c>
      <c r="E82" s="210">
        <v>0</v>
      </c>
      <c r="F82" s="49">
        <f t="shared" ref="F82:I83" si="6">+E82</f>
        <v>0</v>
      </c>
      <c r="G82" s="49">
        <f t="shared" si="6"/>
        <v>0</v>
      </c>
      <c r="H82" s="49">
        <f t="shared" si="6"/>
        <v>0</v>
      </c>
      <c r="I82" s="49">
        <f t="shared" si="6"/>
        <v>0</v>
      </c>
      <c r="J82" s="9"/>
    </row>
    <row r="83" spans="1:10" ht="15" x14ac:dyDescent="0.2">
      <c r="A83" s="199" t="s">
        <v>294</v>
      </c>
      <c r="B83" s="49"/>
      <c r="C83" s="49"/>
      <c r="D83" s="210">
        <v>0</v>
      </c>
      <c r="E83" s="210">
        <v>0</v>
      </c>
      <c r="F83" s="49">
        <f t="shared" si="6"/>
        <v>0</v>
      </c>
      <c r="G83" s="49">
        <f t="shared" si="6"/>
        <v>0</v>
      </c>
      <c r="H83" s="49">
        <f t="shared" si="6"/>
        <v>0</v>
      </c>
      <c r="I83" s="49">
        <f t="shared" si="6"/>
        <v>0</v>
      </c>
      <c r="J83" s="9"/>
    </row>
    <row r="84" spans="1:10" ht="15" x14ac:dyDescent="0.2">
      <c r="A84" s="199" t="s">
        <v>256</v>
      </c>
      <c r="B84" s="49"/>
      <c r="C84" s="49"/>
      <c r="D84" s="62">
        <f>+D85</f>
        <v>250000</v>
      </c>
      <c r="E84" s="62">
        <f>+E85</f>
        <v>3156000</v>
      </c>
      <c r="F84" s="62">
        <f>+E84*(1+'3, INVENTARIO'!F17)</f>
        <v>3455820</v>
      </c>
      <c r="G84" s="62">
        <f>+F84*(1+'3, INVENTARIO'!G17)</f>
        <v>3783431.736</v>
      </c>
      <c r="H84" s="62">
        <f>+G84*(1+'3, INVENTARIO'!H17)</f>
        <v>4210202.8358207997</v>
      </c>
      <c r="I84" s="62">
        <f>+H84*(1+'3, INVENTARIO'!I17)</f>
        <v>4648063.9307461632</v>
      </c>
      <c r="J84" s="9"/>
    </row>
    <row r="85" spans="1:10" ht="15" x14ac:dyDescent="0.2">
      <c r="A85" s="49" t="s">
        <v>107</v>
      </c>
      <c r="B85" s="49" t="s">
        <v>108</v>
      </c>
      <c r="C85" s="49"/>
      <c r="D85" s="420">
        <v>250000</v>
      </c>
      <c r="E85" s="201">
        <f>+D85*12*(1+'3, INVENTARIO'!E18)</f>
        <v>3156000</v>
      </c>
      <c r="F85" s="201">
        <f>+E85*(1+'3, INVENTARIO'!F18)</f>
        <v>3313800</v>
      </c>
      <c r="G85" s="201">
        <f>+F85*(1+'3, INVENTARIO'!G18)</f>
        <v>3472862.4000000004</v>
      </c>
      <c r="H85" s="201">
        <f>+G85*(1+'3, INVENTARIO'!H18)</f>
        <v>3639559.7952000005</v>
      </c>
      <c r="I85" s="201">
        <f>+H85*(1+'3, INVENTARIO'!I18)</f>
        <v>3821537.7849600008</v>
      </c>
      <c r="J85" s="9"/>
    </row>
    <row r="86" spans="1:10" ht="15" x14ac:dyDescent="0.2">
      <c r="A86" s="421" t="s">
        <v>257</v>
      </c>
      <c r="B86" s="422"/>
      <c r="C86" s="422"/>
      <c r="D86" s="423">
        <f>+D87+D88+D89</f>
        <v>5974466.666666666</v>
      </c>
      <c r="E86" s="425">
        <f>+D86*12</f>
        <v>71693600</v>
      </c>
      <c r="F86" s="425">
        <f>+F87+F88+F89</f>
        <v>84393128.300000012</v>
      </c>
      <c r="G86" s="425">
        <f>+G87+G88+G89</f>
        <v>98807422.672196776</v>
      </c>
      <c r="H86" s="425">
        <f>+H87+H88+H89</f>
        <v>120115562.76180857</v>
      </c>
      <c r="I86" s="425">
        <f>+I87+I88+I89</f>
        <v>149665975.35220411</v>
      </c>
      <c r="J86" s="9"/>
    </row>
    <row r="87" spans="1:10" ht="15" x14ac:dyDescent="0.2">
      <c r="A87" s="49" t="s">
        <v>258</v>
      </c>
      <c r="B87" s="49"/>
      <c r="C87" s="49"/>
      <c r="D87" s="62">
        <f>+'1. PERSONAL'!D79</f>
        <v>2892500</v>
      </c>
      <c r="E87" s="62">
        <f>+D87*12*(1+'3, INVENTARIO'!E18)</f>
        <v>36514920</v>
      </c>
      <c r="F87" s="62">
        <f>+E87*(1+'3, INVENTARIO'!F18)</f>
        <v>38340666</v>
      </c>
      <c r="G87" s="62">
        <f>+F87*(1+'3, INVENTARIO'!G18)</f>
        <v>40181017.968000002</v>
      </c>
      <c r="H87" s="62">
        <f>+G87*(1+'3, INVENTARIO'!H18)</f>
        <v>42109706.830464005</v>
      </c>
      <c r="I87" s="62">
        <f>+H87*(1+'3, INVENTARIO'!I18)</f>
        <v>44215192.171987206</v>
      </c>
      <c r="J87" s="9"/>
    </row>
    <row r="88" spans="1:10" ht="15" x14ac:dyDescent="0.2">
      <c r="A88" s="49" t="s">
        <v>259</v>
      </c>
      <c r="B88" s="199" t="s">
        <v>296</v>
      </c>
      <c r="C88" s="49"/>
      <c r="D88" s="62">
        <f>+E88/12</f>
        <v>2765966.6666666665</v>
      </c>
      <c r="E88" s="62">
        <f>+'6. ESTADOS FINANCIEROS'!D11*0.01</f>
        <v>33191600</v>
      </c>
      <c r="F88" s="62">
        <f>+'6. ESTADOS FINANCIEROS'!E11*0.01</f>
        <v>41900222.300000004</v>
      </c>
      <c r="G88" s="62">
        <f>+'6. ESTADOS FINANCIEROS'!F11*0.01</f>
        <v>54080532.352196768</v>
      </c>
      <c r="H88" s="62">
        <f>+'6. ESTADOS FINANCIEROS'!G11*0.01</f>
        <v>72947209.17803897</v>
      </c>
      <c r="I88" s="62">
        <f>+'6. ESTADOS FINANCIEROS'!H11*0.01</f>
        <v>99866037.16456753</v>
      </c>
      <c r="J88" s="9"/>
    </row>
    <row r="89" spans="1:10" ht="15" x14ac:dyDescent="0.2">
      <c r="A89" s="49" t="s">
        <v>297</v>
      </c>
      <c r="B89" s="49"/>
      <c r="C89" s="49"/>
      <c r="D89" s="62">
        <f>SUM(D90:D92)</f>
        <v>316000</v>
      </c>
      <c r="E89" s="208">
        <f>+D89*12</f>
        <v>3792000</v>
      </c>
      <c r="F89" s="208">
        <f>+E89*(1+'3, INVENTARIO'!F17)</f>
        <v>4152240</v>
      </c>
      <c r="G89" s="208">
        <f>+F89*(1+'3, INVENTARIO'!G17)</f>
        <v>4545872.352</v>
      </c>
      <c r="H89" s="208">
        <f>+G89*(1+'3, INVENTARIO'!H17)</f>
        <v>5058646.7533056</v>
      </c>
      <c r="I89" s="208">
        <f>+H89*(1+'3, INVENTARIO'!I17)</f>
        <v>5584746.015649383</v>
      </c>
      <c r="J89" s="9"/>
    </row>
    <row r="90" spans="1:10" ht="15" x14ac:dyDescent="0.2">
      <c r="A90" s="342" t="s">
        <v>637</v>
      </c>
      <c r="B90" s="49"/>
      <c r="C90" s="49"/>
      <c r="D90" s="420">
        <v>280000</v>
      </c>
      <c r="E90" s="201">
        <f>+D90*12</f>
        <v>3360000</v>
      </c>
      <c r="F90" s="190"/>
      <c r="G90" s="190"/>
      <c r="H90" s="190"/>
      <c r="I90" s="190"/>
      <c r="J90" s="9"/>
    </row>
    <row r="91" spans="1:10" x14ac:dyDescent="0.2">
      <c r="A91" s="342" t="s">
        <v>636</v>
      </c>
      <c r="B91" s="62">
        <f>+'2. INVERSION'!D12</f>
        <v>2000000</v>
      </c>
      <c r="C91" s="210">
        <v>1</v>
      </c>
      <c r="D91" s="201">
        <f>+B91/(5*12)</f>
        <v>33333.333333333336</v>
      </c>
      <c r="E91" s="201">
        <f>+$D$91*12</f>
        <v>400000</v>
      </c>
      <c r="F91" s="201">
        <f>+$D$91*12</f>
        <v>400000</v>
      </c>
      <c r="G91" s="201">
        <f>+$D$91*12</f>
        <v>400000</v>
      </c>
      <c r="H91" s="201">
        <f>+$D$91*12</f>
        <v>400000</v>
      </c>
      <c r="I91" s="201">
        <f>+$D$91*12</f>
        <v>400000</v>
      </c>
    </row>
    <row r="92" spans="1:10" x14ac:dyDescent="0.2">
      <c r="A92" s="210" t="s">
        <v>512</v>
      </c>
      <c r="B92" s="49"/>
      <c r="C92" s="49"/>
      <c r="D92" s="201">
        <f>+E92/12</f>
        <v>2666.6666666666665</v>
      </c>
      <c r="E92" s="201">
        <f>+'2. INVERSION'!D12*1.6%</f>
        <v>32000</v>
      </c>
      <c r="F92" s="201">
        <f>+E92*(1+'3, INVENTARIO'!E18)</f>
        <v>33664</v>
      </c>
      <c r="G92" s="201">
        <f>+F92*(1+'3, INVENTARIO'!F18)</f>
        <v>35347.200000000004</v>
      </c>
      <c r="H92" s="201">
        <f>+G92*(1+'3, INVENTARIO'!G18)</f>
        <v>37043.865600000005</v>
      </c>
      <c r="I92" s="201">
        <f>+H92*(1+'3, INVENTARIO'!H18)</f>
        <v>38821.971148800003</v>
      </c>
    </row>
    <row r="93" spans="1:10" x14ac:dyDescent="0.2">
      <c r="A93" s="129"/>
      <c r="B93" s="24"/>
      <c r="C93" s="24"/>
      <c r="D93" s="29"/>
      <c r="E93" s="29"/>
      <c r="F93" s="29"/>
      <c r="G93" s="29"/>
      <c r="H93" s="23"/>
      <c r="I93" s="23"/>
    </row>
    <row r="94" spans="1:10" s="166" customFormat="1" x14ac:dyDescent="0.2">
      <c r="A94" s="163"/>
      <c r="B94" s="163"/>
      <c r="C94" s="163"/>
      <c r="D94" s="164"/>
      <c r="E94" s="164"/>
      <c r="F94" s="164"/>
      <c r="G94" s="164"/>
      <c r="H94" s="165"/>
      <c r="I94" s="165"/>
    </row>
    <row r="95" spans="1:10" x14ac:dyDescent="0.2">
      <c r="A95" s="24"/>
      <c r="B95" s="127"/>
      <c r="C95" s="24"/>
      <c r="D95" s="29"/>
      <c r="E95" s="29"/>
      <c r="F95" s="29"/>
      <c r="G95" s="29"/>
      <c r="H95" s="23"/>
      <c r="I95" s="23"/>
    </row>
    <row r="96" spans="1:10" x14ac:dyDescent="0.2">
      <c r="A96" s="24" t="s">
        <v>238</v>
      </c>
      <c r="B96" s="24">
        <v>2027</v>
      </c>
      <c r="C96" s="24">
        <v>2028</v>
      </c>
      <c r="D96" s="29">
        <v>2029</v>
      </c>
      <c r="E96" s="29">
        <v>2030</v>
      </c>
      <c r="F96" s="29">
        <v>2031</v>
      </c>
      <c r="G96" s="29"/>
      <c r="H96" s="23"/>
      <c r="I96" s="23"/>
    </row>
    <row r="97" spans="1:9" x14ac:dyDescent="0.2">
      <c r="A97" s="49" t="s">
        <v>93</v>
      </c>
      <c r="B97" s="49">
        <v>1</v>
      </c>
      <c r="C97" s="49">
        <v>2</v>
      </c>
      <c r="D97" s="201">
        <v>3</v>
      </c>
      <c r="E97" s="201">
        <v>4</v>
      </c>
      <c r="F97" s="201">
        <v>5</v>
      </c>
      <c r="G97" s="29"/>
      <c r="H97" s="23"/>
      <c r="I97" s="23"/>
    </row>
    <row r="98" spans="1:9" x14ac:dyDescent="0.2">
      <c r="A98" s="49" t="s">
        <v>572</v>
      </c>
      <c r="B98" s="62">
        <f>+B99+B105+B110</f>
        <v>2514909001.4000001</v>
      </c>
      <c r="C98" s="62">
        <f>+C99+C105+C110</f>
        <v>2897906492.3129501</v>
      </c>
      <c r="D98" s="62">
        <f>+D99+D105+D110</f>
        <v>3724587936.9046392</v>
      </c>
      <c r="E98" s="62">
        <f>+E99+E105+E110</f>
        <v>5029848716.9937191</v>
      </c>
      <c r="F98" s="62">
        <f>+F99+F105+F110</f>
        <v>6894535714.2313633</v>
      </c>
      <c r="G98" s="29"/>
      <c r="H98" s="23"/>
      <c r="I98" s="23"/>
    </row>
    <row r="99" spans="1:9" x14ac:dyDescent="0.2">
      <c r="A99" s="210" t="s">
        <v>239</v>
      </c>
      <c r="B99" s="62">
        <f>SUM(B100:B102)</f>
        <v>2388013475</v>
      </c>
      <c r="C99" s="62">
        <f>SUM(C100:C102)</f>
        <v>2755248368.3937502</v>
      </c>
      <c r="D99" s="62">
        <f>SUM(D100:D102)</f>
        <v>3561808045.0470252</v>
      </c>
      <c r="E99" s="62">
        <f>SUM(E100:E102)</f>
        <v>4837957242.1042528</v>
      </c>
      <c r="F99" s="62">
        <f>SUM(F100:F102)</f>
        <v>6664054138.007391</v>
      </c>
      <c r="G99" s="29"/>
      <c r="H99" s="23"/>
      <c r="I99" s="23"/>
    </row>
    <row r="100" spans="1:9" x14ac:dyDescent="0.2">
      <c r="A100" s="210" t="s">
        <v>240</v>
      </c>
      <c r="B100" s="62">
        <f>+'6. ESTADOS FINANCIEROS'!D25</f>
        <v>2359400000</v>
      </c>
      <c r="C100" s="62">
        <f>+'6. ESTADOS FINANCIEROS'!E25</f>
        <v>2719310000</v>
      </c>
      <c r="D100" s="62">
        <f>+'6. ESTADOS FINANCIEROS'!F25</f>
        <v>3515500590.0644016</v>
      </c>
      <c r="E100" s="62">
        <f>+'6. ESTADOS FINANCIEROS'!G25</f>
        <v>4775815557.5862427</v>
      </c>
      <c r="F100" s="62">
        <f>+'6. ESTADOS FINANCIEROS'!H25</f>
        <v>6579212883.5242958</v>
      </c>
      <c r="G100" s="29"/>
      <c r="H100" s="23"/>
      <c r="I100" s="23"/>
    </row>
    <row r="101" spans="1:9" x14ac:dyDescent="0.2">
      <c r="A101" s="210" t="s">
        <v>241</v>
      </c>
      <c r="B101" s="62">
        <f>+E32</f>
        <v>1800000</v>
      </c>
      <c r="C101" s="62">
        <f>+F32</f>
        <v>2173500</v>
      </c>
      <c r="D101" s="62">
        <f>+G32</f>
        <v>2687837.04</v>
      </c>
      <c r="E101" s="62">
        <f>+H32</f>
        <v>3408392.3936831998</v>
      </c>
      <c r="F101" s="62">
        <f>+I32</f>
        <v>4437726.8965755263</v>
      </c>
      <c r="G101" s="29"/>
      <c r="H101" s="23"/>
      <c r="I101" s="23"/>
    </row>
    <row r="102" spans="1:9" x14ac:dyDescent="0.2">
      <c r="A102" s="210" t="s">
        <v>300</v>
      </c>
      <c r="B102" s="62">
        <f>+E37</f>
        <v>26813475</v>
      </c>
      <c r="C102" s="62">
        <f>+F37</f>
        <v>33764868.393749997</v>
      </c>
      <c r="D102" s="62">
        <f>+G37</f>
        <v>43619617.942623444</v>
      </c>
      <c r="E102" s="62">
        <f>+H37</f>
        <v>58733292.124327153</v>
      </c>
      <c r="F102" s="62">
        <f>+I37</f>
        <v>80403527.586518899</v>
      </c>
      <c r="G102" s="29"/>
      <c r="H102" s="23"/>
      <c r="I102" s="23"/>
    </row>
    <row r="103" spans="1:9" x14ac:dyDescent="0.2">
      <c r="A103" s="49"/>
      <c r="B103" s="49"/>
      <c r="C103" s="49"/>
      <c r="D103" s="201"/>
      <c r="E103" s="201"/>
      <c r="F103" s="201"/>
      <c r="G103" s="23"/>
      <c r="H103" s="23"/>
      <c r="I103" s="23"/>
    </row>
    <row r="104" spans="1:9" x14ac:dyDescent="0.2">
      <c r="A104" s="49"/>
      <c r="B104" s="49"/>
      <c r="C104" s="49"/>
      <c r="D104" s="201"/>
      <c r="E104" s="201"/>
      <c r="F104" s="201"/>
      <c r="G104" s="23"/>
      <c r="H104" s="23"/>
      <c r="I104" s="23"/>
    </row>
    <row r="105" spans="1:9" x14ac:dyDescent="0.2">
      <c r="A105" s="49" t="s">
        <v>242</v>
      </c>
      <c r="B105" s="62">
        <f>SUM(B106:B107)</f>
        <v>4060000</v>
      </c>
      <c r="C105" s="62">
        <f>SUM(C106:C107)</f>
        <v>4667985</v>
      </c>
      <c r="D105" s="62">
        <f>SUM(D106:D107)</f>
        <v>5417140.5766800009</v>
      </c>
      <c r="E105" s="62">
        <f>SUM(E106:E107)</f>
        <v>6450167.6160905706</v>
      </c>
      <c r="F105" s="62">
        <f>SUM(F106:F107)</f>
        <v>7690663.8520171102</v>
      </c>
      <c r="G105" s="23"/>
      <c r="H105" s="23"/>
      <c r="I105" s="23"/>
    </row>
    <row r="106" spans="1:9" x14ac:dyDescent="0.2">
      <c r="A106" s="49" t="s">
        <v>243</v>
      </c>
      <c r="B106" s="62">
        <f>+E40</f>
        <v>4060000</v>
      </c>
      <c r="C106" s="62">
        <f>+F40</f>
        <v>4667985</v>
      </c>
      <c r="D106" s="62">
        <f>+G40</f>
        <v>5417140.5766800009</v>
      </c>
      <c r="E106" s="62">
        <f>+H40</f>
        <v>6450167.6160905706</v>
      </c>
      <c r="F106" s="62">
        <f>+I40</f>
        <v>7690663.8520171102</v>
      </c>
      <c r="G106" s="23"/>
      <c r="H106" s="23"/>
      <c r="I106" s="23"/>
    </row>
    <row r="107" spans="1:9" x14ac:dyDescent="0.2">
      <c r="A107" s="49" t="s">
        <v>301</v>
      </c>
      <c r="B107" s="62">
        <f>+E45</f>
        <v>0</v>
      </c>
      <c r="C107" s="62">
        <f>+F45</f>
        <v>0</v>
      </c>
      <c r="D107" s="62">
        <f>+G45</f>
        <v>0</v>
      </c>
      <c r="E107" s="62">
        <f>+H45</f>
        <v>0</v>
      </c>
      <c r="F107" s="62">
        <f>+I45</f>
        <v>0</v>
      </c>
      <c r="G107" s="23"/>
      <c r="H107" s="23"/>
      <c r="I107" s="23"/>
    </row>
    <row r="108" spans="1:9" x14ac:dyDescent="0.2">
      <c r="A108" s="49"/>
      <c r="B108" s="49"/>
      <c r="C108" s="49"/>
      <c r="D108" s="201"/>
      <c r="E108" s="201"/>
      <c r="F108" s="201"/>
      <c r="G108" s="23"/>
      <c r="H108" s="23"/>
      <c r="I108" s="23"/>
    </row>
    <row r="109" spans="1:9" x14ac:dyDescent="0.2">
      <c r="A109" s="49"/>
      <c r="B109" s="49"/>
      <c r="C109" s="49"/>
      <c r="D109" s="201"/>
      <c r="E109" s="201"/>
      <c r="F109" s="201"/>
      <c r="G109" s="23"/>
      <c r="H109" s="23"/>
      <c r="I109" s="23"/>
    </row>
    <row r="110" spans="1:9" x14ac:dyDescent="0.2">
      <c r="A110" s="49" t="s">
        <v>244</v>
      </c>
      <c r="B110" s="62">
        <f>SUM(B111:B117)</f>
        <v>122835526.40000001</v>
      </c>
      <c r="C110" s="62">
        <f>SUM(C111:C117)</f>
        <v>137990138.9192</v>
      </c>
      <c r="D110" s="62">
        <f>SUM(D111:D117)</f>
        <v>157362751.28093365</v>
      </c>
      <c r="E110" s="62">
        <f>SUM(E111:E117)</f>
        <v>185441307.27337599</v>
      </c>
      <c r="F110" s="62">
        <f>SUM(F111:F117)</f>
        <v>222790912.37195519</v>
      </c>
      <c r="G110" s="23"/>
      <c r="H110" s="23"/>
      <c r="I110" s="23"/>
    </row>
    <row r="111" spans="1:9" x14ac:dyDescent="0.2">
      <c r="A111" s="49" t="s">
        <v>245</v>
      </c>
      <c r="B111" s="62">
        <f>+E49</f>
        <v>9480000</v>
      </c>
      <c r="C111" s="62">
        <f>+F49</f>
        <v>9480000</v>
      </c>
      <c r="D111" s="62">
        <f>+G49</f>
        <v>9480000</v>
      </c>
      <c r="E111" s="62">
        <f>+H49</f>
        <v>9480000</v>
      </c>
      <c r="F111" s="62">
        <f>+I49</f>
        <v>9480000</v>
      </c>
      <c r="G111" s="23"/>
      <c r="H111" s="23"/>
      <c r="I111" s="23"/>
    </row>
    <row r="112" spans="1:9" x14ac:dyDescent="0.2">
      <c r="A112" s="49" t="s">
        <v>246</v>
      </c>
      <c r="B112" s="62">
        <f>+E55</f>
        <v>5820000</v>
      </c>
      <c r="C112" s="62">
        <f>+F55</f>
        <v>6468493.4999999991</v>
      </c>
      <c r="D112" s="62">
        <f>+G55</f>
        <v>7209177.4041083995</v>
      </c>
      <c r="E112" s="62">
        <f>+H55</f>
        <v>8190842.4402129548</v>
      </c>
      <c r="F112" s="62">
        <f>+I55</f>
        <v>9259714.6152909845</v>
      </c>
      <c r="G112" s="23"/>
      <c r="H112" s="23"/>
      <c r="I112" s="23"/>
    </row>
    <row r="113" spans="1:9" x14ac:dyDescent="0.2">
      <c r="A113" s="49" t="s">
        <v>247</v>
      </c>
      <c r="B113" s="62">
        <f>+E59</f>
        <v>29035200</v>
      </c>
      <c r="C113" s="62">
        <f>+F59</f>
        <v>31793544</v>
      </c>
      <c r="D113" s="62">
        <f>+G59</f>
        <v>34807571.971199997</v>
      </c>
      <c r="E113" s="62">
        <f>+H59</f>
        <v>38733866.089551359</v>
      </c>
      <c r="F113" s="62">
        <f>+I59</f>
        <v>42762188.162864707</v>
      </c>
      <c r="G113" s="23"/>
      <c r="H113" s="23"/>
      <c r="I113" s="23"/>
    </row>
    <row r="114" spans="1:9" x14ac:dyDescent="0.2">
      <c r="A114" s="49" t="s">
        <v>248</v>
      </c>
      <c r="B114" s="62">
        <f>+E62</f>
        <v>2524800</v>
      </c>
      <c r="C114" s="62">
        <f>+F62</f>
        <v>2764656</v>
      </c>
      <c r="D114" s="62">
        <f>+G62</f>
        <v>3026745.3887999998</v>
      </c>
      <c r="E114" s="62">
        <f>+H62</f>
        <v>3368162.2686566398</v>
      </c>
      <c r="F114" s="62">
        <f>+I62</f>
        <v>3718451.1445969306</v>
      </c>
      <c r="G114" s="23"/>
      <c r="H114" s="23"/>
      <c r="I114" s="23"/>
    </row>
    <row r="115" spans="1:9" x14ac:dyDescent="0.2">
      <c r="A115" s="49" t="s">
        <v>249</v>
      </c>
      <c r="B115" s="62">
        <f>+E64</f>
        <v>36643526.399999999</v>
      </c>
      <c r="C115" s="62">
        <f>+F64</f>
        <v>46257845.419199996</v>
      </c>
      <c r="D115" s="62">
        <f>+G64</f>
        <v>59704907.716825232</v>
      </c>
      <c r="E115" s="62">
        <f>+H64</f>
        <v>80533718.93255502</v>
      </c>
      <c r="F115" s="62">
        <f>+I64</f>
        <v>110252105.02968255</v>
      </c>
      <c r="G115" s="23"/>
      <c r="H115" s="23"/>
      <c r="I115" s="23"/>
    </row>
    <row r="116" spans="1:9" x14ac:dyDescent="0.2">
      <c r="A116" s="49" t="s">
        <v>250</v>
      </c>
      <c r="B116" s="62">
        <f>+E66</f>
        <v>1460000</v>
      </c>
      <c r="C116" s="62">
        <f>+F66</f>
        <v>1460000</v>
      </c>
      <c r="D116" s="62">
        <f>+G66</f>
        <v>1460000</v>
      </c>
      <c r="E116" s="62">
        <f>+H66</f>
        <v>1460000</v>
      </c>
      <c r="F116" s="62">
        <f>+I66</f>
        <v>1460000</v>
      </c>
      <c r="G116" s="23"/>
      <c r="H116" s="23"/>
      <c r="I116" s="23"/>
    </row>
    <row r="117" spans="1:9" x14ac:dyDescent="0.2">
      <c r="A117" s="49" t="s">
        <v>251</v>
      </c>
      <c r="B117" s="62">
        <f>+E70</f>
        <v>37872000</v>
      </c>
      <c r="C117" s="62">
        <f>+F70</f>
        <v>39765600</v>
      </c>
      <c r="D117" s="62">
        <f>+G70</f>
        <v>41674348.800000004</v>
      </c>
      <c r="E117" s="62">
        <f>+H70</f>
        <v>43674717.54240001</v>
      </c>
      <c r="F117" s="62">
        <f>+I70</f>
        <v>45858453.419520013</v>
      </c>
      <c r="G117" s="23"/>
      <c r="H117" s="23"/>
      <c r="I117" s="23"/>
    </row>
    <row r="118" spans="1:9" x14ac:dyDescent="0.2">
      <c r="A118" s="49"/>
      <c r="B118" s="49"/>
      <c r="C118" s="49"/>
      <c r="D118" s="201"/>
      <c r="E118" s="201"/>
      <c r="F118" s="201"/>
      <c r="G118" s="23"/>
      <c r="H118" s="23"/>
      <c r="I118" s="23"/>
    </row>
    <row r="119" spans="1:9" x14ac:dyDescent="0.2">
      <c r="A119" s="49" t="s">
        <v>273</v>
      </c>
      <c r="B119" s="62">
        <f>SUM(B120:B124)</f>
        <v>150431284.21052632</v>
      </c>
      <c r="C119" s="62">
        <f>SUM(C120:C124)</f>
        <v>164617756.21052632</v>
      </c>
      <c r="D119" s="62">
        <f>SUM(D120:D124)</f>
        <v>180119239.49928421</v>
      </c>
      <c r="E119" s="62">
        <f>SUM(E120:E124)</f>
        <v>200312609.71480346</v>
      </c>
      <c r="F119" s="62">
        <f>SUM(F120:F124)</f>
        <v>221030721.12514305</v>
      </c>
      <c r="G119" s="23"/>
      <c r="H119" s="23"/>
      <c r="I119" s="23"/>
    </row>
    <row r="120" spans="1:9" x14ac:dyDescent="0.2">
      <c r="A120" s="49" t="s">
        <v>252</v>
      </c>
      <c r="B120" s="62">
        <f>+E73</f>
        <v>146175284.21052632</v>
      </c>
      <c r="C120" s="62">
        <f>+F73</f>
        <v>160061936.21052632</v>
      </c>
      <c r="D120" s="62">
        <f>+G73</f>
        <v>175235807.76328421</v>
      </c>
      <c r="E120" s="62">
        <f>+H73</f>
        <v>195002406.87898266</v>
      </c>
      <c r="F120" s="62">
        <f>+I73</f>
        <v>215282657.19439688</v>
      </c>
      <c r="G120" s="23"/>
      <c r="H120" s="23"/>
      <c r="I120" s="23"/>
    </row>
    <row r="121" spans="1:9" x14ac:dyDescent="0.2">
      <c r="A121" s="49" t="s">
        <v>253</v>
      </c>
      <c r="B121" s="62">
        <f>+E76</f>
        <v>1100000</v>
      </c>
      <c r="C121" s="62">
        <f>+F76</f>
        <v>1100000</v>
      </c>
      <c r="D121" s="62">
        <f>+G76</f>
        <v>1100000</v>
      </c>
      <c r="E121" s="62">
        <f>+H76</f>
        <v>1100000</v>
      </c>
      <c r="F121" s="62">
        <f>+I76</f>
        <v>1100000</v>
      </c>
      <c r="G121" s="23"/>
      <c r="H121" s="23"/>
      <c r="I121" s="23"/>
    </row>
    <row r="122" spans="1:9" x14ac:dyDescent="0.2">
      <c r="A122" s="49" t="s">
        <v>254</v>
      </c>
      <c r="B122" s="49">
        <f t="shared" ref="B122:F124" si="7">+E82</f>
        <v>0</v>
      </c>
      <c r="C122" s="49">
        <f t="shared" si="7"/>
        <v>0</v>
      </c>
      <c r="D122" s="49">
        <f t="shared" si="7"/>
        <v>0</v>
      </c>
      <c r="E122" s="49">
        <f t="shared" si="7"/>
        <v>0</v>
      </c>
      <c r="F122" s="49">
        <f t="shared" si="7"/>
        <v>0</v>
      </c>
      <c r="G122" s="23"/>
      <c r="H122" s="23"/>
      <c r="I122" s="23"/>
    </row>
    <row r="123" spans="1:9" x14ac:dyDescent="0.2">
      <c r="A123" s="49" t="s">
        <v>255</v>
      </c>
      <c r="B123" s="49">
        <f t="shared" si="7"/>
        <v>0</v>
      </c>
      <c r="C123" s="49">
        <f t="shared" si="7"/>
        <v>0</v>
      </c>
      <c r="D123" s="49">
        <f t="shared" si="7"/>
        <v>0</v>
      </c>
      <c r="E123" s="49">
        <f t="shared" si="7"/>
        <v>0</v>
      </c>
      <c r="F123" s="49">
        <f t="shared" si="7"/>
        <v>0</v>
      </c>
      <c r="G123" s="23"/>
      <c r="H123" s="23"/>
      <c r="I123" s="23"/>
    </row>
    <row r="124" spans="1:9" x14ac:dyDescent="0.2">
      <c r="A124" s="49" t="s">
        <v>256</v>
      </c>
      <c r="B124" s="62">
        <f t="shared" si="7"/>
        <v>3156000</v>
      </c>
      <c r="C124" s="62">
        <f t="shared" si="7"/>
        <v>3455820</v>
      </c>
      <c r="D124" s="62">
        <f t="shared" si="7"/>
        <v>3783431.736</v>
      </c>
      <c r="E124" s="62">
        <f t="shared" si="7"/>
        <v>4210202.8358207997</v>
      </c>
      <c r="F124" s="62">
        <f t="shared" si="7"/>
        <v>4648063.9307461632</v>
      </c>
      <c r="G124" s="23"/>
      <c r="H124" s="23"/>
      <c r="I124" s="23"/>
    </row>
    <row r="125" spans="1:9" x14ac:dyDescent="0.2">
      <c r="A125" s="49"/>
      <c r="B125" s="49"/>
      <c r="C125" s="49"/>
      <c r="D125" s="201"/>
      <c r="E125" s="201"/>
      <c r="F125" s="201"/>
      <c r="G125" s="23"/>
      <c r="H125" s="23"/>
      <c r="I125" s="23"/>
    </row>
    <row r="126" spans="1:9" x14ac:dyDescent="0.2">
      <c r="A126" s="49" t="s">
        <v>257</v>
      </c>
      <c r="B126" s="62">
        <f>SUM(B127:B129)</f>
        <v>73498520</v>
      </c>
      <c r="C126" s="62">
        <f>SUM(C127:C129)</f>
        <v>84393128.300000012</v>
      </c>
      <c r="D126" s="62">
        <f>SUM(D127:D129)</f>
        <v>98807422.672196776</v>
      </c>
      <c r="E126" s="62">
        <f>SUM(E127:E129)</f>
        <v>120115562.76180857</v>
      </c>
      <c r="F126" s="62">
        <f>SUM(F127:F129)</f>
        <v>149665975.35220411</v>
      </c>
      <c r="G126" s="23"/>
      <c r="H126" s="23"/>
      <c r="I126" s="23"/>
    </row>
    <row r="127" spans="1:9" x14ac:dyDescent="0.2">
      <c r="A127" s="49" t="s">
        <v>258</v>
      </c>
      <c r="B127" s="62">
        <f t="shared" ref="B127:F129" si="8">+E87</f>
        <v>36514920</v>
      </c>
      <c r="C127" s="62">
        <f t="shared" si="8"/>
        <v>38340666</v>
      </c>
      <c r="D127" s="62">
        <f t="shared" si="8"/>
        <v>40181017.968000002</v>
      </c>
      <c r="E127" s="62">
        <f t="shared" si="8"/>
        <v>42109706.830464005</v>
      </c>
      <c r="F127" s="62">
        <f t="shared" si="8"/>
        <v>44215192.171987206</v>
      </c>
      <c r="G127" s="23"/>
      <c r="H127" s="23"/>
      <c r="I127" s="23"/>
    </row>
    <row r="128" spans="1:9" x14ac:dyDescent="0.2">
      <c r="A128" s="49" t="s">
        <v>259</v>
      </c>
      <c r="B128" s="62">
        <f>+E88</f>
        <v>33191600</v>
      </c>
      <c r="C128" s="62">
        <f t="shared" si="8"/>
        <v>41900222.300000004</v>
      </c>
      <c r="D128" s="62">
        <f t="shared" si="8"/>
        <v>54080532.352196768</v>
      </c>
      <c r="E128" s="62">
        <f t="shared" si="8"/>
        <v>72947209.17803897</v>
      </c>
      <c r="F128" s="62">
        <f t="shared" si="8"/>
        <v>99866037.16456753</v>
      </c>
      <c r="G128" s="23"/>
      <c r="H128" s="23"/>
      <c r="I128" s="23"/>
    </row>
    <row r="129" spans="1:9" x14ac:dyDescent="0.2">
      <c r="A129" s="49" t="s">
        <v>260</v>
      </c>
      <c r="B129" s="62">
        <f t="shared" si="8"/>
        <v>3792000</v>
      </c>
      <c r="C129" s="62">
        <f t="shared" si="8"/>
        <v>4152240</v>
      </c>
      <c r="D129" s="62">
        <f t="shared" si="8"/>
        <v>4545872.352</v>
      </c>
      <c r="E129" s="62">
        <f t="shared" si="8"/>
        <v>5058646.7533056</v>
      </c>
      <c r="F129" s="62">
        <f t="shared" si="8"/>
        <v>5584746.015649383</v>
      </c>
      <c r="G129" s="23"/>
      <c r="H129" s="23"/>
      <c r="I129" s="23"/>
    </row>
    <row r="130" spans="1:9" x14ac:dyDescent="0.2">
      <c r="D130" s="23"/>
      <c r="E130" s="23"/>
      <c r="F130" s="23"/>
      <c r="G130" s="23"/>
      <c r="H130" s="23"/>
      <c r="I130" s="23"/>
    </row>
    <row r="131" spans="1:9" x14ac:dyDescent="0.2">
      <c r="B131" s="18"/>
      <c r="C131" s="18"/>
      <c r="D131" s="18"/>
      <c r="E131" s="18"/>
      <c r="F131" s="23"/>
      <c r="G131" s="23"/>
      <c r="H131" s="23"/>
      <c r="I131" s="23"/>
    </row>
    <row r="132" spans="1:9" x14ac:dyDescent="0.2">
      <c r="A132" s="184" t="s">
        <v>507</v>
      </c>
      <c r="B132" s="241">
        <f>+B98+B119+B126</f>
        <v>2738838805.6105266</v>
      </c>
      <c r="C132" s="241">
        <f>+C98+C119+C126</f>
        <v>3146917376.8234768</v>
      </c>
      <c r="D132" s="241">
        <f>+D98+D119+D126</f>
        <v>4003514599.0761204</v>
      </c>
      <c r="E132" s="241">
        <f>+E98+E119+E126</f>
        <v>5350276889.4703312</v>
      </c>
      <c r="F132" s="241">
        <f>+F98+F119+F126</f>
        <v>7265232410.7087107</v>
      </c>
      <c r="G132" s="23"/>
      <c r="H132" s="23"/>
      <c r="I132" s="23"/>
    </row>
    <row r="133" spans="1:9" x14ac:dyDescent="0.2">
      <c r="D133" s="23"/>
      <c r="E133" s="23"/>
      <c r="F133" s="23"/>
      <c r="G133" s="23"/>
      <c r="H133" s="23"/>
      <c r="I133" s="23"/>
    </row>
    <row r="134" spans="1:9" x14ac:dyDescent="0.2">
      <c r="D134" s="23"/>
      <c r="E134" s="23"/>
      <c r="F134" s="23"/>
      <c r="G134" s="23"/>
      <c r="H134" s="23"/>
      <c r="I134" s="23"/>
    </row>
    <row r="135" spans="1:9" x14ac:dyDescent="0.2">
      <c r="D135" s="23"/>
      <c r="E135" s="23"/>
      <c r="F135" s="23"/>
      <c r="G135" s="23"/>
      <c r="H135" s="23"/>
      <c r="I135" s="23"/>
    </row>
    <row r="136" spans="1:9" x14ac:dyDescent="0.2">
      <c r="A136" s="146" t="s">
        <v>509</v>
      </c>
      <c r="B136" s="241">
        <f>+$B$102+$B$107+$B$120+$B$127</f>
        <v>209503679.21052632</v>
      </c>
      <c r="C136" s="241">
        <f>+$C$102+$C$107+$C$120+$C$127</f>
        <v>232167470.6042763</v>
      </c>
      <c r="D136" s="241">
        <f>+$D$102+$D$107+$D$120+$D$127</f>
        <v>259036443.67390764</v>
      </c>
      <c r="E136" s="241">
        <f>+$E$102+$E$107+$E$120+$E$127</f>
        <v>295845405.83377385</v>
      </c>
      <c r="F136" s="241">
        <f>+$F$102+$F$107+$F$120+$F$127</f>
        <v>339901376.95290303</v>
      </c>
      <c r="G136" s="23"/>
      <c r="H136" s="23"/>
      <c r="I136" s="23"/>
    </row>
    <row r="137" spans="1:9" x14ac:dyDescent="0.2">
      <c r="A137" s="282"/>
      <c r="B137" s="18"/>
      <c r="D137" s="23"/>
      <c r="E137" s="23"/>
      <c r="F137" s="23"/>
      <c r="G137" s="23"/>
      <c r="H137" s="23"/>
      <c r="I137" s="23"/>
    </row>
    <row r="138" spans="1:9" x14ac:dyDescent="0.2">
      <c r="A138" s="282"/>
      <c r="B138" s="180">
        <f>+(B136/'1. PERSONAL'!D84)-1</f>
        <v>4.899861591536836E-2</v>
      </c>
      <c r="D138" s="23"/>
      <c r="E138" s="23"/>
      <c r="F138" s="23"/>
      <c r="G138" s="23"/>
      <c r="H138" s="23"/>
      <c r="I138" s="23"/>
    </row>
    <row r="139" spans="1:9" x14ac:dyDescent="0.2">
      <c r="D139" s="23"/>
      <c r="E139" s="23"/>
      <c r="F139" s="23"/>
      <c r="G139" s="23"/>
      <c r="H139" s="23"/>
      <c r="I139" s="23"/>
    </row>
    <row r="140" spans="1:9" x14ac:dyDescent="0.2">
      <c r="D140" s="23"/>
      <c r="E140" s="23"/>
      <c r="F140" s="23"/>
      <c r="G140" s="23"/>
      <c r="H140" s="23"/>
      <c r="I140" s="23"/>
    </row>
    <row r="141" spans="1:9" x14ac:dyDescent="0.2">
      <c r="D141" s="23"/>
      <c r="E141" s="23"/>
      <c r="F141" s="23"/>
      <c r="G141" s="23"/>
      <c r="H141" s="23"/>
      <c r="I141" s="23"/>
    </row>
    <row r="142" spans="1:9" x14ac:dyDescent="0.2">
      <c r="D142" s="23"/>
      <c r="E142" s="23"/>
      <c r="F142" s="23"/>
      <c r="G142" s="23"/>
      <c r="H142" s="23"/>
      <c r="I142" s="23"/>
    </row>
    <row r="143" spans="1:9" x14ac:dyDescent="0.2">
      <c r="D143" s="23"/>
      <c r="E143" s="23"/>
      <c r="F143" s="23"/>
      <c r="G143" s="23"/>
      <c r="H143" s="23"/>
      <c r="I143" s="23"/>
    </row>
    <row r="144" spans="1:9" x14ac:dyDescent="0.2">
      <c r="D144" s="23"/>
      <c r="E144" s="23"/>
      <c r="F144" s="23"/>
      <c r="G144" s="23"/>
      <c r="H144" s="23"/>
      <c r="I144" s="23"/>
    </row>
    <row r="145" spans="4:9" x14ac:dyDescent="0.2">
      <c r="D145" s="23"/>
      <c r="E145" s="23"/>
      <c r="F145" s="23"/>
      <c r="G145" s="23"/>
      <c r="H145" s="23"/>
      <c r="I145" s="23"/>
    </row>
    <row r="146" spans="4:9" x14ac:dyDescent="0.2">
      <c r="D146" s="23"/>
      <c r="E146" s="23"/>
      <c r="F146" s="23"/>
      <c r="G146" s="23"/>
      <c r="H146" s="23"/>
      <c r="I146" s="23"/>
    </row>
    <row r="147" spans="4:9" x14ac:dyDescent="0.2">
      <c r="D147" s="23"/>
      <c r="E147" s="23"/>
      <c r="F147" s="23"/>
      <c r="G147" s="23"/>
      <c r="H147" s="23"/>
      <c r="I147" s="23"/>
    </row>
    <row r="148" spans="4:9" x14ac:dyDescent="0.2">
      <c r="D148" s="23"/>
      <c r="E148" s="23"/>
      <c r="F148" s="23"/>
      <c r="G148" s="23"/>
      <c r="H148" s="23"/>
      <c r="I148" s="23"/>
    </row>
    <row r="149" spans="4:9" x14ac:dyDescent="0.2">
      <c r="D149" s="23"/>
      <c r="E149" s="23"/>
      <c r="F149" s="23"/>
      <c r="G149" s="23"/>
      <c r="H149" s="23"/>
      <c r="I149" s="23"/>
    </row>
    <row r="150" spans="4:9" x14ac:dyDescent="0.2">
      <c r="D150" s="23"/>
      <c r="E150" s="23"/>
      <c r="F150" s="23"/>
      <c r="G150" s="23"/>
      <c r="H150" s="23"/>
      <c r="I150" s="23"/>
    </row>
    <row r="151" spans="4:9" x14ac:dyDescent="0.2">
      <c r="D151" s="23"/>
      <c r="E151" s="23"/>
      <c r="F151" s="23"/>
      <c r="G151" s="23"/>
      <c r="H151" s="23"/>
      <c r="I151" s="23"/>
    </row>
    <row r="152" spans="4:9" x14ac:dyDescent="0.2">
      <c r="D152" s="23"/>
      <c r="E152" s="23"/>
      <c r="F152" s="23"/>
      <c r="G152" s="23"/>
      <c r="H152" s="23"/>
      <c r="I152" s="23"/>
    </row>
    <row r="153" spans="4:9" x14ac:dyDescent="0.2">
      <c r="D153" s="23"/>
      <c r="E153" s="23"/>
      <c r="F153" s="23"/>
      <c r="G153" s="23"/>
      <c r="H153" s="23"/>
      <c r="I153" s="23"/>
    </row>
    <row r="154" spans="4:9" x14ac:dyDescent="0.2">
      <c r="D154" s="23"/>
      <c r="E154" s="23"/>
      <c r="F154" s="23"/>
      <c r="G154" s="23"/>
      <c r="H154" s="23"/>
      <c r="I154" s="23"/>
    </row>
    <row r="155" spans="4:9" x14ac:dyDescent="0.2">
      <c r="D155" s="23"/>
      <c r="E155" s="23"/>
      <c r="F155" s="23"/>
      <c r="G155" s="23"/>
      <c r="H155" s="23"/>
      <c r="I155" s="23"/>
    </row>
    <row r="156" spans="4:9" x14ac:dyDescent="0.2">
      <c r="D156" s="23"/>
      <c r="E156" s="23"/>
      <c r="F156" s="23"/>
      <c r="G156" s="23"/>
      <c r="H156" s="23"/>
      <c r="I156" s="23"/>
    </row>
    <row r="157" spans="4:9" x14ac:dyDescent="0.2">
      <c r="D157" s="23"/>
      <c r="E157" s="23"/>
      <c r="F157" s="23"/>
      <c r="G157" s="23"/>
      <c r="H157" s="23"/>
      <c r="I157" s="23"/>
    </row>
    <row r="158" spans="4:9" x14ac:dyDescent="0.2">
      <c r="D158" s="23"/>
      <c r="E158" s="23"/>
      <c r="F158" s="23"/>
      <c r="G158" s="23"/>
      <c r="H158" s="23"/>
      <c r="I158" s="23"/>
    </row>
    <row r="159" spans="4:9" x14ac:dyDescent="0.2">
      <c r="D159" s="23"/>
      <c r="E159" s="23"/>
      <c r="F159" s="23"/>
      <c r="G159" s="23"/>
      <c r="H159" s="23"/>
      <c r="I159" s="23"/>
    </row>
    <row r="160" spans="4:9" x14ac:dyDescent="0.2">
      <c r="D160" s="23"/>
      <c r="E160" s="23"/>
      <c r="F160" s="23"/>
      <c r="G160" s="23"/>
      <c r="H160" s="23"/>
      <c r="I160" s="23"/>
    </row>
    <row r="161" spans="4:9" x14ac:dyDescent="0.2">
      <c r="D161" s="23"/>
      <c r="E161" s="23"/>
      <c r="F161" s="23"/>
      <c r="G161" s="23"/>
      <c r="H161" s="23"/>
      <c r="I161" s="23"/>
    </row>
    <row r="162" spans="4:9" x14ac:dyDescent="0.2">
      <c r="D162" s="23"/>
      <c r="E162" s="23"/>
      <c r="F162" s="23"/>
      <c r="G162" s="23"/>
      <c r="H162" s="23"/>
      <c r="I162" s="23"/>
    </row>
    <row r="163" spans="4:9" x14ac:dyDescent="0.2">
      <c r="D163" s="23"/>
      <c r="E163" s="23"/>
      <c r="F163" s="23"/>
      <c r="G163" s="23"/>
      <c r="H163" s="23"/>
      <c r="I163" s="23"/>
    </row>
    <row r="164" spans="4:9" x14ac:dyDescent="0.2">
      <c r="D164" s="23"/>
      <c r="E164" s="23"/>
      <c r="F164" s="23"/>
      <c r="G164" s="23"/>
      <c r="H164" s="23"/>
      <c r="I164" s="23"/>
    </row>
    <row r="165" spans="4:9" x14ac:dyDescent="0.2">
      <c r="D165" s="23"/>
      <c r="E165" s="23"/>
      <c r="F165" s="23"/>
      <c r="G165" s="23"/>
      <c r="H165" s="23"/>
      <c r="I165" s="23"/>
    </row>
    <row r="166" spans="4:9" x14ac:dyDescent="0.2">
      <c r="D166" s="23"/>
      <c r="E166" s="23"/>
      <c r="F166" s="23"/>
      <c r="G166" s="23"/>
      <c r="H166" s="23"/>
      <c r="I166" s="23"/>
    </row>
    <row r="167" spans="4:9" x14ac:dyDescent="0.2">
      <c r="D167" s="23"/>
      <c r="E167" s="23"/>
      <c r="F167" s="23"/>
      <c r="G167" s="23"/>
      <c r="H167" s="23"/>
      <c r="I167" s="23"/>
    </row>
    <row r="168" spans="4:9" x14ac:dyDescent="0.2">
      <c r="D168" s="23"/>
      <c r="E168" s="23"/>
      <c r="F168" s="23"/>
      <c r="G168" s="23"/>
      <c r="H168" s="23"/>
      <c r="I168" s="23"/>
    </row>
    <row r="169" spans="4:9" x14ac:dyDescent="0.2">
      <c r="D169" s="23"/>
      <c r="E169" s="23"/>
      <c r="F169" s="23"/>
      <c r="G169" s="23"/>
      <c r="H169" s="23"/>
      <c r="I169" s="23"/>
    </row>
    <row r="170" spans="4:9" x14ac:dyDescent="0.2">
      <c r="D170" s="23"/>
      <c r="E170" s="23"/>
      <c r="F170" s="23"/>
      <c r="G170" s="23"/>
      <c r="H170" s="23"/>
      <c r="I170" s="23"/>
    </row>
    <row r="171" spans="4:9" x14ac:dyDescent="0.2">
      <c r="D171" s="23"/>
      <c r="E171" s="23"/>
      <c r="F171" s="23"/>
      <c r="G171" s="23"/>
      <c r="H171" s="23"/>
      <c r="I171" s="23"/>
    </row>
    <row r="172" spans="4:9" x14ac:dyDescent="0.2">
      <c r="D172" s="23"/>
      <c r="E172" s="23"/>
      <c r="F172" s="23"/>
      <c r="G172" s="23"/>
      <c r="H172" s="23"/>
      <c r="I172" s="23"/>
    </row>
    <row r="173" spans="4:9" x14ac:dyDescent="0.2">
      <c r="D173" s="23"/>
      <c r="E173" s="23"/>
      <c r="F173" s="23"/>
      <c r="G173" s="23"/>
      <c r="H173" s="23"/>
      <c r="I173" s="23"/>
    </row>
    <row r="174" spans="4:9" x14ac:dyDescent="0.2">
      <c r="D174" s="23"/>
      <c r="E174" s="23"/>
      <c r="F174" s="23"/>
      <c r="G174" s="23"/>
      <c r="H174" s="23"/>
      <c r="I174" s="23"/>
    </row>
    <row r="175" spans="4:9" x14ac:dyDescent="0.2">
      <c r="D175" s="23"/>
      <c r="E175" s="23"/>
      <c r="F175" s="23"/>
      <c r="G175" s="23"/>
      <c r="H175" s="23"/>
      <c r="I175" s="23"/>
    </row>
    <row r="176" spans="4:9" x14ac:dyDescent="0.2">
      <c r="D176" s="23"/>
      <c r="E176" s="23"/>
      <c r="F176" s="23"/>
      <c r="G176" s="23"/>
      <c r="H176" s="23"/>
      <c r="I176" s="23"/>
    </row>
    <row r="177" spans="4:9" x14ac:dyDescent="0.2">
      <c r="D177" s="23"/>
      <c r="E177" s="23"/>
      <c r="F177" s="23"/>
      <c r="G177" s="23"/>
      <c r="H177" s="23"/>
      <c r="I177" s="23"/>
    </row>
    <row r="178" spans="4:9" x14ac:dyDescent="0.2">
      <c r="D178" s="23"/>
      <c r="E178" s="23"/>
      <c r="F178" s="23"/>
      <c r="G178" s="23"/>
      <c r="H178" s="23"/>
      <c r="I178" s="23"/>
    </row>
    <row r="179" spans="4:9" x14ac:dyDescent="0.2">
      <c r="D179" s="23"/>
      <c r="E179" s="23"/>
      <c r="F179" s="23"/>
      <c r="G179" s="23"/>
      <c r="H179" s="23"/>
      <c r="I179" s="23"/>
    </row>
    <row r="180" spans="4:9" x14ac:dyDescent="0.2">
      <c r="D180" s="23"/>
      <c r="E180" s="23"/>
      <c r="F180" s="23"/>
      <c r="G180" s="23"/>
      <c r="H180" s="23"/>
      <c r="I180" s="23"/>
    </row>
    <row r="181" spans="4:9" x14ac:dyDescent="0.2">
      <c r="D181" s="23"/>
      <c r="E181" s="23"/>
      <c r="F181" s="23"/>
      <c r="G181" s="23"/>
      <c r="H181" s="23"/>
      <c r="I181" s="23"/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scale="86" orientation="portrait" horizontalDpi="4294967292" verticalDpi="36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3:O70"/>
  <sheetViews>
    <sheetView topLeftCell="A37" zoomScale="118" zoomScaleNormal="118" workbookViewId="0">
      <selection activeCell="F57" sqref="F57"/>
    </sheetView>
  </sheetViews>
  <sheetFormatPr baseColWidth="10" defaultRowHeight="12.75" x14ac:dyDescent="0.2"/>
  <cols>
    <col min="1" max="1" width="12.28515625" customWidth="1"/>
    <col min="2" max="2" width="29.42578125" customWidth="1"/>
    <col min="3" max="3" width="21.85546875" customWidth="1"/>
    <col min="4" max="4" width="23.140625" customWidth="1"/>
    <col min="5" max="5" width="17.28515625" customWidth="1"/>
    <col min="6" max="7" width="17" customWidth="1"/>
    <col min="8" max="8" width="17.85546875" customWidth="1"/>
    <col min="13" max="13" width="12.5703125" bestFit="1" customWidth="1"/>
  </cols>
  <sheetData>
    <row r="3" spans="1:9" x14ac:dyDescent="0.2">
      <c r="A3" s="128" t="s">
        <v>352</v>
      </c>
      <c r="B3" s="128"/>
      <c r="C3" s="128"/>
      <c r="D3" s="128"/>
    </row>
    <row r="4" spans="1:9" x14ac:dyDescent="0.2">
      <c r="C4" s="431">
        <v>0</v>
      </c>
      <c r="D4" s="431">
        <v>1</v>
      </c>
      <c r="E4" s="431">
        <v>2</v>
      </c>
      <c r="F4" s="431">
        <v>3</v>
      </c>
      <c r="G4" s="431">
        <v>4</v>
      </c>
      <c r="H4" s="431">
        <v>5</v>
      </c>
    </row>
    <row r="5" spans="1:9" x14ac:dyDescent="0.2">
      <c r="A5" s="146" t="s">
        <v>384</v>
      </c>
      <c r="C5" s="190"/>
      <c r="D5" s="477">
        <f>+'9. PRESTAMO'!K12</f>
        <v>0.24468296238436471</v>
      </c>
      <c r="E5" s="477">
        <f>+'9. PRESTAMO'!K24</f>
        <v>0.24336913960670814</v>
      </c>
      <c r="F5" s="477">
        <f>+'9. PRESTAMO'!K36</f>
        <v>0.23813115156231057</v>
      </c>
      <c r="G5" s="477">
        <f>+'9. PRESTAMO'!K48</f>
        <v>0.24074669044872099</v>
      </c>
      <c r="H5" s="477">
        <f>+'9. PRESTAMO'!K60</f>
        <v>0.24468296238436471</v>
      </c>
    </row>
    <row r="6" spans="1:9" x14ac:dyDescent="0.2">
      <c r="C6" s="190"/>
      <c r="D6" s="475"/>
      <c r="E6" s="475"/>
      <c r="F6" s="190"/>
      <c r="G6" s="190"/>
      <c r="H6" s="190"/>
    </row>
    <row r="7" spans="1:9" x14ac:dyDescent="0.2">
      <c r="A7" t="s">
        <v>353</v>
      </c>
      <c r="C7" s="190"/>
      <c r="D7" s="480">
        <f>+'3, INVENTARIO'!E25</f>
        <v>0.31</v>
      </c>
      <c r="E7" s="480">
        <f>+'3, INVENTARIO'!F25</f>
        <v>0.31</v>
      </c>
      <c r="F7" s="480">
        <f>+'3, INVENTARIO'!G25</f>
        <v>0.31</v>
      </c>
      <c r="G7" s="480">
        <f>+'3, INVENTARIO'!H25</f>
        <v>0.31</v>
      </c>
      <c r="H7" s="480">
        <f>+'3, INVENTARIO'!I25</f>
        <v>0.31</v>
      </c>
    </row>
    <row r="8" spans="1:9" s="235" customFormat="1" x14ac:dyDescent="0.2">
      <c r="A8" s="235" t="s">
        <v>354</v>
      </c>
      <c r="C8" s="478"/>
      <c r="D8" s="479">
        <v>5.2999999999999999E-2</v>
      </c>
      <c r="E8" s="479">
        <v>5.1999999999999998E-2</v>
      </c>
      <c r="F8" s="479">
        <v>4.8000000000000001E-2</v>
      </c>
      <c r="G8" s="479">
        <v>0.05</v>
      </c>
      <c r="H8" s="479">
        <v>5.2999999999999999E-2</v>
      </c>
      <c r="I8" s="413" t="s">
        <v>385</v>
      </c>
    </row>
    <row r="9" spans="1:9" s="235" customFormat="1" x14ac:dyDescent="0.2">
      <c r="A9" s="413" t="s">
        <v>382</v>
      </c>
      <c r="C9" s="478"/>
      <c r="D9" s="479">
        <v>9.2499999999999999E-2</v>
      </c>
      <c r="E9" s="479">
        <v>9.2499999999999999E-2</v>
      </c>
      <c r="F9" s="479">
        <v>0.11650000000000001</v>
      </c>
      <c r="G9" s="479">
        <v>0.11650000000000001</v>
      </c>
      <c r="H9" s="479">
        <v>0.11650000000000001</v>
      </c>
      <c r="I9" s="461"/>
    </row>
    <row r="10" spans="1:9" s="235" customFormat="1" x14ac:dyDescent="0.2">
      <c r="A10" s="413" t="s">
        <v>386</v>
      </c>
      <c r="C10" s="478"/>
      <c r="D10" s="478">
        <v>0.22</v>
      </c>
      <c r="E10" s="478">
        <v>0.21</v>
      </c>
      <c r="F10" s="478">
        <v>0.22</v>
      </c>
      <c r="G10" s="478">
        <v>0.21</v>
      </c>
      <c r="H10" s="478">
        <v>0.22</v>
      </c>
    </row>
    <row r="11" spans="1:9" s="235" customFormat="1" x14ac:dyDescent="0.2">
      <c r="A11" s="459" t="s">
        <v>610</v>
      </c>
      <c r="C11" s="478"/>
      <c r="D11" s="478">
        <v>1.22</v>
      </c>
      <c r="E11" s="478">
        <v>1.34</v>
      </c>
      <c r="F11" s="478">
        <v>1.45</v>
      </c>
      <c r="G11" s="478">
        <v>1.56</v>
      </c>
      <c r="H11" s="478">
        <v>1.65</v>
      </c>
    </row>
    <row r="12" spans="1:9" x14ac:dyDescent="0.2">
      <c r="A12" s="174" t="s">
        <v>383</v>
      </c>
      <c r="B12" s="344" t="s">
        <v>356</v>
      </c>
      <c r="C12" s="422"/>
      <c r="D12" s="481">
        <f>+D9+D11*(D10-D9)</f>
        <v>0.24804999999999999</v>
      </c>
      <c r="E12" s="481">
        <f>+E9+E11*(E10-E9)</f>
        <v>0.24995000000000001</v>
      </c>
      <c r="F12" s="481">
        <f>+F9+F11*(F10-F9)</f>
        <v>0.26657500000000001</v>
      </c>
      <c r="G12" s="481">
        <f>+G9+G11*(G10-G9)</f>
        <v>0.26235999999999998</v>
      </c>
      <c r="H12" s="481">
        <f>+H9+H11*(H10-H9)</f>
        <v>0.287275</v>
      </c>
    </row>
    <row r="13" spans="1:9" x14ac:dyDescent="0.2">
      <c r="A13" t="s">
        <v>355</v>
      </c>
      <c r="B13" t="s">
        <v>357</v>
      </c>
    </row>
    <row r="15" spans="1:9" x14ac:dyDescent="0.2">
      <c r="A15" s="476" t="s">
        <v>505</v>
      </c>
      <c r="B15" s="476"/>
      <c r="C15" s="476"/>
      <c r="D15" s="476"/>
      <c r="E15" s="476"/>
      <c r="F15" s="476"/>
      <c r="G15" s="476"/>
      <c r="H15" s="476"/>
    </row>
    <row r="17" spans="1:13" x14ac:dyDescent="0.2">
      <c r="A17" s="49" t="s">
        <v>186</v>
      </c>
      <c r="B17" s="49"/>
      <c r="C17" s="49">
        <v>0</v>
      </c>
      <c r="D17" s="49">
        <v>1</v>
      </c>
      <c r="E17" s="49">
        <v>2</v>
      </c>
      <c r="F17" s="49">
        <v>3</v>
      </c>
      <c r="G17" s="49">
        <v>4</v>
      </c>
      <c r="H17" s="49">
        <v>5</v>
      </c>
    </row>
    <row r="18" spans="1:13" x14ac:dyDescent="0.2">
      <c r="A18" s="49" t="s">
        <v>358</v>
      </c>
      <c r="B18" s="185"/>
      <c r="C18" s="185">
        <f>+'6. ESTADOS FINANCIEROS'!D177</f>
        <v>-119599999.99999999</v>
      </c>
      <c r="D18" s="62">
        <f>+'6. ESTADOS FINANCIEROS'!E177</f>
        <v>411219749.22202492</v>
      </c>
      <c r="E18" s="62">
        <f>+'6. ESTADOS FINANCIEROS'!F177</f>
        <v>846105795.20270872</v>
      </c>
      <c r="F18" s="62">
        <f>+'6. ESTADOS FINANCIEROS'!G177</f>
        <v>1087441249.2219086</v>
      </c>
      <c r="G18" s="62">
        <f>+'6. ESTADOS FINANCIEROS'!H177</f>
        <v>1496730188.4248135</v>
      </c>
      <c r="H18" s="62">
        <f>+'6. ESTADOS FINANCIEROS'!I177</f>
        <v>772200804.2417345</v>
      </c>
    </row>
    <row r="19" spans="1:13" x14ac:dyDescent="0.2">
      <c r="A19" s="49" t="s">
        <v>359</v>
      </c>
      <c r="B19" s="185"/>
      <c r="C19" s="188">
        <f>+'9. PRESTAMO'!B12</f>
        <v>321726666.66666669</v>
      </c>
      <c r="D19" s="188">
        <f>+'9. PRESTAMO'!B24</f>
        <v>257381333.33333343</v>
      </c>
      <c r="E19" s="188">
        <f>+'9. PRESTAMO'!B36</f>
        <v>193036000.00000018</v>
      </c>
      <c r="F19" s="188">
        <f>+'9. PRESTAMO'!B48</f>
        <v>128690666.66666692</v>
      </c>
      <c r="G19" s="188">
        <f>+'9. PRESTAMO'!B60</f>
        <v>64345333.333333664</v>
      </c>
      <c r="H19" s="188">
        <f>+'9. PRESTAMO'!B71</f>
        <v>5362111.1111114332</v>
      </c>
    </row>
    <row r="20" spans="1:13" x14ac:dyDescent="0.2">
      <c r="A20" s="49" t="s">
        <v>360</v>
      </c>
      <c r="B20" s="185"/>
      <c r="C20" s="185">
        <f>+'9. PRESTAMO'!C2</f>
        <v>80431666.666666672</v>
      </c>
      <c r="D20" s="185"/>
      <c r="E20" s="185"/>
      <c r="F20" s="185"/>
      <c r="G20" s="185"/>
      <c r="H20" s="185"/>
    </row>
    <row r="21" spans="1:13" x14ac:dyDescent="0.2">
      <c r="A21" s="49" t="s">
        <v>361</v>
      </c>
      <c r="B21" s="185"/>
      <c r="C21" s="185">
        <f>+C19+C20</f>
        <v>402158333.33333337</v>
      </c>
      <c r="D21" s="185"/>
      <c r="E21" s="185"/>
      <c r="F21" s="185"/>
      <c r="G21" s="185"/>
      <c r="H21" s="185"/>
    </row>
    <row r="22" spans="1:13" x14ac:dyDescent="0.2">
      <c r="A22" s="285" t="s">
        <v>511</v>
      </c>
      <c r="B22" s="180"/>
      <c r="C22" s="143"/>
      <c r="D22" s="143"/>
      <c r="E22" s="143"/>
      <c r="F22" s="143"/>
      <c r="G22" s="143"/>
      <c r="H22" s="143"/>
    </row>
    <row r="23" spans="1:13" x14ac:dyDescent="0.2">
      <c r="A23" t="s">
        <v>362</v>
      </c>
    </row>
    <row r="24" spans="1:13" x14ac:dyDescent="0.2">
      <c r="A24" t="s">
        <v>364</v>
      </c>
    </row>
    <row r="25" spans="1:13" x14ac:dyDescent="0.2">
      <c r="A25" s="184" t="s">
        <v>387</v>
      </c>
      <c r="B25" s="49"/>
      <c r="C25" s="49"/>
      <c r="D25" s="472">
        <f>+(C19/C37)</f>
        <v>0.13943316217762441</v>
      </c>
      <c r="E25" s="473">
        <f>+(D19/D37)</f>
        <v>0.10530657056763135</v>
      </c>
      <c r="F25" s="473">
        <f>+(E19/E37)</f>
        <v>8.8164528204544221E-2</v>
      </c>
      <c r="G25" s="473">
        <f>+(F19/F37)</f>
        <v>7.6992447709506168E-2</v>
      </c>
      <c r="H25" s="473">
        <f>+(G19/G37)</f>
        <v>0.10659131388080124</v>
      </c>
    </row>
    <row r="26" spans="1:13" x14ac:dyDescent="0.2">
      <c r="A26" s="49" t="s">
        <v>365</v>
      </c>
      <c r="B26" s="49"/>
      <c r="C26" s="49"/>
      <c r="D26" s="472">
        <f>+(D5*(1-D7))</f>
        <v>0.16883124404521163</v>
      </c>
      <c r="E26" s="473">
        <f>+(E5*(1-E7))</f>
        <v>0.1679247063286286</v>
      </c>
      <c r="F26" s="473">
        <f>+(F5*(1-F7))</f>
        <v>0.16431049457799429</v>
      </c>
      <c r="G26" s="473">
        <f>+(G5*(1-G7))</f>
        <v>0.16611521640961746</v>
      </c>
      <c r="H26" s="473">
        <f>+(H5*(1-H7))</f>
        <v>0.16883124404521163</v>
      </c>
    </row>
    <row r="27" spans="1:13" x14ac:dyDescent="0.2">
      <c r="A27" s="184" t="s">
        <v>388</v>
      </c>
      <c r="B27" s="49"/>
      <c r="C27" s="49"/>
      <c r="D27" s="472">
        <f>+D25*D26</f>
        <v>2.3540674231606079E-2</v>
      </c>
      <c r="E27" s="473">
        <f>+E25*E26</f>
        <v>1.7683574937044498E-2</v>
      </c>
      <c r="F27" s="473">
        <f>+F25*F26</f>
        <v>1.4486357233524188E-2</v>
      </c>
      <c r="G27" s="473">
        <f>+G25*G26</f>
        <v>1.2789617113170773E-2</v>
      </c>
      <c r="H27" s="473">
        <f>+H25*H26</f>
        <v>1.7995944126909309E-2</v>
      </c>
    </row>
    <row r="28" spans="1:13" x14ac:dyDescent="0.2">
      <c r="D28" s="399"/>
      <c r="E28" s="399"/>
      <c r="F28" s="399"/>
      <c r="G28" s="399"/>
      <c r="H28" s="399"/>
    </row>
    <row r="29" spans="1:13" x14ac:dyDescent="0.2">
      <c r="A29" s="49" t="s">
        <v>366</v>
      </c>
      <c r="B29" s="49"/>
      <c r="C29" s="49"/>
      <c r="D29" s="190"/>
      <c r="E29" s="190"/>
      <c r="F29" s="190"/>
      <c r="G29" s="190"/>
      <c r="H29" s="190"/>
      <c r="M29" s="175"/>
    </row>
    <row r="30" spans="1:13" x14ac:dyDescent="0.2">
      <c r="A30" s="49" t="s">
        <v>367</v>
      </c>
      <c r="B30" s="49"/>
      <c r="C30" s="49"/>
      <c r="D30" s="474">
        <f>+(1-D25)</f>
        <v>0.86056683782237564</v>
      </c>
      <c r="E30" s="475">
        <f>+(1-E25)</f>
        <v>0.89469342943236863</v>
      </c>
      <c r="F30" s="475">
        <f>+(1-F25)</f>
        <v>0.91183547179545577</v>
      </c>
      <c r="G30" s="475">
        <f>+(1-G25)</f>
        <v>0.9230075522904938</v>
      </c>
      <c r="H30" s="475">
        <f>+(1-H25)</f>
        <v>0.89340868611919877</v>
      </c>
    </row>
    <row r="31" spans="1:13" x14ac:dyDescent="0.2">
      <c r="A31" s="49" t="s">
        <v>368</v>
      </c>
      <c r="B31" s="49"/>
      <c r="C31" s="49"/>
      <c r="D31" s="472">
        <f>+(D12-(D5*D25))/D30</f>
        <v>0.24859554356650204</v>
      </c>
      <c r="E31" s="473">
        <f>+(E12-(E5*E25))/E30</f>
        <v>0.25072457575590068</v>
      </c>
      <c r="F31" s="473">
        <f>+(F12-(F5*F25))/F30</f>
        <v>0.26932520939127602</v>
      </c>
      <c r="G31" s="473">
        <f>+(G12-(G5*G25))/G30</f>
        <v>0.26416286889454671</v>
      </c>
      <c r="H31" s="473">
        <f>+(H12-(H5*H25))/H30</f>
        <v>0.2923565951544323</v>
      </c>
    </row>
    <row r="32" spans="1:13" x14ac:dyDescent="0.2">
      <c r="A32" s="49" t="s">
        <v>369</v>
      </c>
      <c r="B32" s="49"/>
      <c r="C32" s="49"/>
      <c r="D32" s="472">
        <f>+D30*D31</f>
        <v>0.21393308082375928</v>
      </c>
      <c r="E32" s="473">
        <f>+E30*E31</f>
        <v>0.2243216305260225</v>
      </c>
      <c r="F32" s="473">
        <f>+F30*F31</f>
        <v>0.2455802793717041</v>
      </c>
      <c r="G32" s="473">
        <f>+G30*G31</f>
        <v>0.24382432302439019</v>
      </c>
      <c r="H32" s="473">
        <f>+H30*H31</f>
        <v>0.26119392155520388</v>
      </c>
    </row>
    <row r="33" spans="1:15" x14ac:dyDescent="0.2">
      <c r="A33" s="49"/>
      <c r="B33" s="49"/>
      <c r="C33" s="49"/>
      <c r="D33" s="49"/>
      <c r="E33" s="49"/>
      <c r="F33" s="49"/>
      <c r="G33" s="49"/>
      <c r="H33" s="49"/>
    </row>
    <row r="34" spans="1:15" x14ac:dyDescent="0.2">
      <c r="A34" s="342" t="s">
        <v>649</v>
      </c>
      <c r="B34" s="49"/>
      <c r="C34" s="49"/>
      <c r="D34" s="369">
        <f>+D27+D32</f>
        <v>0.23747375505536536</v>
      </c>
      <c r="E34" s="369">
        <f>+E27+E32</f>
        <v>0.242005205463067</v>
      </c>
      <c r="F34" s="369">
        <f>+F27+F32</f>
        <v>0.26006663660522827</v>
      </c>
      <c r="G34" s="369">
        <f>+G27+G32</f>
        <v>0.25661394013756095</v>
      </c>
      <c r="H34" s="369">
        <f>+H27+H32</f>
        <v>0.27918986568211318</v>
      </c>
      <c r="I34" s="178">
        <f>+(D34*E34*F34*G34*H34)^(1/5)</f>
        <v>0.2546484122200357</v>
      </c>
      <c r="J34" s="178" t="s">
        <v>376</v>
      </c>
      <c r="K34" s="178"/>
    </row>
    <row r="35" spans="1:15" x14ac:dyDescent="0.2">
      <c r="A35" s="49"/>
      <c r="B35" s="49"/>
      <c r="C35" s="49"/>
      <c r="D35" s="49"/>
      <c r="E35" s="49"/>
      <c r="F35" s="49"/>
      <c r="G35" s="49"/>
      <c r="H35" s="49"/>
    </row>
    <row r="36" spans="1:15" x14ac:dyDescent="0.2">
      <c r="B36" t="s">
        <v>370</v>
      </c>
      <c r="D36" s="175"/>
    </row>
    <row r="37" spans="1:15" x14ac:dyDescent="0.2">
      <c r="A37" s="449" t="s">
        <v>363</v>
      </c>
      <c r="B37" s="468"/>
      <c r="C37" s="471">
        <f>C48</f>
        <v>2307389875.1347108</v>
      </c>
      <c r="D37" s="471">
        <f>D48</f>
        <v>2444114663.9376569</v>
      </c>
      <c r="E37" s="471">
        <f>E48</f>
        <v>2189497340.156476</v>
      </c>
      <c r="F37" s="471">
        <f>F48</f>
        <v>1671471300.0451555</v>
      </c>
      <c r="G37" s="471">
        <f>G48</f>
        <v>603663947.75178075</v>
      </c>
      <c r="I37" s="179" t="s">
        <v>389</v>
      </c>
      <c r="J37" s="178"/>
      <c r="K37" s="178"/>
      <c r="L37" s="178"/>
    </row>
    <row r="38" spans="1:15" x14ac:dyDescent="0.2">
      <c r="A38" s="469" t="s">
        <v>333</v>
      </c>
      <c r="B38" s="470"/>
      <c r="C38" s="470">
        <f>+C37+C18</f>
        <v>2187789875.1347108</v>
      </c>
      <c r="I38" s="179" t="s">
        <v>390</v>
      </c>
      <c r="J38" s="178"/>
      <c r="K38" s="178"/>
      <c r="L38" s="178"/>
    </row>
    <row r="39" spans="1:15" x14ac:dyDescent="0.2">
      <c r="B39" s="143"/>
      <c r="C39" s="143"/>
      <c r="I39" s="179" t="s">
        <v>391</v>
      </c>
      <c r="J39" s="178"/>
      <c r="K39" s="178"/>
      <c r="L39" s="178"/>
      <c r="M39" s="178"/>
      <c r="N39" s="178"/>
      <c r="O39" s="178"/>
    </row>
    <row r="40" spans="1:15" x14ac:dyDescent="0.2">
      <c r="B40" s="143"/>
      <c r="C40" s="143"/>
    </row>
    <row r="41" spans="1:15" x14ac:dyDescent="0.2">
      <c r="A41" s="421" t="s">
        <v>399</v>
      </c>
      <c r="B41" s="465"/>
      <c r="C41" s="423">
        <v>0</v>
      </c>
      <c r="D41" s="421">
        <v>1</v>
      </c>
      <c r="E41" s="421">
        <v>2</v>
      </c>
      <c r="F41" s="421">
        <v>3</v>
      </c>
      <c r="G41" s="421">
        <v>4</v>
      </c>
      <c r="H41" s="421">
        <v>5</v>
      </c>
    </row>
    <row r="42" spans="1:15" x14ac:dyDescent="0.2">
      <c r="A42" s="49" t="s">
        <v>371</v>
      </c>
      <c r="B42" s="185"/>
      <c r="C42" s="186" t="s">
        <v>396</v>
      </c>
      <c r="D42" s="49"/>
      <c r="E42" s="49"/>
      <c r="F42" s="184" t="s">
        <v>397</v>
      </c>
      <c r="G42" s="49"/>
      <c r="H42" s="49"/>
    </row>
    <row r="43" spans="1:15" x14ac:dyDescent="0.2">
      <c r="A43" s="184" t="s">
        <v>398</v>
      </c>
      <c r="B43" s="49"/>
      <c r="C43" s="49"/>
      <c r="D43" s="188">
        <f>+C19*D5</f>
        <v>78721033.878047049</v>
      </c>
      <c r="E43" s="188">
        <f>+D19*E5</f>
        <v>62638673.64416071</v>
      </c>
      <c r="F43" s="188">
        <f>+E19*F5</f>
        <v>45967884.972982228</v>
      </c>
      <c r="G43" s="188">
        <f>+F19*G5</f>
        <v>30981852.091639601</v>
      </c>
      <c r="H43" s="188">
        <f>+G19*H5</f>
        <v>15744206.77560949</v>
      </c>
    </row>
    <row r="44" spans="1:15" x14ac:dyDescent="0.2">
      <c r="A44" s="49" t="s">
        <v>372</v>
      </c>
      <c r="B44" s="49"/>
      <c r="C44" s="49"/>
      <c r="D44" s="188">
        <f>+D43*D7</f>
        <v>24403520.502194583</v>
      </c>
      <c r="E44" s="188">
        <f>+E43*E7</f>
        <v>19417988.829689819</v>
      </c>
      <c r="F44" s="188">
        <f>+F43*F7</f>
        <v>14250044.341624491</v>
      </c>
      <c r="G44" s="188">
        <f>+G43*G7</f>
        <v>9604374.148408277</v>
      </c>
      <c r="H44" s="188">
        <f>+H43*H7</f>
        <v>4880704.1004389413</v>
      </c>
    </row>
    <row r="45" spans="1:15" x14ac:dyDescent="0.2">
      <c r="A45" s="49"/>
      <c r="B45" s="49"/>
      <c r="C45" s="49"/>
      <c r="D45" s="185"/>
      <c r="E45" s="185"/>
      <c r="F45" s="185"/>
      <c r="G45" s="185"/>
      <c r="H45" s="185"/>
    </row>
    <row r="46" spans="1:15" x14ac:dyDescent="0.2">
      <c r="A46" s="49" t="s">
        <v>373</v>
      </c>
      <c r="B46" s="49"/>
      <c r="C46" s="188"/>
      <c r="D46" s="188">
        <f>+D18+D44</f>
        <v>435623269.7242195</v>
      </c>
      <c r="E46" s="188">
        <f>+E18+E44</f>
        <v>865523784.03239858</v>
      </c>
      <c r="F46" s="188">
        <f>+F18+F44</f>
        <v>1101691293.5635331</v>
      </c>
      <c r="G46" s="188">
        <f>+G18+G44</f>
        <v>1506334562.5732217</v>
      </c>
      <c r="H46" s="188">
        <f>+H18+H44</f>
        <v>777081508.34217346</v>
      </c>
    </row>
    <row r="47" spans="1:15" x14ac:dyDescent="0.2">
      <c r="A47" s="49" t="s">
        <v>374</v>
      </c>
      <c r="B47" s="49"/>
      <c r="C47" s="49"/>
      <c r="D47" s="49"/>
      <c r="E47" s="49"/>
      <c r="F47" s="49"/>
      <c r="G47" s="49"/>
      <c r="H47" s="49"/>
    </row>
    <row r="48" spans="1:15" x14ac:dyDescent="0.2">
      <c r="A48" s="187" t="s">
        <v>363</v>
      </c>
      <c r="B48" s="185"/>
      <c r="C48" s="467">
        <f>+(D48+D46)/(1+D12)</f>
        <v>2307389875.1347108</v>
      </c>
      <c r="D48" s="467">
        <f>+(E48+E46)/(1+E12)</f>
        <v>2444114663.9376569</v>
      </c>
      <c r="E48" s="467">
        <f>+(F48+F46)/(1+F12)</f>
        <v>2189497340.156476</v>
      </c>
      <c r="F48" s="467">
        <f>+(G48+G46)/(1+G12)</f>
        <v>1671471300.0451555</v>
      </c>
      <c r="G48" s="467">
        <f>+H46/(1+H12)</f>
        <v>603663947.75178075</v>
      </c>
      <c r="H48" s="188"/>
    </row>
    <row r="49" spans="1:8" x14ac:dyDescent="0.2">
      <c r="A49" s="49"/>
      <c r="B49" s="49"/>
      <c r="C49" s="49"/>
      <c r="D49" s="49"/>
      <c r="E49" s="49"/>
      <c r="F49" s="49"/>
      <c r="G49" s="49"/>
      <c r="H49" s="49"/>
    </row>
    <row r="50" spans="1:8" x14ac:dyDescent="0.2">
      <c r="A50" s="49" t="s">
        <v>375</v>
      </c>
      <c r="B50" s="49"/>
      <c r="C50" s="49">
        <v>1</v>
      </c>
      <c r="D50" s="185">
        <f>1/(1+D34)</f>
        <v>0.80809794625119891</v>
      </c>
      <c r="E50" s="185">
        <f>(1/(1+E34))*(D50)</f>
        <v>0.65063974184384277</v>
      </c>
      <c r="F50" s="185">
        <f>(1/(1+F34))*(E50)</f>
        <v>0.51635343952661494</v>
      </c>
      <c r="G50" s="185">
        <f>(1/(1+G34))*F50</f>
        <v>0.41090857186423535</v>
      </c>
      <c r="H50" s="185">
        <f>(1/(1+H34))*G50</f>
        <v>0.32122563107168073</v>
      </c>
    </row>
    <row r="51" spans="1:8" x14ac:dyDescent="0.2">
      <c r="A51" s="184" t="s">
        <v>400</v>
      </c>
      <c r="B51" s="49"/>
      <c r="C51" s="466">
        <f>SUMPRODUCT(D18:H18,D50:H50)</f>
        <v>2307389875.1347113</v>
      </c>
      <c r="D51" s="185"/>
      <c r="E51" s="185"/>
      <c r="F51" s="185"/>
      <c r="G51" s="185"/>
      <c r="H51" s="185"/>
    </row>
    <row r="52" spans="1:8" x14ac:dyDescent="0.2">
      <c r="A52" s="49"/>
      <c r="B52" s="49"/>
      <c r="C52" s="185"/>
      <c r="D52" s="185"/>
      <c r="E52" s="185"/>
      <c r="F52" s="185"/>
      <c r="G52" s="185"/>
      <c r="H52" s="185"/>
    </row>
    <row r="53" spans="1:8" x14ac:dyDescent="0.2">
      <c r="A53" s="421" t="s">
        <v>333</v>
      </c>
      <c r="B53" s="421"/>
      <c r="C53" s="465">
        <f>+C48+C18</f>
        <v>2187789875.1347108</v>
      </c>
      <c r="D53" s="185"/>
      <c r="E53" s="185"/>
      <c r="F53" s="185"/>
      <c r="G53" s="185"/>
      <c r="H53" s="185"/>
    </row>
    <row r="54" spans="1:8" x14ac:dyDescent="0.2">
      <c r="A54" s="182"/>
      <c r="C54" s="143"/>
      <c r="D54" s="143"/>
      <c r="E54" s="143"/>
      <c r="F54" s="143"/>
      <c r="G54" s="143"/>
      <c r="H54" s="143"/>
    </row>
    <row r="57" spans="1:8" x14ac:dyDescent="0.2">
      <c r="A57" s="337" t="s">
        <v>401</v>
      </c>
      <c r="B57" s="338"/>
      <c r="C57" s="143"/>
      <c r="D57" s="143"/>
      <c r="E57" s="143"/>
      <c r="F57" s="143"/>
      <c r="G57" s="143"/>
      <c r="H57" s="143"/>
    </row>
    <row r="58" spans="1:8" x14ac:dyDescent="0.2">
      <c r="A58" s="339" t="s">
        <v>402</v>
      </c>
      <c r="B58" s="340"/>
      <c r="D58" s="143"/>
      <c r="E58" s="143"/>
      <c r="F58" s="143"/>
      <c r="G58" s="143"/>
      <c r="H58" s="143"/>
    </row>
    <row r="59" spans="1:8" x14ac:dyDescent="0.2">
      <c r="A59" s="421" t="s">
        <v>403</v>
      </c>
      <c r="B59" s="462"/>
      <c r="C59" s="462">
        <f>+'6. ESTADOS FINANCIEROS'!C78</f>
        <v>0</v>
      </c>
      <c r="D59" s="463">
        <f>+'6. ESTADOS FINANCIEROS'!D78</f>
        <v>1068798825.6759052</v>
      </c>
      <c r="E59" s="463">
        <f>+'6. ESTADOS FINANCIEROS'!E78</f>
        <v>1767239939.4352255</v>
      </c>
      <c r="F59" s="463">
        <f>+'6. ESTADOS FINANCIEROS'!F78</f>
        <v>2667683246.4091902</v>
      </c>
      <c r="G59" s="463">
        <f>+'6. ESTADOS FINANCIEROS'!G78</f>
        <v>3955453858.5397234</v>
      </c>
      <c r="H59" s="463">
        <f>+'6. ESTADOS FINANCIEROS'!H78</f>
        <v>5762654428.6570349</v>
      </c>
    </row>
    <row r="60" spans="1:8" x14ac:dyDescent="0.2">
      <c r="A60" s="199" t="s">
        <v>404</v>
      </c>
      <c r="B60" s="185"/>
      <c r="C60" s="185">
        <f>+'6. ESTADOS FINANCIEROS'!C88</f>
        <v>0</v>
      </c>
      <c r="D60" s="185">
        <f>+'6. ESTADOS FINANCIEROS'!D88</f>
        <v>625411064.29286408</v>
      </c>
      <c r="E60" s="185">
        <f>+'6. ESTADOS FINANCIEROS'!E88</f>
        <v>733704257.00480056</v>
      </c>
      <c r="F60" s="185">
        <f>+'6. ESTADOS FINANCIEROS'!F88</f>
        <v>880090898.20463455</v>
      </c>
      <c r="G60" s="185">
        <f>+'6. ESTADOS FINANCIEROS'!G88</f>
        <v>1103552486.7263272</v>
      </c>
      <c r="H60" s="185">
        <f>+'6. ESTADOS FINANCIEROS'!H88</f>
        <v>1406471492.9724643</v>
      </c>
    </row>
    <row r="61" spans="1:8" x14ac:dyDescent="0.2">
      <c r="A61" s="421" t="s">
        <v>366</v>
      </c>
      <c r="B61" s="422"/>
      <c r="C61" s="422">
        <f>+'6. ESTADOS FINANCIEROS'!C94</f>
        <v>0</v>
      </c>
      <c r="D61" s="463">
        <f>+'6. ESTADOS FINANCIEROS'!D94</f>
        <v>443387761.38304156</v>
      </c>
      <c r="E61" s="463">
        <f>+'6. ESTADOS FINANCIEROS'!E94</f>
        <v>1033535682.4304262</v>
      </c>
      <c r="F61" s="463">
        <f>+'6. ESTADOS FINANCIEROS'!F94</f>
        <v>1787592348.2045569</v>
      </c>
      <c r="G61" s="463">
        <f>+'6. ESTADOS FINANCIEROS'!G94</f>
        <v>2851901371.8133974</v>
      </c>
      <c r="H61" s="463">
        <f>+'6. ESTADOS FINANCIEROS'!H94</f>
        <v>4356182935.6845732</v>
      </c>
    </row>
    <row r="62" spans="1:8" x14ac:dyDescent="0.2">
      <c r="A62" s="199" t="s">
        <v>405</v>
      </c>
      <c r="B62" s="49"/>
      <c r="C62" s="177" t="e">
        <f>+C60/C59</f>
        <v>#DIV/0!</v>
      </c>
      <c r="D62" s="177">
        <f t="shared" ref="D62:H62" si="0">+D60/D59</f>
        <v>0.58515321056547376</v>
      </c>
      <c r="E62" s="177">
        <f t="shared" si="0"/>
        <v>0.41516957637301799</v>
      </c>
      <c r="F62" s="177">
        <f t="shared" si="0"/>
        <v>0.32990832003359943</v>
      </c>
      <c r="G62" s="177">
        <f t="shared" si="0"/>
        <v>0.27899516116052919</v>
      </c>
      <c r="H62" s="177">
        <f t="shared" si="0"/>
        <v>0.24406660340037728</v>
      </c>
    </row>
    <row r="63" spans="1:8" x14ac:dyDescent="0.2">
      <c r="A63" s="421" t="s">
        <v>406</v>
      </c>
      <c r="B63" s="422"/>
      <c r="C63" s="464" t="e">
        <f>+C61/C59</f>
        <v>#DIV/0!</v>
      </c>
      <c r="D63" s="464">
        <f t="shared" ref="D63:H63" si="1">+D61/D59</f>
        <v>0.41484678943452657</v>
      </c>
      <c r="E63" s="464">
        <f t="shared" si="1"/>
        <v>0.58483042362698279</v>
      </c>
      <c r="F63" s="464">
        <f t="shared" si="1"/>
        <v>0.67009167996640107</v>
      </c>
      <c r="G63" s="464">
        <f t="shared" si="1"/>
        <v>0.72100483883947108</v>
      </c>
      <c r="H63" s="464">
        <f t="shared" si="1"/>
        <v>0.75593339659962311</v>
      </c>
    </row>
    <row r="64" spans="1:8" x14ac:dyDescent="0.2">
      <c r="A64" s="199"/>
      <c r="B64" s="49"/>
      <c r="C64" s="49"/>
      <c r="D64" s="185"/>
      <c r="E64" s="185"/>
      <c r="F64" s="185"/>
      <c r="G64" s="185"/>
      <c r="H64" s="185"/>
    </row>
    <row r="65" spans="1:8" x14ac:dyDescent="0.2">
      <c r="A65" s="421" t="s">
        <v>407</v>
      </c>
      <c r="B65" s="422"/>
      <c r="C65" s="422"/>
      <c r="D65" s="464">
        <f>+D26</f>
        <v>0.16883124404521163</v>
      </c>
      <c r="E65" s="464">
        <f>+E26</f>
        <v>0.1679247063286286</v>
      </c>
      <c r="F65" s="464">
        <f>+F26</f>
        <v>0.16431049457799429</v>
      </c>
      <c r="G65" s="464">
        <f>+G26</f>
        <v>0.16611521640961746</v>
      </c>
      <c r="H65" s="464">
        <f>+H26</f>
        <v>0.16883124404521163</v>
      </c>
    </row>
    <row r="66" spans="1:8" x14ac:dyDescent="0.2">
      <c r="A66" s="199" t="s">
        <v>368</v>
      </c>
      <c r="B66" s="49"/>
      <c r="C66" s="49"/>
      <c r="D66" s="185">
        <f>+(D12-D65*D62)/D63</f>
        <v>0.35979031127764838</v>
      </c>
      <c r="E66" s="185">
        <f>+(E12-E65*E62)/E63</f>
        <v>0.30817953979414742</v>
      </c>
      <c r="F66" s="185">
        <f>+(F12-F65*F62)/F63</f>
        <v>0.31692320188266232</v>
      </c>
      <c r="G66" s="185">
        <f>+(G12-G65*G62)/G63</f>
        <v>0.29960223120593704</v>
      </c>
      <c r="H66" s="185">
        <f>+(H12-H65*H62)/H63</f>
        <v>0.3255166828518285</v>
      </c>
    </row>
    <row r="67" spans="1:8" x14ac:dyDescent="0.2">
      <c r="A67" s="421"/>
      <c r="B67" s="422"/>
      <c r="C67" s="422"/>
      <c r="D67" s="463"/>
      <c r="E67" s="463"/>
      <c r="F67" s="463"/>
      <c r="G67" s="463"/>
      <c r="H67" s="463"/>
    </row>
    <row r="68" spans="1:8" x14ac:dyDescent="0.2">
      <c r="A68" s="199" t="s">
        <v>408</v>
      </c>
      <c r="B68" s="49"/>
      <c r="C68" s="49"/>
      <c r="D68" s="331">
        <f>+(D65*(1-D7)*D62)+D66*D63</f>
        <v>0.2174244352059862</v>
      </c>
      <c r="E68" s="331">
        <f>+(E65*(1-E7)*E62)+E66*E63</f>
        <v>0.22833765895140376</v>
      </c>
      <c r="F68" s="331">
        <f>+(F65*(1-F7)*F62)+F66*F63</f>
        <v>0.24977070623866407</v>
      </c>
      <c r="G68" s="331">
        <f>+(G65*(1-G7)*G62)+G66*G63</f>
        <v>0.2479929441122406</v>
      </c>
      <c r="H68" s="331">
        <f>+(H65*(1-H7)*H62)+H66*H63</f>
        <v>0.27450111883258776</v>
      </c>
    </row>
    <row r="69" spans="1:8" x14ac:dyDescent="0.2">
      <c r="A69" s="421"/>
      <c r="B69" s="422"/>
      <c r="C69" s="422"/>
      <c r="D69" s="463"/>
      <c r="E69" s="463"/>
      <c r="F69" s="463"/>
      <c r="G69" s="463"/>
      <c r="H69" s="463"/>
    </row>
    <row r="70" spans="1:8" x14ac:dyDescent="0.2">
      <c r="A70" s="199" t="s">
        <v>333</v>
      </c>
      <c r="B70" s="49"/>
      <c r="C70" s="341">
        <f>+(D18+D70)/(1+D68)</f>
        <v>2386920117.5356622</v>
      </c>
      <c r="D70" s="341">
        <f>+(E18+E70)/(1+E68)</f>
        <v>2494675126.7506347</v>
      </c>
      <c r="E70" s="341">
        <f>+(F18+F70)/(1+F68)</f>
        <v>2218197609.8344622</v>
      </c>
      <c r="F70" s="341">
        <f>+(G18+G70)/(1+G68)</f>
        <v>1684797144.197824</v>
      </c>
      <c r="G70" s="341">
        <f>+H18/(1+H68)</f>
        <v>605884759.79452407</v>
      </c>
      <c r="H70" s="185"/>
    </row>
  </sheetData>
  <phoneticPr fontId="0" type="noConversion"/>
  <pageMargins left="0.75" right="0.75" top="1" bottom="1" header="0" footer="0"/>
  <pageSetup paperSize="9" orientation="portrait" horizontalDpi="0" verticalDpi="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  <pageSetUpPr fitToPage="1"/>
  </sheetPr>
  <dimension ref="A1:T311"/>
  <sheetViews>
    <sheetView topLeftCell="A170" zoomScale="90" zoomScaleNormal="90" workbookViewId="0">
      <selection activeCell="E192" sqref="E192"/>
    </sheetView>
  </sheetViews>
  <sheetFormatPr baseColWidth="10" defaultRowHeight="12.75" x14ac:dyDescent="0.2"/>
  <cols>
    <col min="1" max="1" width="5.140625" style="235" customWidth="1"/>
    <col min="2" max="2" width="19.7109375" customWidth="1"/>
    <col min="3" max="3" width="20.28515625" customWidth="1"/>
    <col min="4" max="4" width="24" customWidth="1"/>
    <col min="5" max="5" width="18.85546875" customWidth="1"/>
    <col min="6" max="6" width="20.7109375" customWidth="1"/>
    <col min="7" max="7" width="18.28515625" customWidth="1"/>
    <col min="8" max="8" width="18.85546875" customWidth="1"/>
    <col min="9" max="9" width="23.85546875" customWidth="1"/>
    <col min="10" max="10" width="18.85546875" customWidth="1"/>
  </cols>
  <sheetData>
    <row r="1" spans="1:12" ht="23.25" customHeight="1" x14ac:dyDescent="0.2">
      <c r="A1" s="400" t="s">
        <v>639</v>
      </c>
      <c r="B1" s="36"/>
      <c r="C1" s="36"/>
      <c r="D1" s="36"/>
      <c r="E1" s="36"/>
      <c r="F1" s="36"/>
      <c r="G1" s="36"/>
    </row>
    <row r="2" spans="1:12" ht="25.5" customHeight="1" x14ac:dyDescent="0.2">
      <c r="A2" s="401"/>
      <c r="B2" s="364"/>
      <c r="C2" s="439" t="s">
        <v>640</v>
      </c>
      <c r="D2" s="439"/>
      <c r="E2" s="439"/>
      <c r="F2" s="439"/>
      <c r="G2" s="36"/>
    </row>
    <row r="3" spans="1:12" ht="19.5" customHeight="1" x14ac:dyDescent="0.2">
      <c r="A3" s="416" t="s">
        <v>114</v>
      </c>
      <c r="B3" s="36"/>
      <c r="C3" s="36"/>
      <c r="D3" s="36"/>
      <c r="E3" s="36"/>
      <c r="F3" s="36"/>
      <c r="G3" s="36"/>
    </row>
    <row r="4" spans="1:12" ht="24" customHeight="1" x14ac:dyDescent="0.2">
      <c r="A4" s="403" t="s">
        <v>115</v>
      </c>
      <c r="B4" s="36"/>
      <c r="C4" s="36"/>
      <c r="D4" s="36"/>
      <c r="E4" s="36"/>
      <c r="F4" s="36"/>
      <c r="G4" s="36"/>
    </row>
    <row r="6" spans="1:12" x14ac:dyDescent="0.2">
      <c r="D6" s="397">
        <v>1</v>
      </c>
      <c r="E6" s="397">
        <v>2</v>
      </c>
      <c r="F6" s="397">
        <v>3</v>
      </c>
      <c r="G6" s="397">
        <v>4</v>
      </c>
      <c r="H6" s="397">
        <v>5</v>
      </c>
      <c r="I6" s="1"/>
      <c r="J6" s="1"/>
      <c r="K6" s="1"/>
      <c r="L6" s="1"/>
    </row>
    <row r="8" spans="1:12" x14ac:dyDescent="0.2">
      <c r="A8" s="200" t="s">
        <v>0</v>
      </c>
      <c r="B8" s="49"/>
      <c r="C8" s="49"/>
      <c r="D8" s="49"/>
      <c r="E8" s="189"/>
      <c r="F8" s="189"/>
      <c r="G8" s="189"/>
      <c r="H8" s="189"/>
    </row>
    <row r="9" spans="1:12" x14ac:dyDescent="0.2">
      <c r="A9" s="210"/>
      <c r="B9" s="184" t="s">
        <v>593</v>
      </c>
      <c r="C9" s="49"/>
      <c r="D9" s="62">
        <f>+'3, INVENTARIO'!E23</f>
        <v>3359160000</v>
      </c>
      <c r="E9" s="62">
        <f>+'3, INVENTARIO'!F23</f>
        <v>4230022230</v>
      </c>
      <c r="F9" s="62">
        <f>+'3, INVENTARIO'!G23</f>
        <v>5464613438.1367197</v>
      </c>
      <c r="G9" s="62">
        <f>+'3, INVENTARIO'!H23</f>
        <v>7358036419.0898352</v>
      </c>
      <c r="H9" s="62">
        <f>+'3, INVENTARIO'!I23</f>
        <v>10072857536.277222</v>
      </c>
    </row>
    <row r="10" spans="1:12" x14ac:dyDescent="0.2">
      <c r="A10" s="210"/>
      <c r="B10" s="49" t="s">
        <v>116</v>
      </c>
      <c r="C10" s="62"/>
      <c r="D10" s="62">
        <f>+'3, INVENTARIO'!E112</f>
        <v>40000000</v>
      </c>
      <c r="E10" s="62">
        <f>+'3, INVENTARIO'!E116</f>
        <v>40000000</v>
      </c>
      <c r="F10" s="62">
        <f>+'3, INVENTARIO'!E120</f>
        <v>56560202.917042851</v>
      </c>
      <c r="G10" s="62">
        <f>+'3, INVENTARIO'!E124</f>
        <v>63315501.285938263</v>
      </c>
      <c r="H10" s="62">
        <f>+'3, INVENTARIO'!E128</f>
        <v>86253819.820468903</v>
      </c>
    </row>
    <row r="11" spans="1:12" x14ac:dyDescent="0.2">
      <c r="A11" s="210"/>
      <c r="B11" s="49" t="s">
        <v>117</v>
      </c>
      <c r="C11" s="49"/>
      <c r="D11" s="62">
        <f>+D9-D10</f>
        <v>3319160000</v>
      </c>
      <c r="E11" s="62">
        <f>+E9-E10</f>
        <v>4190022230</v>
      </c>
      <c r="F11" s="62">
        <f>+F9-F10</f>
        <v>5408053235.219677</v>
      </c>
      <c r="G11" s="62">
        <f>+G9-G10</f>
        <v>7294720917.8038969</v>
      </c>
      <c r="H11" s="62">
        <f>+H9-H10</f>
        <v>9986603716.4567528</v>
      </c>
    </row>
    <row r="12" spans="1:12" x14ac:dyDescent="0.2">
      <c r="A12" s="210"/>
      <c r="B12" s="49"/>
      <c r="C12" s="49"/>
      <c r="D12" s="62"/>
      <c r="E12" s="62"/>
      <c r="F12" s="62"/>
      <c r="G12" s="62"/>
      <c r="H12" s="189"/>
    </row>
    <row r="13" spans="1:12" x14ac:dyDescent="0.2">
      <c r="A13" s="200" t="s">
        <v>118</v>
      </c>
      <c r="B13" s="49"/>
      <c r="C13" s="49"/>
      <c r="D13" s="189"/>
      <c r="E13" s="189"/>
      <c r="F13" s="189"/>
      <c r="G13" s="189"/>
      <c r="H13" s="189"/>
    </row>
    <row r="14" spans="1:12" x14ac:dyDescent="0.2">
      <c r="A14" s="210"/>
      <c r="B14" s="49" t="s">
        <v>119</v>
      </c>
      <c r="C14" s="49"/>
      <c r="D14" s="189">
        <f>+'3, INVENTARIO'!K108</f>
        <v>0</v>
      </c>
      <c r="E14" s="189">
        <f>-D23</f>
        <v>100150000</v>
      </c>
      <c r="F14" s="189">
        <f>-E23</f>
        <v>100150000</v>
      </c>
      <c r="G14" s="189">
        <f>-F23</f>
        <v>122465217.84580433</v>
      </c>
      <c r="H14" s="189">
        <f>-G23</f>
        <v>137097310.7496233</v>
      </c>
    </row>
    <row r="15" spans="1:12" x14ac:dyDescent="0.2">
      <c r="A15" s="210"/>
      <c r="B15" s="49"/>
      <c r="C15" s="49"/>
      <c r="D15" s="189"/>
      <c r="E15" s="189"/>
      <c r="F15" s="189"/>
      <c r="G15" s="189"/>
      <c r="H15" s="189"/>
    </row>
    <row r="16" spans="1:12" x14ac:dyDescent="0.2">
      <c r="A16" s="210"/>
      <c r="B16" s="49" t="s">
        <v>120</v>
      </c>
      <c r="C16" s="49"/>
      <c r="D16" s="189">
        <f>+'3, INVENTARIO'!E109</f>
        <v>2459550000</v>
      </c>
      <c r="E16" s="189">
        <f>+'3, INVENTARIO'!E113</f>
        <v>2759310000</v>
      </c>
      <c r="F16" s="189">
        <f>+'3, INVENTARIO'!E117</f>
        <v>3581584380</v>
      </c>
      <c r="G16" s="189">
        <f>+'3, INVENTARIO'!E121</f>
        <v>4853763151.776</v>
      </c>
      <c r="H16" s="189">
        <f>+'3, INVENTARIO'!E125</f>
        <v>6680719602.1044874</v>
      </c>
    </row>
    <row r="17" spans="1:9" x14ac:dyDescent="0.2">
      <c r="A17" s="210"/>
      <c r="B17" s="49" t="s">
        <v>121</v>
      </c>
      <c r="C17" s="49"/>
      <c r="D17" s="189">
        <f>-'3, INVENTARIO'!H110</f>
        <v>0</v>
      </c>
      <c r="E17" s="418">
        <f>-'3, INVENTARIO'!H114</f>
        <v>-40000000</v>
      </c>
      <c r="F17" s="418">
        <f>-'3, INVENTARIO'!H118</f>
        <v>-43768572.089794032</v>
      </c>
      <c r="G17" s="418">
        <f>-'3, INVENTARIO'!H122</f>
        <v>-63315501.285938263</v>
      </c>
      <c r="H17" s="418">
        <f>-'3, INVENTARIO'!H126</f>
        <v>-102142135.54420716</v>
      </c>
    </row>
    <row r="18" spans="1:9" x14ac:dyDescent="0.2">
      <c r="A18" s="210"/>
      <c r="B18" s="49" t="s">
        <v>122</v>
      </c>
      <c r="C18" s="49"/>
      <c r="D18" s="189">
        <v>0</v>
      </c>
      <c r="E18" s="189">
        <f>+D18</f>
        <v>0</v>
      </c>
      <c r="F18" s="189">
        <f>+E18</f>
        <v>0</v>
      </c>
      <c r="G18" s="189">
        <f>+F18</f>
        <v>0</v>
      </c>
      <c r="H18" s="189">
        <f>+G18</f>
        <v>0</v>
      </c>
    </row>
    <row r="19" spans="1:9" x14ac:dyDescent="0.2">
      <c r="A19" s="210"/>
      <c r="B19" s="49" t="s">
        <v>123</v>
      </c>
      <c r="C19" s="49"/>
      <c r="D19" s="189">
        <f>SUM(D16:D18)</f>
        <v>2459550000</v>
      </c>
      <c r="E19" s="189">
        <f>SUM(E16:E18)</f>
        <v>2719310000</v>
      </c>
      <c r="F19" s="189">
        <f>SUM(F16:F18)</f>
        <v>3537815807.9102058</v>
      </c>
      <c r="G19" s="189">
        <f>SUM(G16:G18)</f>
        <v>4790447650.4900618</v>
      </c>
      <c r="H19" s="189">
        <f>SUM(H16:H18)</f>
        <v>6578577466.5602798</v>
      </c>
    </row>
    <row r="20" spans="1:9" x14ac:dyDescent="0.2">
      <c r="A20" s="210"/>
      <c r="B20" s="49"/>
      <c r="C20" s="49"/>
      <c r="D20" s="189"/>
      <c r="E20" s="189"/>
      <c r="F20" s="189"/>
      <c r="G20" s="189"/>
      <c r="H20" s="189"/>
    </row>
    <row r="21" spans="1:9" x14ac:dyDescent="0.2">
      <c r="A21" s="210"/>
      <c r="B21" s="49" t="s">
        <v>124</v>
      </c>
      <c r="C21" s="49"/>
      <c r="D21" s="189">
        <f>+D14+D19</f>
        <v>2459550000</v>
      </c>
      <c r="E21" s="189">
        <f>+E14+E19</f>
        <v>2819460000</v>
      </c>
      <c r="F21" s="189">
        <f>+F14+F19</f>
        <v>3637965807.9102058</v>
      </c>
      <c r="G21" s="189">
        <f>+G14+G19</f>
        <v>4912912868.335866</v>
      </c>
      <c r="H21" s="189">
        <f>+H14+H19</f>
        <v>6715674777.3099031</v>
      </c>
    </row>
    <row r="22" spans="1:9" x14ac:dyDescent="0.2">
      <c r="A22" s="210"/>
      <c r="B22" s="49" t="s">
        <v>125</v>
      </c>
      <c r="C22" s="49"/>
      <c r="D22" s="189"/>
      <c r="E22" s="189"/>
      <c r="F22" s="189"/>
      <c r="G22" s="189"/>
      <c r="H22" s="189"/>
    </row>
    <row r="23" spans="1:9" x14ac:dyDescent="0.2">
      <c r="A23" s="210"/>
      <c r="B23" s="49" t="s">
        <v>126</v>
      </c>
      <c r="C23" s="49"/>
      <c r="D23" s="418">
        <f>-'3, INVENTARIO'!K112</f>
        <v>-100150000</v>
      </c>
      <c r="E23" s="418">
        <f>-'3, INVENTARIO'!K116</f>
        <v>-100150000</v>
      </c>
      <c r="F23" s="418">
        <f>-'3, INVENTARIO'!K120</f>
        <v>-122465217.84580433</v>
      </c>
      <c r="G23" s="418">
        <f>-'3, INVENTARIO'!K124</f>
        <v>-137097310.7496233</v>
      </c>
      <c r="H23" s="418">
        <f>-'3, INVENTARIO'!K128</f>
        <v>-136461893.78560734</v>
      </c>
    </row>
    <row r="24" spans="1:9" x14ac:dyDescent="0.2">
      <c r="A24" s="210"/>
      <c r="B24" s="49"/>
      <c r="C24" s="49"/>
      <c r="D24" s="189"/>
      <c r="E24" s="189"/>
      <c r="F24" s="189"/>
      <c r="G24" s="189"/>
      <c r="H24" s="189"/>
    </row>
    <row r="25" spans="1:9" x14ac:dyDescent="0.2">
      <c r="A25" s="210"/>
      <c r="B25" s="49" t="s">
        <v>311</v>
      </c>
      <c r="C25" s="49"/>
      <c r="D25" s="189">
        <f>SUM(D21:D24)</f>
        <v>2359400000</v>
      </c>
      <c r="E25" s="189">
        <f>SUM(E21:E24)</f>
        <v>2719310000</v>
      </c>
      <c r="F25" s="189">
        <f>SUM(F21:F24)</f>
        <v>3515500590.0644016</v>
      </c>
      <c r="G25" s="189">
        <f>SUM(G21:G24)</f>
        <v>4775815557.5862427</v>
      </c>
      <c r="H25" s="189">
        <f>SUM(H21:H24)</f>
        <v>6579212883.5242958</v>
      </c>
    </row>
    <row r="26" spans="1:9" x14ac:dyDescent="0.2">
      <c r="A26" s="210"/>
      <c r="B26" s="49"/>
      <c r="C26" s="49"/>
      <c r="D26" s="189">
        <f>+D25-('3, INVENTARIO'!H111-'3, INVENTARIO'!E112)</f>
        <v>0</v>
      </c>
      <c r="E26" s="189">
        <f>+E25-('3, INVENTARIO'!$H$115-'3, INVENTARIO'!$E$116)</f>
        <v>0</v>
      </c>
      <c r="F26" s="189">
        <f>+F25-('3, INVENTARIO'!$H$119-'3, INVENTARIO'!$E$120)</f>
        <v>0</v>
      </c>
      <c r="G26" s="189">
        <f>+G25-('3, INVENTARIO'!$H$123-'3, INVENTARIO'!$E$124)</f>
        <v>0</v>
      </c>
      <c r="H26" s="189">
        <f>+H25-('3, INVENTARIO'!$H$127-'3, INVENTARIO'!$E$128)</f>
        <v>0</v>
      </c>
    </row>
    <row r="27" spans="1:9" x14ac:dyDescent="0.2">
      <c r="A27" s="210"/>
      <c r="B27" s="49" t="s">
        <v>312</v>
      </c>
      <c r="C27" s="49"/>
      <c r="D27" s="189">
        <f>+'4. COSTOS'!B102</f>
        <v>26813475</v>
      </c>
      <c r="E27" s="189">
        <f>+'4. COSTOS'!C102</f>
        <v>33764868.393749997</v>
      </c>
      <c r="F27" s="189">
        <f>+'4. COSTOS'!D102</f>
        <v>43619617.942623444</v>
      </c>
      <c r="G27" s="189">
        <f>+'4. COSTOS'!E102</f>
        <v>58733292.124327153</v>
      </c>
      <c r="H27" s="189">
        <f>+'4. COSTOS'!F102</f>
        <v>80403527.586518899</v>
      </c>
      <c r="I27" s="31">
        <f>SUM(D27:D30)</f>
        <v>155509001.40000001</v>
      </c>
    </row>
    <row r="28" spans="1:9" x14ac:dyDescent="0.2">
      <c r="A28" s="210"/>
      <c r="B28" s="49" t="s">
        <v>314</v>
      </c>
      <c r="C28" s="49"/>
      <c r="D28" s="189">
        <f>+'4. COSTOS'!B101</f>
        <v>1800000</v>
      </c>
      <c r="E28" s="189">
        <f>+'4. COSTOS'!C101</f>
        <v>2173500</v>
      </c>
      <c r="F28" s="189">
        <f>+'4. COSTOS'!D101</f>
        <v>2687837.04</v>
      </c>
      <c r="G28" s="189">
        <f>+'4. COSTOS'!E101</f>
        <v>3408392.3936831998</v>
      </c>
      <c r="H28" s="189">
        <f>+'4. COSTOS'!F101</f>
        <v>4437726.8965755263</v>
      </c>
    </row>
    <row r="29" spans="1:9" x14ac:dyDescent="0.2">
      <c r="A29" s="210"/>
      <c r="B29" s="49" t="s">
        <v>650</v>
      </c>
      <c r="C29" s="49"/>
      <c r="D29" s="189">
        <f>+'4. COSTOS'!B105</f>
        <v>4060000</v>
      </c>
      <c r="E29" s="189">
        <f>+'4. COSTOS'!C105</f>
        <v>4667985</v>
      </c>
      <c r="F29" s="189">
        <f>+'4. COSTOS'!D105</f>
        <v>5417140.5766800009</v>
      </c>
      <c r="G29" s="189">
        <f>+'4. COSTOS'!E105</f>
        <v>6450167.6160905706</v>
      </c>
      <c r="H29" s="189">
        <f>+'4. COSTOS'!F105</f>
        <v>7690663.8520171102</v>
      </c>
    </row>
    <row r="30" spans="1:9" x14ac:dyDescent="0.2">
      <c r="A30" s="210"/>
      <c r="B30" s="49" t="s">
        <v>310</v>
      </c>
      <c r="C30" s="49"/>
      <c r="D30" s="189">
        <f>+'4. COSTOS'!B110</f>
        <v>122835526.40000001</v>
      </c>
      <c r="E30" s="189">
        <f>+'4. COSTOS'!C110</f>
        <v>137990138.9192</v>
      </c>
      <c r="F30" s="189">
        <f>+'4. COSTOS'!D110</f>
        <v>157362751.28093365</v>
      </c>
      <c r="G30" s="189">
        <f>+'4. COSTOS'!E110</f>
        <v>185441307.27337599</v>
      </c>
      <c r="H30" s="189">
        <f>+'4. COSTOS'!F110</f>
        <v>222790912.37195519</v>
      </c>
    </row>
    <row r="31" spans="1:9" x14ac:dyDescent="0.2">
      <c r="A31" s="210"/>
      <c r="B31" s="49" t="s">
        <v>651</v>
      </c>
      <c r="C31" s="49"/>
      <c r="D31" s="189">
        <f>SUM(D25:D30)</f>
        <v>2514909001.4000001</v>
      </c>
      <c r="E31" s="189">
        <f>SUM(E25:E30)</f>
        <v>2897906492.3129501</v>
      </c>
      <c r="F31" s="189">
        <f>SUM(F25:F30)</f>
        <v>3724587936.9046392</v>
      </c>
      <c r="G31" s="189">
        <f>SUM(G25:G30)</f>
        <v>5029848716.9937191</v>
      </c>
      <c r="H31" s="189">
        <f>SUM(H25:H30)</f>
        <v>6894535714.2313633</v>
      </c>
    </row>
    <row r="32" spans="1:9" x14ac:dyDescent="0.2">
      <c r="A32" s="210"/>
      <c r="B32" s="49"/>
      <c r="C32" s="49"/>
      <c r="D32" s="49"/>
      <c r="E32" s="49"/>
      <c r="F32" s="49"/>
      <c r="G32" s="49"/>
      <c r="H32" s="49"/>
    </row>
    <row r="33" spans="1:8" x14ac:dyDescent="0.2">
      <c r="A33" s="210" t="s">
        <v>127</v>
      </c>
      <c r="B33" s="49"/>
      <c r="C33" s="49"/>
      <c r="D33" s="189">
        <f>+D11-D31</f>
        <v>804250998.5999999</v>
      </c>
      <c r="E33" s="189">
        <f>+E11-E31</f>
        <v>1292115737.6870499</v>
      </c>
      <c r="F33" s="189">
        <f>+F11-F31</f>
        <v>1683465298.3150377</v>
      </c>
      <c r="G33" s="189">
        <f>+G11-G31</f>
        <v>2264872200.8101778</v>
      </c>
      <c r="H33" s="189">
        <f>+H11-H31</f>
        <v>3092068002.2253895</v>
      </c>
    </row>
    <row r="34" spans="1:8" x14ac:dyDescent="0.2">
      <c r="A34" s="210"/>
      <c r="B34" s="49"/>
      <c r="C34" s="49"/>
      <c r="D34" s="189"/>
      <c r="E34" s="189"/>
      <c r="F34" s="189"/>
      <c r="G34" s="189"/>
      <c r="H34" s="189"/>
    </row>
    <row r="35" spans="1:8" x14ac:dyDescent="0.2">
      <c r="A35" s="210" t="s">
        <v>318</v>
      </c>
      <c r="B35" s="49"/>
      <c r="C35" s="49"/>
      <c r="D35" s="189">
        <f>SUM(D36:D39)</f>
        <v>73498520</v>
      </c>
      <c r="E35" s="189">
        <f>SUM(E36:E39)</f>
        <v>84393128.300000012</v>
      </c>
      <c r="F35" s="189">
        <f>SUM(F36:F39)</f>
        <v>98807422.672196776</v>
      </c>
      <c r="G35" s="189">
        <f>SUM(G36:G39)</f>
        <v>120115562.76180857</v>
      </c>
      <c r="H35" s="189">
        <f>SUM(H36:H39)</f>
        <v>149665975.35220411</v>
      </c>
    </row>
    <row r="36" spans="1:8" x14ac:dyDescent="0.2">
      <c r="A36" s="210"/>
      <c r="B36" s="49" t="s">
        <v>128</v>
      </c>
      <c r="C36" s="49"/>
      <c r="D36" s="189">
        <f>+'4. COSTOS'!B127</f>
        <v>36514920</v>
      </c>
      <c r="E36" s="189">
        <f>+'4. COSTOS'!C127</f>
        <v>38340666</v>
      </c>
      <c r="F36" s="189">
        <f>+'4. COSTOS'!D127</f>
        <v>40181017.968000002</v>
      </c>
      <c r="G36" s="189">
        <f>+'4. COSTOS'!E127</f>
        <v>42109706.830464005</v>
      </c>
      <c r="H36" s="189">
        <f>+'4. COSTOS'!F127</f>
        <v>44215192.171987206</v>
      </c>
    </row>
    <row r="37" spans="1:8" x14ac:dyDescent="0.2">
      <c r="A37" s="210"/>
      <c r="B37" s="49" t="s">
        <v>316</v>
      </c>
      <c r="C37" s="49"/>
      <c r="D37" s="189">
        <f>+'4. COSTOS'!B128</f>
        <v>33191600</v>
      </c>
      <c r="E37" s="189">
        <f>+'4. COSTOS'!C128</f>
        <v>41900222.300000004</v>
      </c>
      <c r="F37" s="189">
        <f>+'4. COSTOS'!D128</f>
        <v>54080532.352196768</v>
      </c>
      <c r="G37" s="189">
        <f>+'4. COSTOS'!E128</f>
        <v>72947209.17803897</v>
      </c>
      <c r="H37" s="189">
        <f>+'4. COSTOS'!F128</f>
        <v>99866037.16456753</v>
      </c>
    </row>
    <row r="38" spans="1:8" x14ac:dyDescent="0.2">
      <c r="A38" s="210"/>
      <c r="B38" s="49" t="s">
        <v>317</v>
      </c>
      <c r="C38" s="49"/>
      <c r="D38" s="189">
        <f>+'4. COSTOS'!B129</f>
        <v>3792000</v>
      </c>
      <c r="E38" s="189">
        <f>+'4. COSTOS'!C129</f>
        <v>4152240</v>
      </c>
      <c r="F38" s="189">
        <f>+'4. COSTOS'!D129</f>
        <v>4545872.352</v>
      </c>
      <c r="G38" s="189">
        <f>+'4. COSTOS'!E129</f>
        <v>5058646.7533056</v>
      </c>
      <c r="H38" s="189">
        <f>+'4. COSTOS'!F129</f>
        <v>5584746.015649383</v>
      </c>
    </row>
    <row r="39" spans="1:8" x14ac:dyDescent="0.2">
      <c r="A39" s="210"/>
      <c r="B39" s="49"/>
      <c r="C39" s="49"/>
      <c r="D39" s="189"/>
      <c r="E39" s="189"/>
      <c r="F39" s="189"/>
      <c r="G39" s="189"/>
      <c r="H39" s="189"/>
    </row>
    <row r="40" spans="1:8" x14ac:dyDescent="0.2">
      <c r="A40" s="210" t="s">
        <v>129</v>
      </c>
      <c r="B40" s="49"/>
      <c r="C40" s="49"/>
      <c r="D40" s="189">
        <f>SUM(D41:D45)</f>
        <v>150431284.21052632</v>
      </c>
      <c r="E40" s="189">
        <f>SUM(E41:E45)</f>
        <v>164617756.21052632</v>
      </c>
      <c r="F40" s="189">
        <f>SUM(F41:F45)</f>
        <v>180119239.49928421</v>
      </c>
      <c r="G40" s="189">
        <f>SUM(G41:G45)</f>
        <v>200312609.71480346</v>
      </c>
      <c r="H40" s="189">
        <f>SUM(H41:H45)</f>
        <v>221030721.12514305</v>
      </c>
    </row>
    <row r="41" spans="1:8" x14ac:dyDescent="0.2">
      <c r="A41" s="210"/>
      <c r="B41" s="49" t="s">
        <v>128</v>
      </c>
      <c r="C41" s="49"/>
      <c r="D41" s="189">
        <f>+'4. COSTOS'!B120</f>
        <v>146175284.21052632</v>
      </c>
      <c r="E41" s="189">
        <f>+'4. COSTOS'!C120</f>
        <v>160061936.21052632</v>
      </c>
      <c r="F41" s="189">
        <f>+'4. COSTOS'!D120</f>
        <v>175235807.76328421</v>
      </c>
      <c r="G41" s="189">
        <f>+'4. COSTOS'!E120</f>
        <v>195002406.87898266</v>
      </c>
      <c r="H41" s="189">
        <f>+'4. COSTOS'!F120</f>
        <v>215282657.19439688</v>
      </c>
    </row>
    <row r="42" spans="1:8" x14ac:dyDescent="0.2">
      <c r="A42" s="210"/>
      <c r="B42" s="184" t="s">
        <v>603</v>
      </c>
      <c r="C42" s="49"/>
      <c r="D42" s="189">
        <f>+'4. COSTOS'!B121</f>
        <v>1100000</v>
      </c>
      <c r="E42" s="189">
        <f>+'4. COSTOS'!C121</f>
        <v>1100000</v>
      </c>
      <c r="F42" s="189">
        <f>+'4. COSTOS'!D121</f>
        <v>1100000</v>
      </c>
      <c r="G42" s="189">
        <f>+'4. COSTOS'!E121</f>
        <v>1100000</v>
      </c>
      <c r="H42" s="189">
        <f>+'4. COSTOS'!F121</f>
        <v>1100000</v>
      </c>
    </row>
    <row r="43" spans="1:8" x14ac:dyDescent="0.2">
      <c r="A43" s="210"/>
      <c r="B43" s="49" t="s">
        <v>320</v>
      </c>
      <c r="C43" s="49"/>
      <c r="D43" s="189">
        <f>+'4. COSTOS'!B122</f>
        <v>0</v>
      </c>
      <c r="E43" s="189">
        <f>+'4. COSTOS'!C122</f>
        <v>0</v>
      </c>
      <c r="F43" s="189">
        <f>+'4. COSTOS'!D122</f>
        <v>0</v>
      </c>
      <c r="G43" s="189">
        <f>+'4. COSTOS'!E122</f>
        <v>0</v>
      </c>
      <c r="H43" s="189">
        <f>+'4. COSTOS'!F122</f>
        <v>0</v>
      </c>
    </row>
    <row r="44" spans="1:8" x14ac:dyDescent="0.2">
      <c r="A44" s="210"/>
      <c r="B44" s="49" t="s">
        <v>319</v>
      </c>
      <c r="C44" s="49"/>
      <c r="D44" s="189">
        <f>+'4. COSTOS'!B123</f>
        <v>0</v>
      </c>
      <c r="E44" s="189">
        <f>+'4. COSTOS'!C123</f>
        <v>0</v>
      </c>
      <c r="F44" s="189">
        <f>+'4. COSTOS'!D123</f>
        <v>0</v>
      </c>
      <c r="G44" s="189">
        <f>+'4. COSTOS'!E123</f>
        <v>0</v>
      </c>
      <c r="H44" s="189">
        <f>+'4. COSTOS'!F123</f>
        <v>0</v>
      </c>
    </row>
    <row r="45" spans="1:8" x14ac:dyDescent="0.2">
      <c r="A45" s="210"/>
      <c r="B45" s="49" t="s">
        <v>317</v>
      </c>
      <c r="C45" s="49"/>
      <c r="D45" s="189">
        <f>+'4. COSTOS'!B124</f>
        <v>3156000</v>
      </c>
      <c r="E45" s="189">
        <f>+'4. COSTOS'!C124</f>
        <v>3455820</v>
      </c>
      <c r="F45" s="189">
        <f>+'4. COSTOS'!D124</f>
        <v>3783431.736</v>
      </c>
      <c r="G45" s="189">
        <f>+'4. COSTOS'!E124</f>
        <v>4210202.8358207997</v>
      </c>
      <c r="H45" s="189">
        <f>+'4. COSTOS'!F124</f>
        <v>4648063.9307461632</v>
      </c>
    </row>
    <row r="46" spans="1:8" x14ac:dyDescent="0.2">
      <c r="A46" s="210"/>
      <c r="B46" s="49"/>
      <c r="C46" s="49"/>
      <c r="D46" s="189"/>
      <c r="E46" s="189"/>
      <c r="F46" s="189"/>
      <c r="G46" s="189"/>
      <c r="H46" s="189"/>
    </row>
    <row r="47" spans="1:8" x14ac:dyDescent="0.2">
      <c r="A47" s="210" t="s">
        <v>130</v>
      </c>
      <c r="B47" s="49"/>
      <c r="C47" s="49"/>
      <c r="D47" s="189">
        <f>+D33-D35-D40</f>
        <v>580321194.38947356</v>
      </c>
      <c r="E47" s="189">
        <f>+E33-E35-E40</f>
        <v>1043104853.1765236</v>
      </c>
      <c r="F47" s="189">
        <f>+F33-F35-F40</f>
        <v>1404538636.1435566</v>
      </c>
      <c r="G47" s="189">
        <f>+G33-G35-G40</f>
        <v>1944444028.3335657</v>
      </c>
      <c r="H47" s="189">
        <f>+H33-H35-H40</f>
        <v>2721371305.7480421</v>
      </c>
    </row>
    <row r="48" spans="1:8" x14ac:dyDescent="0.2">
      <c r="A48" s="210"/>
      <c r="B48" s="49"/>
      <c r="C48" s="49"/>
      <c r="D48" s="189"/>
      <c r="E48" s="189"/>
      <c r="F48" s="189"/>
      <c r="G48" s="189"/>
      <c r="H48" s="189"/>
    </row>
    <row r="49" spans="1:9" x14ac:dyDescent="0.2">
      <c r="A49" s="210" t="s">
        <v>131</v>
      </c>
      <c r="B49" s="49"/>
      <c r="C49" s="49"/>
      <c r="D49" s="189"/>
      <c r="E49" s="189"/>
      <c r="F49" s="189"/>
      <c r="G49" s="189"/>
      <c r="H49" s="189"/>
    </row>
    <row r="50" spans="1:9" s="235" customFormat="1" x14ac:dyDescent="0.2">
      <c r="A50" s="210"/>
      <c r="B50" s="200" t="s">
        <v>332</v>
      </c>
      <c r="C50" s="200"/>
      <c r="D50" s="414">
        <v>0.04</v>
      </c>
      <c r="E50" s="414">
        <v>0.04</v>
      </c>
      <c r="F50" s="414">
        <v>0.04</v>
      </c>
      <c r="G50" s="414">
        <v>0.04</v>
      </c>
      <c r="H50" s="414">
        <v>0.04</v>
      </c>
      <c r="I50" s="413" t="s">
        <v>393</v>
      </c>
    </row>
    <row r="51" spans="1:9" x14ac:dyDescent="0.2">
      <c r="A51" s="210"/>
      <c r="B51" s="187" t="s">
        <v>132</v>
      </c>
      <c r="C51" s="49"/>
      <c r="D51" s="189">
        <f>IF(+(((D11-D21-D27-D28-D29-D30-D35-D53+'4. COSTOS'!B111+'4. COSTOS'!B121+'4. COSTOS'!E91-'6. ESTADOS FINANCIEROS'!E146)/2)*D50)&lt;0,0,((D11-D21-D27-D28-D29-D30-D35-D53+'4. COSTOS'!B111+'4. COSTOS'!B121+'4. COSTOS'!E91-'6. ESTADOS FINANCIEROS'!E146)/2)*D50)</f>
        <v>10253711.304962721</v>
      </c>
      <c r="E51" s="189">
        <f>IF(+(((E11-E21-E27-E28-E29-E30-E35-E53+'4. COSTOS'!C111+'4. COSTOS'!C121+'4. COSTOS'!F91-'6. ESTADOS FINANCIEROS'!F146)/2)*E50)&lt;0,0,((E11-E21-E27-E28-E29-E30-E35-E53+'4. COSTOS'!C111+'4. COSTOS'!C121+'4. COSTOS'!F91-'6. ESTADOS FINANCIEROS'!F146)/2)*E50)</f>
        <v>20082279.660345566</v>
      </c>
      <c r="F51" s="189">
        <f>IF(+(((F11-F21-F27-F28-F29-F30-F35-F53+'4. COSTOS'!D111+'4. COSTOS'!D121+'4. COSTOS'!G91-'6. ESTADOS FINANCIEROS'!G146)/2)*F50)&lt;0,0,((F11-F21-F27-F28-F29-F30-F35-F53+'4. COSTOS'!D111+'4. COSTOS'!D121+'4. COSTOS'!G91-'6. ESTADOS FINANCIEROS'!G146)/2)*F50)</f>
        <v>27471619.367823858</v>
      </c>
      <c r="G51" s="189">
        <f>IF(+(((G11-G21-G27-G28-G29-G30-G35-G53+'4. COSTOS'!E111+'4. COSTOS'!E121+'4. COSTOS'!H91-'6. ESTADOS FINANCIEROS'!H146)/2)*G50)&lt;0,0,((G11-G21-G27-G28-G29-G30-G35-G53+'4. COSTOS'!E111+'4. COSTOS'!E121+'4. COSTOS'!H91-'6. ESTADOS FINANCIEROS'!H146)/2)*G50)</f>
        <v>38654038.848498449</v>
      </c>
      <c r="H51" s="189">
        <f>IF(+(((H11-H21-H27-H28-H29-H30-H35-H53+'4. COSTOS'!F111+'4. COSTOS'!F121+'4. COSTOS'!I91-'6. ESTADOS FINANCIEROS'!I146)/2)*H50)&lt;0,0,((H11-H21-H27-H28-H29-H30-H35-H53+'4. COSTOS'!F111+'4. COSTOS'!F121+'4. COSTOS'!I91-'6. ESTADOS FINANCIEROS'!I146)/2)*H50)</f>
        <v>54897519.749169141</v>
      </c>
    </row>
    <row r="52" spans="1:9" x14ac:dyDescent="0.2">
      <c r="A52" s="210" t="s">
        <v>133</v>
      </c>
      <c r="B52" s="49"/>
      <c r="C52" s="49"/>
      <c r="D52" s="189"/>
      <c r="E52" s="189"/>
      <c r="F52" s="189"/>
      <c r="G52" s="189"/>
      <c r="H52" s="189"/>
    </row>
    <row r="53" spans="1:9" x14ac:dyDescent="0.2">
      <c r="A53" s="210"/>
      <c r="B53" s="49" t="s">
        <v>134</v>
      </c>
      <c r="C53" s="49"/>
      <c r="D53" s="189">
        <f>+'9. PRESTAMO'!M23</f>
        <v>64551580.018530712</v>
      </c>
      <c r="E53" s="189">
        <f>+'9. PRESTAMO'!M35</f>
        <v>50093293.036438495</v>
      </c>
      <c r="F53" s="189">
        <f>+'9. PRESTAMO'!M46</f>
        <v>35246356.072511122</v>
      </c>
      <c r="G53" s="189">
        <f>+'9. PRESTAMO'!M58</f>
        <v>21592051.540489238</v>
      </c>
      <c r="H53" s="189">
        <f>+'9. PRESTAMO'!M71</f>
        <v>7698812.2957881354</v>
      </c>
      <c r="I53" s="18"/>
    </row>
    <row r="54" spans="1:9" x14ac:dyDescent="0.2">
      <c r="A54" s="210"/>
      <c r="B54" s="49"/>
      <c r="C54" s="49"/>
      <c r="D54" s="189"/>
      <c r="E54" s="189"/>
      <c r="F54" s="189"/>
      <c r="G54" s="189"/>
      <c r="H54" s="49"/>
    </row>
    <row r="55" spans="1:9" x14ac:dyDescent="0.2">
      <c r="A55" s="200" t="s">
        <v>135</v>
      </c>
      <c r="B55" s="49"/>
      <c r="C55" s="49"/>
      <c r="D55" s="417">
        <f>+D47+D51-D53</f>
        <v>526023325.67590559</v>
      </c>
      <c r="E55" s="417">
        <f>+E47+E51-E53</f>
        <v>1013093839.8004307</v>
      </c>
      <c r="F55" s="417">
        <f>+F47+F51-F53</f>
        <v>1396763899.4388692</v>
      </c>
      <c r="G55" s="417">
        <f>+G47+G51-G53</f>
        <v>1961506015.6415749</v>
      </c>
      <c r="H55" s="417">
        <f>+H47+H51-H53</f>
        <v>2768570013.2014232</v>
      </c>
    </row>
    <row r="56" spans="1:9" x14ac:dyDescent="0.2">
      <c r="A56" s="210"/>
      <c r="B56" s="49"/>
      <c r="C56" s="49"/>
      <c r="D56" s="189"/>
      <c r="E56" s="189"/>
      <c r="F56" s="189"/>
      <c r="G56" s="189"/>
      <c r="H56" s="49"/>
    </row>
    <row r="57" spans="1:9" x14ac:dyDescent="0.2">
      <c r="A57" s="210" t="s">
        <v>136</v>
      </c>
      <c r="B57" s="49"/>
      <c r="C57" s="49"/>
      <c r="D57" s="189">
        <f>+D55*('3, INVENTARIO'!D25)</f>
        <v>163067230.95953074</v>
      </c>
      <c r="E57" s="189">
        <f>+E55*('3, INVENTARIO'!E25)</f>
        <v>314059090.33813351</v>
      </c>
      <c r="F57" s="189">
        <f>+F55*('3, INVENTARIO'!F25)</f>
        <v>432996808.82604945</v>
      </c>
      <c r="G57" s="189">
        <f>+G55*('3, INVENTARIO'!G25)</f>
        <v>608066864.84888816</v>
      </c>
      <c r="H57" s="189">
        <f>+H55*('3, INVENTARIO'!H25)</f>
        <v>858256704.0924412</v>
      </c>
    </row>
    <row r="58" spans="1:9" x14ac:dyDescent="0.2">
      <c r="A58" s="210"/>
      <c r="B58" s="49"/>
      <c r="C58" s="49"/>
      <c r="D58" s="189"/>
      <c r="E58" s="189"/>
      <c r="F58" s="189"/>
      <c r="G58" s="189"/>
      <c r="H58" s="49"/>
    </row>
    <row r="59" spans="1:9" ht="15" x14ac:dyDescent="0.25">
      <c r="A59" s="404" t="s">
        <v>137</v>
      </c>
      <c r="B59" s="199"/>
      <c r="C59" s="199"/>
      <c r="D59" s="415">
        <f>+D55-D57</f>
        <v>362956094.71637487</v>
      </c>
      <c r="E59" s="415">
        <f>+E55-E57</f>
        <v>699034749.4622972</v>
      </c>
      <c r="F59" s="415">
        <f>+F55-F57</f>
        <v>963767090.61281979</v>
      </c>
      <c r="G59" s="415">
        <f>+G55-G57</f>
        <v>1353439150.7926867</v>
      </c>
      <c r="H59" s="415">
        <f>+H55-H57</f>
        <v>1910313309.1089821</v>
      </c>
    </row>
    <row r="60" spans="1:9" ht="15" x14ac:dyDescent="0.25">
      <c r="A60" s="405"/>
      <c r="D60" s="31"/>
      <c r="E60" s="31"/>
      <c r="F60" s="31"/>
      <c r="G60" s="31"/>
      <c r="H60" s="31"/>
    </row>
    <row r="61" spans="1:9" ht="15.75" x14ac:dyDescent="0.2">
      <c r="A61" s="406" t="s">
        <v>639</v>
      </c>
      <c r="B61" s="36"/>
      <c r="C61" s="36"/>
      <c r="D61" s="36"/>
      <c r="E61" s="36"/>
      <c r="F61" s="36"/>
      <c r="G61" s="36"/>
    </row>
    <row r="62" spans="1:9" ht="14.25" x14ac:dyDescent="0.2">
      <c r="A62" s="407" t="s">
        <v>638</v>
      </c>
      <c r="B62" s="36"/>
      <c r="C62" s="36"/>
      <c r="D62" s="36"/>
      <c r="E62" s="36"/>
      <c r="F62" s="36"/>
      <c r="G62" s="36"/>
    </row>
    <row r="63" spans="1:9" x14ac:dyDescent="0.2">
      <c r="A63" s="402" t="s">
        <v>138</v>
      </c>
      <c r="B63" s="36"/>
      <c r="C63" s="36"/>
      <c r="D63" s="36"/>
      <c r="E63" s="36"/>
      <c r="F63" s="36"/>
      <c r="G63" s="36"/>
    </row>
    <row r="64" spans="1:9" x14ac:dyDescent="0.2">
      <c r="A64" s="403" t="s">
        <v>115</v>
      </c>
      <c r="B64" s="36"/>
      <c r="C64" s="36"/>
      <c r="D64" s="36"/>
      <c r="E64" s="36"/>
      <c r="F64" s="36"/>
      <c r="G64" s="36"/>
    </row>
    <row r="65" spans="1:8" x14ac:dyDescent="0.2">
      <c r="D65" s="31"/>
    </row>
    <row r="66" spans="1:8" x14ac:dyDescent="0.2">
      <c r="D66" s="1"/>
      <c r="E66" s="1"/>
      <c r="F66" s="1"/>
      <c r="G66" s="1"/>
      <c r="H66" s="1"/>
    </row>
    <row r="67" spans="1:8" ht="15" x14ac:dyDescent="0.25">
      <c r="A67" s="429" t="s">
        <v>139</v>
      </c>
      <c r="B67" s="422"/>
      <c r="C67" s="422"/>
      <c r="D67" s="431">
        <v>1</v>
      </c>
      <c r="E67" s="431">
        <v>2</v>
      </c>
      <c r="F67" s="431">
        <v>3</v>
      </c>
      <c r="G67" s="431">
        <v>4</v>
      </c>
      <c r="H67" s="431">
        <v>5</v>
      </c>
    </row>
    <row r="68" spans="1:8" x14ac:dyDescent="0.2">
      <c r="A68" s="210"/>
      <c r="B68" s="49"/>
      <c r="C68" s="49"/>
      <c r="D68" s="49"/>
      <c r="E68" s="49"/>
      <c r="F68" s="49"/>
      <c r="G68" s="49"/>
      <c r="H68" s="49"/>
    </row>
    <row r="69" spans="1:8" x14ac:dyDescent="0.2">
      <c r="A69" s="210" t="s">
        <v>140</v>
      </c>
      <c r="B69" s="49"/>
      <c r="C69" s="49"/>
      <c r="D69" s="62">
        <f>+E152</f>
        <v>584892159.00923872</v>
      </c>
      <c r="E69" s="62">
        <f>+F152</f>
        <v>1223201420.268559</v>
      </c>
      <c r="F69" s="62">
        <f>+G152</f>
        <v>2012266925.6284122</v>
      </c>
      <c r="G69" s="62">
        <f>+H152</f>
        <v>3140623137.9731092</v>
      </c>
      <c r="H69" s="62">
        <f>+I152</f>
        <v>4736575558.5000324</v>
      </c>
    </row>
    <row r="70" spans="1:8" x14ac:dyDescent="0.2">
      <c r="A70" s="210" t="s">
        <v>141</v>
      </c>
      <c r="B70" s="49"/>
      <c r="C70" s="49"/>
      <c r="D70" s="62">
        <f>+F106</f>
        <v>276596666.66666651</v>
      </c>
      <c r="E70" s="62">
        <f>+G107</f>
        <v>349168519.16666651</v>
      </c>
      <c r="F70" s="62">
        <f>+H108</f>
        <v>450671102.93497372</v>
      </c>
      <c r="G70" s="62">
        <f>+I109</f>
        <v>607893409.81699085</v>
      </c>
      <c r="H70" s="62">
        <f>+J110</f>
        <v>832216976.37139511</v>
      </c>
    </row>
    <row r="71" spans="1:8" x14ac:dyDescent="0.2">
      <c r="A71" s="210" t="s">
        <v>142</v>
      </c>
      <c r="B71" s="49"/>
      <c r="C71" s="49"/>
      <c r="D71" s="62">
        <f>-D23</f>
        <v>100150000</v>
      </c>
      <c r="E71" s="62">
        <f>-E23</f>
        <v>100150000</v>
      </c>
      <c r="F71" s="62">
        <f>-F23</f>
        <v>122465217.84580433</v>
      </c>
      <c r="G71" s="62">
        <f>-G23</f>
        <v>137097310.7496233</v>
      </c>
      <c r="H71" s="62">
        <f>-H23</f>
        <v>136461893.78560734</v>
      </c>
    </row>
    <row r="72" spans="1:8" x14ac:dyDescent="0.2">
      <c r="A72" s="210" t="s">
        <v>143</v>
      </c>
      <c r="B72" s="49"/>
      <c r="C72" s="62"/>
      <c r="D72" s="62">
        <f>+'2. INVERSION'!B51-'4. COSTOS'!B116</f>
        <v>4340000</v>
      </c>
      <c r="E72" s="62">
        <f>+D72-'4. COSTOS'!C116</f>
        <v>2880000</v>
      </c>
      <c r="F72" s="62">
        <f>+E72-'4. COSTOS'!D116</f>
        <v>1420000</v>
      </c>
      <c r="G72" s="62">
        <f>+F72-'4. COSTOS'!E116</f>
        <v>-40000</v>
      </c>
      <c r="H72" s="62">
        <f>+G72-'4. COSTOS'!F116</f>
        <v>-1500000</v>
      </c>
    </row>
    <row r="73" spans="1:8" x14ac:dyDescent="0.2">
      <c r="A73" s="210" t="s">
        <v>343</v>
      </c>
      <c r="B73" s="49"/>
      <c r="C73" s="62"/>
      <c r="D73" s="62">
        <f>+E150</f>
        <v>0</v>
      </c>
      <c r="E73" s="62">
        <f>+F150</f>
        <v>0</v>
      </c>
      <c r="F73" s="62">
        <f>+G150</f>
        <v>0</v>
      </c>
      <c r="G73" s="62">
        <f>+H150</f>
        <v>0</v>
      </c>
      <c r="H73" s="62">
        <f>+I150</f>
        <v>0</v>
      </c>
    </row>
    <row r="74" spans="1:8" x14ac:dyDescent="0.2">
      <c r="A74" s="210" t="s">
        <v>144</v>
      </c>
      <c r="B74" s="49"/>
      <c r="C74" s="49"/>
      <c r="D74" s="62">
        <f>+'2. INVERSION'!B42</f>
        <v>113800000</v>
      </c>
      <c r="E74" s="62">
        <f>+D74</f>
        <v>113800000</v>
      </c>
      <c r="F74" s="62">
        <f>+E74</f>
        <v>113800000</v>
      </c>
      <c r="G74" s="62">
        <f>+F74</f>
        <v>113800000</v>
      </c>
      <c r="H74" s="62">
        <f>+G74</f>
        <v>113800000</v>
      </c>
    </row>
    <row r="75" spans="1:8" x14ac:dyDescent="0.2">
      <c r="A75" s="210" t="s">
        <v>145</v>
      </c>
      <c r="B75" s="49"/>
      <c r="C75" s="49"/>
      <c r="D75" s="62">
        <f>+('4. COSTOS'!B111+'4. COSTOS'!B121+'4. COSTOS'!E91)</f>
        <v>10980000</v>
      </c>
      <c r="E75" s="62">
        <f>+D75+('4. COSTOS'!C111+'4. COSTOS'!C121+'4. COSTOS'!F91)</f>
        <v>21960000</v>
      </c>
      <c r="F75" s="62">
        <f>+E75+('4. COSTOS'!D111+'4. COSTOS'!D121+'4. COSTOS'!G91)</f>
        <v>32940000</v>
      </c>
      <c r="G75" s="62">
        <f>+F75+('4. COSTOS'!E111+'4. COSTOS'!E121+'4. COSTOS'!H91)</f>
        <v>43920000</v>
      </c>
      <c r="H75" s="62">
        <f>+G75+('4. COSTOS'!F111+'4. COSTOS'!F121+'4. COSTOS'!I91)</f>
        <v>54900000</v>
      </c>
    </row>
    <row r="76" spans="1:8" x14ac:dyDescent="0.2">
      <c r="A76" s="210" t="s">
        <v>146</v>
      </c>
      <c r="B76" s="49"/>
      <c r="C76" s="49"/>
      <c r="D76" s="62">
        <f>+D74-D75</f>
        <v>102820000</v>
      </c>
      <c r="E76" s="62">
        <f>+E74-E75</f>
        <v>91840000</v>
      </c>
      <c r="F76" s="62">
        <f>+F74-F75</f>
        <v>80860000</v>
      </c>
      <c r="G76" s="62">
        <f>+G74-G75</f>
        <v>69880000</v>
      </c>
      <c r="H76" s="62">
        <f>+H74-H75</f>
        <v>58900000</v>
      </c>
    </row>
    <row r="77" spans="1:8" x14ac:dyDescent="0.2">
      <c r="A77" s="210"/>
      <c r="B77" s="49"/>
      <c r="C77" s="49"/>
      <c r="D77" s="62"/>
      <c r="E77" s="62"/>
      <c r="F77" s="62"/>
      <c r="G77" s="62"/>
      <c r="H77" s="49"/>
    </row>
    <row r="78" spans="1:8" ht="15" x14ac:dyDescent="0.25">
      <c r="A78" s="429" t="s">
        <v>147</v>
      </c>
      <c r="B78" s="422"/>
      <c r="C78" s="422"/>
      <c r="D78" s="423">
        <f>SUM(D69:D73)+D76</f>
        <v>1068798825.6759052</v>
      </c>
      <c r="E78" s="423">
        <f>SUM(E69:E73)+E76</f>
        <v>1767239939.4352255</v>
      </c>
      <c r="F78" s="423">
        <f>SUM(F69:F73)+F76</f>
        <v>2667683246.4091902</v>
      </c>
      <c r="G78" s="423">
        <f>SUM(G69:G73)+G76</f>
        <v>3955453858.5397234</v>
      </c>
      <c r="H78" s="423">
        <f>SUM(H69:H73)+H76</f>
        <v>5762654428.6570349</v>
      </c>
    </row>
    <row r="79" spans="1:8" ht="15" x14ac:dyDescent="0.25">
      <c r="A79" s="405"/>
      <c r="D79" s="18"/>
      <c r="E79" s="18"/>
      <c r="F79" s="18"/>
      <c r="G79" s="18"/>
    </row>
    <row r="80" spans="1:8" x14ac:dyDescent="0.2">
      <c r="D80" s="18"/>
      <c r="E80" s="18"/>
      <c r="F80" s="18"/>
      <c r="G80" s="18"/>
    </row>
    <row r="81" spans="1:8" ht="15" x14ac:dyDescent="0.25">
      <c r="A81" s="429" t="s">
        <v>148</v>
      </c>
      <c r="B81" s="422"/>
      <c r="C81" s="422"/>
      <c r="D81" s="432">
        <v>1</v>
      </c>
      <c r="E81" s="432">
        <v>2</v>
      </c>
      <c r="F81" s="432">
        <v>3</v>
      </c>
      <c r="G81" s="432">
        <v>4</v>
      </c>
      <c r="H81" s="432">
        <v>5</v>
      </c>
    </row>
    <row r="82" spans="1:8" x14ac:dyDescent="0.2">
      <c r="A82" s="210"/>
      <c r="B82" s="49"/>
      <c r="C82" s="49"/>
      <c r="D82" s="62"/>
      <c r="E82" s="62"/>
      <c r="F82" s="62"/>
      <c r="G82" s="62"/>
      <c r="H82" s="49"/>
    </row>
    <row r="83" spans="1:8" x14ac:dyDescent="0.2">
      <c r="A83" s="210" t="s">
        <v>149</v>
      </c>
      <c r="B83" s="49"/>
      <c r="C83" s="49"/>
      <c r="D83" s="62">
        <f>+F122</f>
        <v>204962500</v>
      </c>
      <c r="E83" s="62">
        <f>+G123</f>
        <v>226609166.66666698</v>
      </c>
      <c r="F83" s="62">
        <f>+H124</f>
        <v>318403422.71191835</v>
      </c>
      <c r="G83" s="62">
        <f>+I125</f>
        <v>431140288.54410553</v>
      </c>
      <c r="H83" s="62">
        <f>+J126</f>
        <v>548214788.880023</v>
      </c>
    </row>
    <row r="84" spans="1:8" x14ac:dyDescent="0.2">
      <c r="A84" s="200" t="s">
        <v>350</v>
      </c>
      <c r="B84" s="49"/>
      <c r="C84" s="49"/>
      <c r="D84" s="62">
        <f>+C84+D57-D139</f>
        <v>163067230.95953074</v>
      </c>
      <c r="E84" s="62">
        <f>+D84+E57-F139</f>
        <v>314059090.33813357</v>
      </c>
      <c r="F84" s="62">
        <f>+E84+F57-G139</f>
        <v>432996808.82604951</v>
      </c>
      <c r="G84" s="62">
        <f>+F84+G57-H139</f>
        <v>608066864.84888828</v>
      </c>
      <c r="H84" s="62">
        <f>+G84+H57-I139</f>
        <v>858256704.09244132</v>
      </c>
    </row>
    <row r="85" spans="1:8" x14ac:dyDescent="0.2">
      <c r="A85" s="210" t="s">
        <v>150</v>
      </c>
      <c r="B85" s="49"/>
      <c r="C85" s="49"/>
      <c r="D85" s="62"/>
      <c r="E85" s="62"/>
      <c r="F85" s="62"/>
      <c r="G85" s="62"/>
      <c r="H85" s="49"/>
    </row>
    <row r="86" spans="1:8" x14ac:dyDescent="0.2">
      <c r="A86" s="210" t="s">
        <v>151</v>
      </c>
      <c r="B86" s="49"/>
      <c r="C86" s="49"/>
      <c r="D86" s="62"/>
      <c r="E86" s="62"/>
      <c r="F86" s="62"/>
      <c r="G86" s="62"/>
      <c r="H86" s="49"/>
    </row>
    <row r="87" spans="1:8" x14ac:dyDescent="0.2">
      <c r="A87" s="210" t="s">
        <v>152</v>
      </c>
      <c r="B87" s="49"/>
      <c r="C87" s="49"/>
      <c r="D87" s="62">
        <f>+D145-E146</f>
        <v>257381333.33333334</v>
      </c>
      <c r="E87" s="62">
        <f>+D87-F146</f>
        <v>193036000</v>
      </c>
      <c r="F87" s="62">
        <f>+E87-G146</f>
        <v>128690666.66666666</v>
      </c>
      <c r="G87" s="62">
        <f>+F87-H146</f>
        <v>64345333.333333321</v>
      </c>
      <c r="H87" s="62">
        <f>+G87-I146</f>
        <v>0</v>
      </c>
    </row>
    <row r="88" spans="1:8" x14ac:dyDescent="0.2">
      <c r="A88" s="210" t="s">
        <v>153</v>
      </c>
      <c r="B88" s="49"/>
      <c r="C88" s="49"/>
      <c r="D88" s="62">
        <f>SUM(D83:D87)</f>
        <v>625411064.29286408</v>
      </c>
      <c r="E88" s="62">
        <f>SUM(E83:E87)</f>
        <v>733704257.00480056</v>
      </c>
      <c r="F88" s="62">
        <f>SUM(F83:F87)</f>
        <v>880090898.20463455</v>
      </c>
      <c r="G88" s="62">
        <f>SUM(G83:G87)</f>
        <v>1103552486.7263272</v>
      </c>
      <c r="H88" s="62">
        <f>SUM(H83:H87)</f>
        <v>1406471492.9724643</v>
      </c>
    </row>
    <row r="89" spans="1:8" x14ac:dyDescent="0.2">
      <c r="A89" s="210"/>
      <c r="B89" s="49"/>
      <c r="C89" s="49"/>
      <c r="D89" s="62"/>
      <c r="E89" s="62"/>
      <c r="F89" s="62"/>
      <c r="G89" s="62"/>
      <c r="H89" s="49"/>
    </row>
    <row r="90" spans="1:8" x14ac:dyDescent="0.2">
      <c r="A90" s="210" t="s">
        <v>154</v>
      </c>
      <c r="B90" s="49"/>
      <c r="C90" s="49"/>
      <c r="D90" s="62"/>
      <c r="E90" s="62"/>
      <c r="F90" s="62"/>
      <c r="G90" s="62"/>
      <c r="H90" s="49"/>
    </row>
    <row r="91" spans="1:8" x14ac:dyDescent="0.2">
      <c r="A91" s="210" t="s">
        <v>155</v>
      </c>
      <c r="B91" s="49"/>
      <c r="C91" s="49"/>
      <c r="D91" s="430">
        <f>+D114</f>
        <v>80431666.666666672</v>
      </c>
      <c r="E91" s="430">
        <f>+E114+D91</f>
        <v>80431666.666666672</v>
      </c>
      <c r="F91" s="430">
        <f>+F114+E91</f>
        <v>80431666.666666672</v>
      </c>
      <c r="G91" s="430">
        <f>+G114+F91</f>
        <v>80431666.666666672</v>
      </c>
      <c r="H91" s="430">
        <f>+H114+G91</f>
        <v>80431666.666666672</v>
      </c>
    </row>
    <row r="92" spans="1:8" x14ac:dyDescent="0.2">
      <c r="A92" s="210" t="s">
        <v>156</v>
      </c>
      <c r="B92" s="49"/>
      <c r="C92" s="49"/>
      <c r="D92" s="430">
        <f>+D59</f>
        <v>362956094.71637487</v>
      </c>
      <c r="E92" s="430">
        <f>+D92+E59-E93</f>
        <v>953104015.76375961</v>
      </c>
      <c r="F92" s="430">
        <f>+E92+F59-F93</f>
        <v>1707160681.5378902</v>
      </c>
      <c r="G92" s="430">
        <f>+F92+G59-G93</f>
        <v>2771469705.1467309</v>
      </c>
      <c r="H92" s="430">
        <f>+G92+H59-H93</f>
        <v>4275751269.0179067</v>
      </c>
    </row>
    <row r="93" spans="1:8" x14ac:dyDescent="0.2">
      <c r="A93" s="210" t="s">
        <v>157</v>
      </c>
      <c r="B93" s="49"/>
      <c r="C93" s="49"/>
      <c r="D93" s="430"/>
      <c r="E93" s="430">
        <f>+F138</f>
        <v>108886828.41491246</v>
      </c>
      <c r="F93" s="430">
        <f>+G138</f>
        <v>209710424.83868915</v>
      </c>
      <c r="G93" s="430">
        <f>+H138</f>
        <v>289130127.18384594</v>
      </c>
      <c r="H93" s="430">
        <f>+I138</f>
        <v>406031745.23780602</v>
      </c>
    </row>
    <row r="94" spans="1:8" x14ac:dyDescent="0.2">
      <c r="A94" s="210" t="s">
        <v>158</v>
      </c>
      <c r="B94" s="49"/>
      <c r="C94" s="49"/>
      <c r="D94" s="430">
        <f>+D91+D92</f>
        <v>443387761.38304156</v>
      </c>
      <c r="E94" s="430">
        <f>+E91+E92</f>
        <v>1033535682.4304262</v>
      </c>
      <c r="F94" s="430">
        <f>+F91+F92</f>
        <v>1787592348.2045569</v>
      </c>
      <c r="G94" s="430">
        <f>+G91+G92</f>
        <v>2851901371.8133974</v>
      </c>
      <c r="H94" s="430">
        <f>+H91+H92</f>
        <v>4356182935.6845732</v>
      </c>
    </row>
    <row r="95" spans="1:8" x14ac:dyDescent="0.2">
      <c r="A95" s="210"/>
      <c r="B95" s="49"/>
      <c r="C95" s="49"/>
      <c r="D95" s="62"/>
      <c r="E95" s="62"/>
      <c r="F95" s="62"/>
      <c r="G95" s="62"/>
      <c r="H95" s="49"/>
    </row>
    <row r="96" spans="1:8" ht="15" x14ac:dyDescent="0.25">
      <c r="A96" s="429" t="s">
        <v>159</v>
      </c>
      <c r="B96" s="422"/>
      <c r="C96" s="422"/>
      <c r="D96" s="423">
        <f>+D94+D88</f>
        <v>1068798825.6759057</v>
      </c>
      <c r="E96" s="423">
        <f>+E94+E88</f>
        <v>1767239939.4352269</v>
      </c>
      <c r="F96" s="423">
        <f>+F94+F88</f>
        <v>2667683246.4091916</v>
      </c>
      <c r="G96" s="423">
        <f>+G94+G88</f>
        <v>3955453858.5397243</v>
      </c>
      <c r="H96" s="423">
        <f>+H94+H88</f>
        <v>5762654428.6570377</v>
      </c>
    </row>
    <row r="97" spans="1:13" s="449" customFormat="1" x14ac:dyDescent="0.2">
      <c r="A97" s="449" t="s">
        <v>160</v>
      </c>
      <c r="D97" s="450">
        <f>+D78-D96</f>
        <v>0</v>
      </c>
      <c r="E97" s="450">
        <f>+E78-E96</f>
        <v>0</v>
      </c>
      <c r="F97" s="450">
        <f>+F78-F96</f>
        <v>0</v>
      </c>
      <c r="G97" s="450">
        <f>+G78-G96</f>
        <v>0</v>
      </c>
      <c r="H97" s="450">
        <f>+H78-H96</f>
        <v>0</v>
      </c>
    </row>
    <row r="98" spans="1:13" ht="15.75" x14ac:dyDescent="0.25">
      <c r="A98" s="408" t="s">
        <v>639</v>
      </c>
      <c r="B98" s="36"/>
      <c r="C98" s="36"/>
      <c r="D98" s="36"/>
      <c r="E98" s="36"/>
      <c r="F98" s="36"/>
      <c r="G98" s="36"/>
    </row>
    <row r="99" spans="1:13" ht="14.25" x14ac:dyDescent="0.2">
      <c r="A99" s="407" t="s">
        <v>641</v>
      </c>
      <c r="B99" s="36"/>
      <c r="C99" s="36"/>
      <c r="D99" s="36"/>
      <c r="E99" s="36"/>
      <c r="F99" s="142"/>
      <c r="G99" s="36"/>
    </row>
    <row r="100" spans="1:13" x14ac:dyDescent="0.2">
      <c r="A100" s="402" t="s">
        <v>138</v>
      </c>
      <c r="B100" s="36"/>
      <c r="C100" s="36"/>
      <c r="D100" s="36"/>
      <c r="E100" s="36"/>
      <c r="F100" s="36"/>
      <c r="G100" s="36"/>
    </row>
    <row r="101" spans="1:13" x14ac:dyDescent="0.2">
      <c r="A101" s="403" t="s">
        <v>115</v>
      </c>
      <c r="B101" s="36"/>
      <c r="C101" s="36"/>
      <c r="D101" s="36"/>
      <c r="E101" s="36"/>
      <c r="F101" s="36"/>
      <c r="G101" s="36"/>
    </row>
    <row r="102" spans="1:13" x14ac:dyDescent="0.2">
      <c r="D102" s="31"/>
    </row>
    <row r="103" spans="1:13" x14ac:dyDescent="0.2">
      <c r="D103" s="95">
        <v>0</v>
      </c>
      <c r="E103" s="96">
        <v>1</v>
      </c>
      <c r="F103" s="96">
        <v>2</v>
      </c>
      <c r="G103" s="96">
        <v>3</v>
      </c>
      <c r="H103" s="96">
        <v>4</v>
      </c>
      <c r="I103" s="96">
        <v>5</v>
      </c>
      <c r="J103" s="131"/>
      <c r="K103" s="131"/>
      <c r="L103" s="131"/>
      <c r="M103" s="131"/>
    </row>
    <row r="104" spans="1:13" x14ac:dyDescent="0.2">
      <c r="A104" s="409" t="s">
        <v>161</v>
      </c>
      <c r="B104" s="49"/>
      <c r="C104" s="49"/>
      <c r="D104" s="49">
        <v>0</v>
      </c>
      <c r="E104" s="189">
        <f>+D152</f>
        <v>282558333.33333337</v>
      </c>
      <c r="F104" s="189">
        <f>+E152</f>
        <v>584892159.00923872</v>
      </c>
      <c r="G104" s="189">
        <f>+F152</f>
        <v>1223201420.268559</v>
      </c>
      <c r="H104" s="189">
        <f>+G152</f>
        <v>2012266925.6284122</v>
      </c>
      <c r="I104" s="189">
        <f>+H152</f>
        <v>3140623137.9731092</v>
      </c>
    </row>
    <row r="105" spans="1:13" x14ac:dyDescent="0.2">
      <c r="A105" s="409" t="s">
        <v>0</v>
      </c>
      <c r="B105" s="49"/>
      <c r="C105" s="49"/>
      <c r="D105" s="49"/>
      <c r="E105" s="189"/>
      <c r="F105" s="49"/>
      <c r="G105" s="49"/>
      <c r="H105" s="49"/>
      <c r="I105" s="49"/>
    </row>
    <row r="106" spans="1:13" x14ac:dyDescent="0.2">
      <c r="A106" s="410" t="s">
        <v>595</v>
      </c>
      <c r="B106" s="49"/>
      <c r="C106" s="62">
        <f>+D11</f>
        <v>3319160000</v>
      </c>
      <c r="D106" s="62"/>
      <c r="E106" s="62">
        <f>+C106/12*11</f>
        <v>3042563333.3333335</v>
      </c>
      <c r="F106" s="62">
        <f>+C106-E106</f>
        <v>276596666.66666651</v>
      </c>
      <c r="G106" s="62"/>
      <c r="H106" s="62"/>
      <c r="I106" s="49"/>
    </row>
    <row r="107" spans="1:13" x14ac:dyDescent="0.2">
      <c r="A107" s="410" t="s">
        <v>596</v>
      </c>
      <c r="B107" s="49"/>
      <c r="C107" s="62">
        <f>+E11</f>
        <v>4190022230</v>
      </c>
      <c r="D107" s="49"/>
      <c r="E107" s="62"/>
      <c r="F107" s="62">
        <f>+(C107/12)*11</f>
        <v>3840853710.8333335</v>
      </c>
      <c r="G107" s="62">
        <f>+C107-F107</f>
        <v>349168519.16666651</v>
      </c>
      <c r="H107" s="62"/>
      <c r="I107" s="49"/>
    </row>
    <row r="108" spans="1:13" x14ac:dyDescent="0.2">
      <c r="A108" s="410" t="s">
        <v>597</v>
      </c>
      <c r="B108" s="49"/>
      <c r="C108" s="62">
        <f>+F11</f>
        <v>5408053235.219677</v>
      </c>
      <c r="D108" s="49"/>
      <c r="E108" s="62"/>
      <c r="F108" s="62"/>
      <c r="G108" s="62">
        <f>+(C108/12)*11</f>
        <v>4957382132.2847033</v>
      </c>
      <c r="H108" s="62">
        <f>+C108-G108</f>
        <v>450671102.93497372</v>
      </c>
      <c r="I108" s="49"/>
    </row>
    <row r="109" spans="1:13" x14ac:dyDescent="0.2">
      <c r="A109" s="410" t="s">
        <v>646</v>
      </c>
      <c r="B109" s="49"/>
      <c r="C109" s="62">
        <f>+G11</f>
        <v>7294720917.8038969</v>
      </c>
      <c r="D109" s="49"/>
      <c r="E109" s="62"/>
      <c r="F109" s="62"/>
      <c r="G109" s="62"/>
      <c r="H109" s="62">
        <f>+(C109/12)*11</f>
        <v>6686827507.9869061</v>
      </c>
      <c r="I109" s="62">
        <f>+C109-H109</f>
        <v>607893409.81699085</v>
      </c>
    </row>
    <row r="110" spans="1:13" x14ac:dyDescent="0.2">
      <c r="A110" s="410" t="s">
        <v>647</v>
      </c>
      <c r="B110" s="49"/>
      <c r="C110" s="62">
        <f>+H11</f>
        <v>9986603716.4567528</v>
      </c>
      <c r="D110" s="49"/>
      <c r="E110" s="62"/>
      <c r="F110" s="62"/>
      <c r="G110" s="62"/>
      <c r="H110" s="49"/>
      <c r="I110" s="62">
        <f>+(C110/12)*11</f>
        <v>9154386740.0853577</v>
      </c>
      <c r="J110" s="18">
        <f>+C110-I110</f>
        <v>832216976.37139511</v>
      </c>
    </row>
    <row r="111" spans="1:13" x14ac:dyDescent="0.2">
      <c r="A111" s="210" t="s">
        <v>162</v>
      </c>
      <c r="B111" s="49"/>
      <c r="C111" s="49"/>
      <c r="D111" s="49"/>
      <c r="E111" s="62">
        <f>SUM(E106:E110)</f>
        <v>3042563333.3333335</v>
      </c>
      <c r="F111" s="62">
        <f>SUM(F106:F110)</f>
        <v>4117450377.5</v>
      </c>
      <c r="G111" s="62">
        <f>SUM(G106:G110)</f>
        <v>5306550651.4513702</v>
      </c>
      <c r="H111" s="62">
        <f>SUM(H106:H110)</f>
        <v>7137498610.9218798</v>
      </c>
      <c r="I111" s="62">
        <f>SUM(I106:I110)</f>
        <v>9762280149.9023476</v>
      </c>
      <c r="J111" s="18">
        <f>+J110</f>
        <v>832216976.37139511</v>
      </c>
    </row>
    <row r="112" spans="1:13" s="344" customFormat="1" x14ac:dyDescent="0.2">
      <c r="A112" s="410" t="s">
        <v>324</v>
      </c>
      <c r="B112" s="342"/>
      <c r="C112" s="342"/>
      <c r="D112" s="415"/>
      <c r="E112" s="415">
        <f>+E149</f>
        <v>0</v>
      </c>
      <c r="F112" s="415">
        <f>+F149</f>
        <v>0</v>
      </c>
      <c r="G112" s="415">
        <f>+G149</f>
        <v>0</v>
      </c>
      <c r="H112" s="415">
        <f>+H149</f>
        <v>0</v>
      </c>
      <c r="I112" s="415">
        <f>+I149</f>
        <v>0</v>
      </c>
    </row>
    <row r="113" spans="1:10" s="344" customFormat="1" x14ac:dyDescent="0.2">
      <c r="A113" s="200" t="s">
        <v>132</v>
      </c>
      <c r="B113" s="342"/>
      <c r="C113" s="199"/>
      <c r="D113" s="199">
        <f t="shared" ref="D113:I113" si="0">+C51</f>
        <v>0</v>
      </c>
      <c r="E113" s="451">
        <f t="shared" si="0"/>
        <v>10253711.304962721</v>
      </c>
      <c r="F113" s="415">
        <f t="shared" si="0"/>
        <v>20082279.660345566</v>
      </c>
      <c r="G113" s="415">
        <f t="shared" si="0"/>
        <v>27471619.367823858</v>
      </c>
      <c r="H113" s="415">
        <f t="shared" si="0"/>
        <v>38654038.848498449</v>
      </c>
      <c r="I113" s="415">
        <f t="shared" si="0"/>
        <v>54897519.749169141</v>
      </c>
      <c r="J113" s="128"/>
    </row>
    <row r="114" spans="1:10" x14ac:dyDescent="0.2">
      <c r="A114" s="210" t="s">
        <v>163</v>
      </c>
      <c r="B114" s="49"/>
      <c r="C114" s="49"/>
      <c r="D114" s="62">
        <f>+'9. PRESTAMO'!C2</f>
        <v>80431666.666666672</v>
      </c>
      <c r="E114" s="189">
        <v>0</v>
      </c>
      <c r="F114" s="49"/>
      <c r="G114" s="49"/>
      <c r="H114" s="49"/>
      <c r="I114" s="49"/>
    </row>
    <row r="115" spans="1:10" x14ac:dyDescent="0.2">
      <c r="A115" s="210" t="s">
        <v>164</v>
      </c>
      <c r="B115" s="49"/>
      <c r="C115" s="49"/>
      <c r="D115" s="49"/>
      <c r="E115" s="189">
        <v>0</v>
      </c>
      <c r="F115" s="49"/>
      <c r="G115" s="49"/>
      <c r="H115" s="49"/>
      <c r="I115" s="49"/>
    </row>
    <row r="116" spans="1:10" x14ac:dyDescent="0.2">
      <c r="A116" s="210" t="s">
        <v>165</v>
      </c>
      <c r="B116" s="49"/>
      <c r="C116" s="49"/>
      <c r="D116" s="49"/>
      <c r="E116" s="189">
        <v>0</v>
      </c>
      <c r="F116" s="49"/>
      <c r="G116" s="49"/>
      <c r="H116" s="49"/>
      <c r="I116" s="49"/>
    </row>
    <row r="117" spans="1:10" x14ac:dyDescent="0.2">
      <c r="A117" s="421" t="s">
        <v>166</v>
      </c>
      <c r="B117" s="421"/>
      <c r="C117" s="421"/>
      <c r="D117" s="482">
        <f t="shared" ref="D117:I117" si="1">SUM(D111:D116)</f>
        <v>80431666.666666672</v>
      </c>
      <c r="E117" s="482">
        <f>SUM(E111:E116)</f>
        <v>3052817044.6382961</v>
      </c>
      <c r="F117" s="482">
        <f>SUM(F111:F116)</f>
        <v>4137532657.1603456</v>
      </c>
      <c r="G117" s="482">
        <f t="shared" si="1"/>
        <v>5334022270.8191938</v>
      </c>
      <c r="H117" s="482">
        <f t="shared" si="1"/>
        <v>7176152649.7703781</v>
      </c>
      <c r="I117" s="482">
        <f t="shared" si="1"/>
        <v>9817177669.651516</v>
      </c>
    </row>
    <row r="118" spans="1:10" x14ac:dyDescent="0.2">
      <c r="E118" s="31"/>
    </row>
    <row r="119" spans="1:10" x14ac:dyDescent="0.2">
      <c r="A119" s="421" t="s">
        <v>91</v>
      </c>
      <c r="B119" s="421"/>
      <c r="C119" s="421"/>
      <c r="D119" s="421">
        <v>0</v>
      </c>
      <c r="E119" s="482">
        <v>1</v>
      </c>
      <c r="F119" s="421">
        <v>2</v>
      </c>
      <c r="G119" s="421">
        <v>3</v>
      </c>
      <c r="H119" s="421">
        <v>4</v>
      </c>
      <c r="I119" s="421">
        <v>5</v>
      </c>
    </row>
    <row r="120" spans="1:10" x14ac:dyDescent="0.2">
      <c r="A120" s="210"/>
      <c r="B120" s="49"/>
      <c r="C120" s="49"/>
      <c r="D120" s="49"/>
      <c r="E120" s="189"/>
      <c r="F120" s="49"/>
      <c r="G120" s="49"/>
      <c r="H120" s="49"/>
      <c r="I120" s="49"/>
    </row>
    <row r="121" spans="1:10" x14ac:dyDescent="0.2">
      <c r="A121" s="210" t="s">
        <v>167</v>
      </c>
      <c r="B121" s="49"/>
      <c r="C121" s="49"/>
      <c r="D121" s="49"/>
      <c r="E121" s="189"/>
      <c r="F121" s="49"/>
      <c r="G121" s="49"/>
      <c r="H121" s="49"/>
      <c r="I121" s="49"/>
    </row>
    <row r="122" spans="1:10" x14ac:dyDescent="0.2">
      <c r="A122" s="410" t="s">
        <v>544</v>
      </c>
      <c r="B122" s="49"/>
      <c r="C122" s="62">
        <f>+D19</f>
        <v>2459550000</v>
      </c>
      <c r="D122" s="49"/>
      <c r="E122" s="62">
        <f>+(C122/12)*11</f>
        <v>2254587500</v>
      </c>
      <c r="F122" s="62">
        <f>+C122-E122</f>
        <v>204962500</v>
      </c>
      <c r="G122" s="62"/>
      <c r="H122" s="62"/>
      <c r="I122" s="49"/>
    </row>
    <row r="123" spans="1:10" x14ac:dyDescent="0.2">
      <c r="A123" s="410" t="s">
        <v>613</v>
      </c>
      <c r="B123" s="49"/>
      <c r="C123" s="62">
        <f>+E19</f>
        <v>2719310000</v>
      </c>
      <c r="D123" s="49"/>
      <c r="E123" s="62"/>
      <c r="F123" s="62">
        <f>+(C123/12)*11</f>
        <v>2492700833.333333</v>
      </c>
      <c r="G123" s="62">
        <f>+C123-F123</f>
        <v>226609166.66666698</v>
      </c>
      <c r="H123" s="62"/>
      <c r="I123" s="49"/>
    </row>
    <row r="124" spans="1:10" x14ac:dyDescent="0.2">
      <c r="A124" s="410" t="s">
        <v>614</v>
      </c>
      <c r="B124" s="49"/>
      <c r="C124" s="62">
        <f>+F19</f>
        <v>3537815807.9102058</v>
      </c>
      <c r="D124" s="49"/>
      <c r="E124" s="62"/>
      <c r="F124" s="62"/>
      <c r="G124" s="62">
        <f>+C124*0.91</f>
        <v>3219412385.1982875</v>
      </c>
      <c r="H124" s="62">
        <f>+C124-G124</f>
        <v>318403422.71191835</v>
      </c>
      <c r="I124" s="49"/>
    </row>
    <row r="125" spans="1:10" x14ac:dyDescent="0.2">
      <c r="A125" s="410" t="s">
        <v>615</v>
      </c>
      <c r="B125" s="49"/>
      <c r="C125" s="62">
        <f>+G19</f>
        <v>4790447650.4900618</v>
      </c>
      <c r="D125" s="49"/>
      <c r="E125" s="62"/>
      <c r="F125" s="62"/>
      <c r="G125" s="62"/>
      <c r="H125" s="62">
        <f>+C125*0.91</f>
        <v>4359307361.9459562</v>
      </c>
      <c r="I125" s="62">
        <f>+C125-H125</f>
        <v>431140288.54410553</v>
      </c>
    </row>
    <row r="126" spans="1:10" x14ac:dyDescent="0.2">
      <c r="A126" s="410" t="s">
        <v>616</v>
      </c>
      <c r="B126" s="49"/>
      <c r="C126" s="62">
        <f>+H19</f>
        <v>6578577466.5602798</v>
      </c>
      <c r="D126" s="49"/>
      <c r="E126" s="62"/>
      <c r="F126" s="62"/>
      <c r="G126" s="62"/>
      <c r="H126" s="62"/>
      <c r="I126" s="62">
        <f>+(C126/12)*11</f>
        <v>6030362677.6802568</v>
      </c>
      <c r="J126" s="18">
        <f>+C126-I126</f>
        <v>548214788.880023</v>
      </c>
    </row>
    <row r="127" spans="1:10" x14ac:dyDescent="0.2">
      <c r="A127" s="210" t="s">
        <v>325</v>
      </c>
      <c r="B127" s="49"/>
      <c r="C127" s="49"/>
      <c r="D127" s="49"/>
      <c r="E127" s="62">
        <f t="shared" ref="E127:J127" si="2">SUM(E122:E126)</f>
        <v>2254587500</v>
      </c>
      <c r="F127" s="62">
        <f t="shared" si="2"/>
        <v>2697663333.333333</v>
      </c>
      <c r="G127" s="62">
        <f t="shared" si="2"/>
        <v>3446021551.8649545</v>
      </c>
      <c r="H127" s="62">
        <f t="shared" si="2"/>
        <v>4677710784.6578751</v>
      </c>
      <c r="I127" s="62">
        <f t="shared" si="2"/>
        <v>6461502966.2243624</v>
      </c>
      <c r="J127" s="18">
        <f t="shared" si="2"/>
        <v>548214788.880023</v>
      </c>
    </row>
    <row r="128" spans="1:10" x14ac:dyDescent="0.2">
      <c r="A128" s="210" t="s">
        <v>312</v>
      </c>
      <c r="B128" s="49"/>
      <c r="C128" s="49"/>
      <c r="D128" s="49"/>
      <c r="E128" s="189">
        <f t="shared" ref="E128:I131" si="3">+D27</f>
        <v>26813475</v>
      </c>
      <c r="F128" s="189">
        <f t="shared" si="3"/>
        <v>33764868.393749997</v>
      </c>
      <c r="G128" s="189">
        <f t="shared" si="3"/>
        <v>43619617.942623444</v>
      </c>
      <c r="H128" s="189">
        <f t="shared" si="3"/>
        <v>58733292.124327153</v>
      </c>
      <c r="I128" s="189">
        <f t="shared" si="3"/>
        <v>80403527.586518899</v>
      </c>
    </row>
    <row r="129" spans="1:10" x14ac:dyDescent="0.2">
      <c r="A129" s="210" t="s">
        <v>314</v>
      </c>
      <c r="B129" s="49"/>
      <c r="C129" s="49"/>
      <c r="D129" s="49"/>
      <c r="E129" s="189">
        <f t="shared" si="3"/>
        <v>1800000</v>
      </c>
      <c r="F129" s="189">
        <f t="shared" si="3"/>
        <v>2173500</v>
      </c>
      <c r="G129" s="189">
        <f t="shared" si="3"/>
        <v>2687837.04</v>
      </c>
      <c r="H129" s="189">
        <f t="shared" si="3"/>
        <v>3408392.3936831998</v>
      </c>
      <c r="I129" s="189">
        <f t="shared" si="3"/>
        <v>4437726.8965755263</v>
      </c>
    </row>
    <row r="130" spans="1:10" x14ac:dyDescent="0.2">
      <c r="A130" s="210" t="s">
        <v>313</v>
      </c>
      <c r="B130" s="49"/>
      <c r="C130" s="49"/>
      <c r="D130" s="49"/>
      <c r="E130" s="189">
        <f t="shared" si="3"/>
        <v>4060000</v>
      </c>
      <c r="F130" s="189">
        <f t="shared" si="3"/>
        <v>4667985</v>
      </c>
      <c r="G130" s="189">
        <f t="shared" si="3"/>
        <v>5417140.5766800009</v>
      </c>
      <c r="H130" s="189">
        <f t="shared" si="3"/>
        <v>6450167.6160905706</v>
      </c>
      <c r="I130" s="189">
        <f t="shared" si="3"/>
        <v>7690663.8520171102</v>
      </c>
    </row>
    <row r="131" spans="1:10" x14ac:dyDescent="0.2">
      <c r="A131" s="210" t="s">
        <v>310</v>
      </c>
      <c r="B131" s="49"/>
      <c r="C131" s="49"/>
      <c r="D131" s="49"/>
      <c r="E131" s="189">
        <f t="shared" si="3"/>
        <v>122835526.40000001</v>
      </c>
      <c r="F131" s="189">
        <f t="shared" si="3"/>
        <v>137990138.9192</v>
      </c>
      <c r="G131" s="189">
        <f t="shared" si="3"/>
        <v>157362751.28093365</v>
      </c>
      <c r="H131" s="189">
        <f t="shared" si="3"/>
        <v>185441307.27337599</v>
      </c>
      <c r="I131" s="189">
        <f>+H30</f>
        <v>222790912.37195519</v>
      </c>
    </row>
    <row r="132" spans="1:10" x14ac:dyDescent="0.2">
      <c r="A132" s="210" t="s">
        <v>168</v>
      </c>
      <c r="B132" s="49"/>
      <c r="C132" s="49"/>
      <c r="D132" s="49"/>
      <c r="E132" s="189">
        <f>+D35</f>
        <v>73498520</v>
      </c>
      <c r="F132" s="189">
        <f>+E35</f>
        <v>84393128.300000012</v>
      </c>
      <c r="G132" s="189">
        <f>+F35</f>
        <v>98807422.672196776</v>
      </c>
      <c r="H132" s="189">
        <f>+G35</f>
        <v>120115562.76180857</v>
      </c>
      <c r="I132" s="189">
        <f>+H35</f>
        <v>149665975.35220411</v>
      </c>
    </row>
    <row r="133" spans="1:10" x14ac:dyDescent="0.2">
      <c r="A133" s="210" t="s">
        <v>169</v>
      </c>
      <c r="B133" s="49"/>
      <c r="C133" s="49"/>
      <c r="D133" s="49"/>
      <c r="E133" s="189">
        <f>+D40</f>
        <v>150431284.21052632</v>
      </c>
      <c r="F133" s="189">
        <f>+E40</f>
        <v>164617756.21052632</v>
      </c>
      <c r="G133" s="189">
        <f>+F40</f>
        <v>180119239.49928421</v>
      </c>
      <c r="H133" s="189">
        <f>+G40</f>
        <v>200312609.71480346</v>
      </c>
      <c r="I133" s="189">
        <f>+H40</f>
        <v>221030721.12514305</v>
      </c>
    </row>
    <row r="134" spans="1:10" s="456" customFormat="1" x14ac:dyDescent="0.2">
      <c r="A134" s="422" t="s">
        <v>170</v>
      </c>
      <c r="B134" s="422"/>
      <c r="C134" s="422"/>
      <c r="D134" s="455">
        <f>+'2. INVERSION'!B42</f>
        <v>113800000</v>
      </c>
      <c r="E134" s="455">
        <v>0</v>
      </c>
      <c r="F134" s="455">
        <v>0</v>
      </c>
      <c r="G134" s="455">
        <v>0</v>
      </c>
      <c r="H134" s="455">
        <v>0</v>
      </c>
      <c r="I134" s="455">
        <v>0</v>
      </c>
    </row>
    <row r="135" spans="1:10" s="344" customFormat="1" x14ac:dyDescent="0.2">
      <c r="A135" s="200" t="s">
        <v>345</v>
      </c>
      <c r="B135" s="342"/>
      <c r="C135" s="342"/>
      <c r="D135" s="452"/>
      <c r="E135" s="452">
        <f>-D75+C75</f>
        <v>-10980000</v>
      </c>
      <c r="F135" s="452">
        <f>-E75+D75</f>
        <v>-10980000</v>
      </c>
      <c r="G135" s="452">
        <f>-F75+E75</f>
        <v>-10980000</v>
      </c>
      <c r="H135" s="452">
        <f>-G75+F75</f>
        <v>-10980000</v>
      </c>
      <c r="I135" s="452">
        <f>-H75+G75</f>
        <v>-10980000</v>
      </c>
      <c r="J135" s="453"/>
    </row>
    <row r="136" spans="1:10" s="344" customFormat="1" x14ac:dyDescent="0.2">
      <c r="A136" s="200" t="s">
        <v>346</v>
      </c>
      <c r="B136" s="342"/>
      <c r="C136" s="342"/>
      <c r="D136" s="452"/>
      <c r="E136" s="452">
        <f>-'4. COSTOS'!B116</f>
        <v>-1460000</v>
      </c>
      <c r="F136" s="452">
        <f>-'4. COSTOS'!C116</f>
        <v>-1460000</v>
      </c>
      <c r="G136" s="452">
        <f>-'4. COSTOS'!D116</f>
        <v>-1460000</v>
      </c>
      <c r="H136" s="452">
        <f>-'4. COSTOS'!E116</f>
        <v>-1460000</v>
      </c>
      <c r="I136" s="452">
        <f>-'4. COSTOS'!F116</f>
        <v>-1460000</v>
      </c>
      <c r="J136" s="453"/>
    </row>
    <row r="137" spans="1:10" x14ac:dyDescent="0.2">
      <c r="A137" s="210" t="s">
        <v>326</v>
      </c>
      <c r="B137" s="49"/>
      <c r="C137" s="49"/>
      <c r="D137" s="49"/>
      <c r="E137" s="189">
        <f>+'9. PRESTAMO'!M23</f>
        <v>64551580.018530712</v>
      </c>
      <c r="F137" s="189">
        <f>+'9. PRESTAMO'!M35</f>
        <v>50093293.036438495</v>
      </c>
      <c r="G137" s="189">
        <f>+'9. PRESTAMO'!M46</f>
        <v>35246356.072511122</v>
      </c>
      <c r="H137" s="189">
        <f>+'9. PRESTAMO'!M58</f>
        <v>21592051.540489238</v>
      </c>
      <c r="I137" s="62">
        <f>+'9. PRESTAMO'!M71</f>
        <v>7698812.2957881354</v>
      </c>
    </row>
    <row r="138" spans="1:10" x14ac:dyDescent="0.2">
      <c r="A138" s="210" t="s">
        <v>331</v>
      </c>
      <c r="B138" s="49"/>
      <c r="C138" s="176">
        <v>0.3</v>
      </c>
      <c r="D138" s="49"/>
      <c r="E138" s="49">
        <v>0</v>
      </c>
      <c r="F138" s="189">
        <f>+D59*$C$138</f>
        <v>108886828.41491246</v>
      </c>
      <c r="G138" s="189">
        <f>+E59*$C$138</f>
        <v>209710424.83868915</v>
      </c>
      <c r="H138" s="189">
        <f>+F59*$C$138</f>
        <v>289130127.18384594</v>
      </c>
      <c r="I138" s="189">
        <f>+G59*$C$138</f>
        <v>406031745.23780602</v>
      </c>
      <c r="J138" s="31">
        <f>+H59*$C$138</f>
        <v>573093992.73269463</v>
      </c>
    </row>
    <row r="139" spans="1:10" s="344" customFormat="1" x14ac:dyDescent="0.2">
      <c r="A139" s="410" t="s">
        <v>319</v>
      </c>
      <c r="B139" s="342"/>
      <c r="C139" s="342"/>
      <c r="D139" s="342"/>
      <c r="E139" s="452"/>
      <c r="F139" s="415">
        <f>+D57</f>
        <v>163067230.95953074</v>
      </c>
      <c r="G139" s="415">
        <f>+E57</f>
        <v>314059090.33813351</v>
      </c>
      <c r="H139" s="415">
        <f>+F57</f>
        <v>432996808.82604945</v>
      </c>
      <c r="I139" s="415">
        <f>+G57</f>
        <v>608066864.84888816</v>
      </c>
      <c r="J139" s="454">
        <f>+H57</f>
        <v>858256704.0924412</v>
      </c>
    </row>
    <row r="140" spans="1:10" x14ac:dyDescent="0.2">
      <c r="A140" s="210" t="s">
        <v>322</v>
      </c>
      <c r="B140" s="49"/>
      <c r="C140" s="49"/>
      <c r="D140" s="62">
        <f>+'2. INVERSION'!B51</f>
        <v>5800000</v>
      </c>
      <c r="E140" s="189"/>
      <c r="F140" s="189"/>
      <c r="G140" s="189"/>
      <c r="H140" s="189"/>
      <c r="I140" s="189"/>
    </row>
    <row r="141" spans="1:10" x14ac:dyDescent="0.2">
      <c r="A141" s="210" t="s">
        <v>171</v>
      </c>
      <c r="B141" s="49"/>
      <c r="C141" s="49"/>
      <c r="D141" s="62">
        <f t="shared" ref="D141:H141" si="4">SUM(D127:D140)</f>
        <v>119600000</v>
      </c>
      <c r="E141" s="189">
        <f>SUM(E127:E140)</f>
        <v>2686137885.6290574</v>
      </c>
      <c r="F141" s="189">
        <f>SUM(F127:F140)</f>
        <v>3434878062.5676918</v>
      </c>
      <c r="G141" s="189">
        <f t="shared" si="4"/>
        <v>4480611432.1260071</v>
      </c>
      <c r="H141" s="189">
        <f t="shared" si="4"/>
        <v>5983451104.0923481</v>
      </c>
      <c r="I141" s="189">
        <f>SUM(I127:I140)</f>
        <v>8156879915.7912598</v>
      </c>
      <c r="J141" s="31">
        <f>SUM(J127:J140)</f>
        <v>1979565485.7051587</v>
      </c>
    </row>
    <row r="142" spans="1:10" x14ac:dyDescent="0.2">
      <c r="D142" s="18"/>
      <c r="E142" s="31"/>
      <c r="F142" s="31"/>
      <c r="G142" s="31"/>
      <c r="H142" s="31"/>
    </row>
    <row r="143" spans="1:10" x14ac:dyDescent="0.2">
      <c r="A143" s="210" t="s">
        <v>329</v>
      </c>
      <c r="B143" s="49"/>
      <c r="C143" s="49"/>
      <c r="D143" s="62">
        <f>+D117-D141</f>
        <v>-39168333.333333328</v>
      </c>
      <c r="E143" s="189">
        <f>+E117-E141</f>
        <v>366679159.00923872</v>
      </c>
      <c r="F143" s="189">
        <f>+F117-F141</f>
        <v>702654594.59265375</v>
      </c>
      <c r="G143" s="189">
        <f t="shared" ref="G143:H143" si="5">+G117-G141</f>
        <v>853410838.69318676</v>
      </c>
      <c r="H143" s="189">
        <f t="shared" si="5"/>
        <v>1192701545.67803</v>
      </c>
      <c r="I143" s="189">
        <f>+I117-I141</f>
        <v>1660297753.8602562</v>
      </c>
    </row>
    <row r="144" spans="1:10" x14ac:dyDescent="0.2">
      <c r="A144" s="210" t="s">
        <v>327</v>
      </c>
      <c r="B144" s="49"/>
      <c r="C144" s="49"/>
      <c r="D144" s="62">
        <f t="shared" ref="D144:I144" si="6">+D104+D143</f>
        <v>-39168333.333333328</v>
      </c>
      <c r="E144" s="62">
        <f t="shared" si="6"/>
        <v>649237492.34257209</v>
      </c>
      <c r="F144" s="62">
        <f>+F104+F143</f>
        <v>1287546753.6018925</v>
      </c>
      <c r="G144" s="62">
        <f t="shared" si="6"/>
        <v>2076612258.9617457</v>
      </c>
      <c r="H144" s="62">
        <f t="shared" si="6"/>
        <v>3204968471.3064423</v>
      </c>
      <c r="I144" s="62">
        <f t="shared" si="6"/>
        <v>4800920891.8333654</v>
      </c>
    </row>
    <row r="145" spans="1:10" x14ac:dyDescent="0.2">
      <c r="A145" s="210" t="s">
        <v>306</v>
      </c>
      <c r="B145" s="49"/>
      <c r="C145" s="49"/>
      <c r="D145" s="62">
        <f>+'9. PRESTAMO'!C3</f>
        <v>321726666.66666669</v>
      </c>
      <c r="E145" s="62">
        <v>0</v>
      </c>
      <c r="F145" s="49">
        <v>0</v>
      </c>
      <c r="G145" s="49">
        <v>0</v>
      </c>
      <c r="H145" s="49">
        <v>0</v>
      </c>
      <c r="I145" s="49">
        <v>0</v>
      </c>
    </row>
    <row r="146" spans="1:10" x14ac:dyDescent="0.2">
      <c r="A146" s="210" t="s">
        <v>328</v>
      </c>
      <c r="B146" s="49"/>
      <c r="C146" s="49"/>
      <c r="D146" s="62">
        <v>0</v>
      </c>
      <c r="E146" s="189">
        <f>+'9. PRESTAMO'!N23</f>
        <v>64345333.333333336</v>
      </c>
      <c r="F146" s="62">
        <f>+'9. PRESTAMO'!N35</f>
        <v>64345333.333333336</v>
      </c>
      <c r="G146" s="62">
        <f>+'9. PRESTAMO'!N46</f>
        <v>64345333.333333336</v>
      </c>
      <c r="H146" s="62">
        <f>+'9. PRESTAMO'!N58</f>
        <v>64345333.333333336</v>
      </c>
      <c r="I146" s="62">
        <f>+'9. PRESTAMO'!N71</f>
        <v>64345333.333333336</v>
      </c>
      <c r="J146" s="18"/>
    </row>
    <row r="147" spans="1:10" s="344" customFormat="1" x14ac:dyDescent="0.2">
      <c r="A147" s="200" t="s">
        <v>347</v>
      </c>
      <c r="B147" s="342"/>
      <c r="C147" s="342"/>
      <c r="D147" s="430"/>
      <c r="E147" s="452"/>
      <c r="F147" s="430"/>
      <c r="G147" s="430"/>
      <c r="H147" s="430"/>
      <c r="I147" s="430"/>
    </row>
    <row r="148" spans="1:10" s="459" customFormat="1" x14ac:dyDescent="0.2">
      <c r="A148" s="200" t="s">
        <v>348</v>
      </c>
      <c r="B148" s="410"/>
      <c r="C148" s="410"/>
      <c r="D148" s="458"/>
      <c r="E148" s="458"/>
      <c r="F148" s="458"/>
      <c r="G148" s="458"/>
      <c r="H148" s="458"/>
      <c r="I148" s="458"/>
    </row>
    <row r="149" spans="1:10" s="459" customFormat="1" x14ac:dyDescent="0.2">
      <c r="A149" s="200" t="s">
        <v>351</v>
      </c>
      <c r="B149" s="410"/>
      <c r="C149" s="410"/>
      <c r="D149" s="458"/>
      <c r="E149" s="460"/>
      <c r="F149" s="458"/>
      <c r="G149" s="458"/>
      <c r="H149" s="458"/>
      <c r="I149" s="458"/>
    </row>
    <row r="150" spans="1:10" s="344" customFormat="1" x14ac:dyDescent="0.2">
      <c r="A150" s="200" t="s">
        <v>349</v>
      </c>
      <c r="B150" s="342"/>
      <c r="C150" s="342"/>
      <c r="D150" s="430">
        <f>+D147+D148-D149</f>
        <v>0</v>
      </c>
      <c r="E150" s="430"/>
      <c r="F150" s="430"/>
      <c r="G150" s="430"/>
      <c r="H150" s="430"/>
      <c r="I150" s="430"/>
    </row>
    <row r="151" spans="1:10" s="457" customFormat="1" x14ac:dyDescent="0.2">
      <c r="A151" s="421" t="s">
        <v>330</v>
      </c>
      <c r="B151" s="421"/>
      <c r="C151" s="421"/>
      <c r="D151" s="423">
        <f>+D143+D145-D146-D150</f>
        <v>282558333.33333337</v>
      </c>
      <c r="E151" s="423">
        <f>+E143+E145-E146-E148</f>
        <v>302333825.67590541</v>
      </c>
      <c r="F151" s="423">
        <f>+F143+F145-F146-F148</f>
        <v>638309261.25932038</v>
      </c>
      <c r="G151" s="423">
        <f>+G143+G145-G146-G148</f>
        <v>789065505.35985339</v>
      </c>
      <c r="H151" s="423">
        <f>+H143+H145-H146-H148</f>
        <v>1128356212.3446968</v>
      </c>
      <c r="I151" s="483">
        <f>+I143+I145-I146-I148</f>
        <v>1595952420.5269229</v>
      </c>
    </row>
    <row r="152" spans="1:10" x14ac:dyDescent="0.2">
      <c r="A152" s="210" t="s">
        <v>327</v>
      </c>
      <c r="B152" s="49"/>
      <c r="C152" s="49"/>
      <c r="D152" s="62">
        <f>+D151+D104</f>
        <v>282558333.33333337</v>
      </c>
      <c r="E152" s="62">
        <f>+E151+E104</f>
        <v>584892159.00923872</v>
      </c>
      <c r="F152" s="62">
        <f>+F151+F104</f>
        <v>1223201420.268559</v>
      </c>
      <c r="G152" s="62">
        <f>+G151+G104</f>
        <v>2012266925.6284122</v>
      </c>
      <c r="H152" s="62">
        <f t="shared" ref="H152:I152" si="7">+H151+H104</f>
        <v>3140623137.9731092</v>
      </c>
      <c r="I152" s="62">
        <f t="shared" si="7"/>
        <v>4736575558.5000324</v>
      </c>
    </row>
    <row r="153" spans="1:10" x14ac:dyDescent="0.2">
      <c r="E153" s="31"/>
    </row>
    <row r="154" spans="1:10" x14ac:dyDescent="0.2">
      <c r="A154" s="411"/>
      <c r="E154" s="31"/>
      <c r="F154" s="31"/>
      <c r="G154" s="31"/>
      <c r="H154" s="31"/>
    </row>
    <row r="155" spans="1:10" x14ac:dyDescent="0.2">
      <c r="D155" s="31"/>
    </row>
    <row r="156" spans="1:10" ht="15.75" x14ac:dyDescent="0.25">
      <c r="A156" s="408" t="s">
        <v>639</v>
      </c>
      <c r="B156" s="36"/>
      <c r="C156" s="36"/>
      <c r="D156" s="36"/>
      <c r="E156" s="36"/>
      <c r="F156" s="36"/>
      <c r="G156" s="36"/>
    </row>
    <row r="157" spans="1:10" ht="14.25" x14ac:dyDescent="0.2">
      <c r="A157" s="407" t="s">
        <v>645</v>
      </c>
      <c r="B157" s="36"/>
      <c r="C157" s="36"/>
      <c r="D157" s="36"/>
      <c r="E157" s="36"/>
      <c r="F157" s="36"/>
      <c r="G157" s="36"/>
      <c r="H157" s="146" t="s">
        <v>545</v>
      </c>
    </row>
    <row r="158" spans="1:10" x14ac:dyDescent="0.2">
      <c r="A158" s="402" t="s">
        <v>138</v>
      </c>
      <c r="B158" s="36"/>
      <c r="C158" s="36"/>
      <c r="D158" s="36"/>
      <c r="E158" s="36"/>
      <c r="F158" s="36"/>
      <c r="G158" s="36"/>
    </row>
    <row r="159" spans="1:10" x14ac:dyDescent="0.2">
      <c r="A159" s="403" t="s">
        <v>115</v>
      </c>
      <c r="B159" s="36"/>
      <c r="C159" s="36"/>
      <c r="D159" s="36"/>
      <c r="E159" s="36"/>
      <c r="F159" s="36"/>
      <c r="G159" s="36"/>
    </row>
    <row r="160" spans="1:10" x14ac:dyDescent="0.2">
      <c r="D160" s="31">
        <v>2026</v>
      </c>
      <c r="E160">
        <v>2027</v>
      </c>
      <c r="F160">
        <v>2028</v>
      </c>
      <c r="G160">
        <v>2029</v>
      </c>
      <c r="H160">
        <v>2030</v>
      </c>
      <c r="I160">
        <v>2031</v>
      </c>
    </row>
    <row r="161" spans="1:20" x14ac:dyDescent="0.2">
      <c r="B161" s="49"/>
      <c r="C161" s="49"/>
      <c r="D161" s="191">
        <v>0</v>
      </c>
      <c r="E161" s="192">
        <v>1</v>
      </c>
      <c r="F161" s="192">
        <v>2</v>
      </c>
      <c r="G161" s="192">
        <v>3</v>
      </c>
      <c r="H161" s="192">
        <v>4</v>
      </c>
      <c r="I161" s="192">
        <v>5</v>
      </c>
      <c r="J161" s="131"/>
    </row>
    <row r="162" spans="1:20" x14ac:dyDescent="0.2">
      <c r="B162" s="49"/>
      <c r="C162" s="49"/>
      <c r="D162" s="191"/>
      <c r="E162" s="192"/>
      <c r="F162" s="192"/>
      <c r="G162" s="192"/>
      <c r="H162" s="49"/>
      <c r="I162" s="49"/>
    </row>
    <row r="163" spans="1:20" x14ac:dyDescent="0.2">
      <c r="A163" s="235" t="s">
        <v>335</v>
      </c>
      <c r="B163" s="199" t="s">
        <v>172</v>
      </c>
      <c r="C163" s="199"/>
      <c r="D163" s="415">
        <f t="shared" ref="D163:H163" si="8">+D151</f>
        <v>282558333.33333337</v>
      </c>
      <c r="E163" s="415">
        <f>+E151</f>
        <v>302333825.67590541</v>
      </c>
      <c r="F163" s="415">
        <f>+F151</f>
        <v>638309261.25932038</v>
      </c>
      <c r="G163" s="415">
        <f t="shared" si="8"/>
        <v>789065505.35985339</v>
      </c>
      <c r="H163" s="415">
        <f t="shared" si="8"/>
        <v>1128356212.3446968</v>
      </c>
      <c r="I163" s="415">
        <f>+I151</f>
        <v>1595952420.5269229</v>
      </c>
    </row>
    <row r="164" spans="1:20" s="235" customFormat="1" x14ac:dyDescent="0.2">
      <c r="B164" s="210"/>
      <c r="C164" s="210"/>
      <c r="D164" s="428"/>
      <c r="E164" s="428"/>
      <c r="F164" s="428"/>
      <c r="G164" s="428"/>
      <c r="H164" s="428"/>
      <c r="I164" s="428"/>
      <c r="K164" s="413" t="s">
        <v>546</v>
      </c>
    </row>
    <row r="165" spans="1:20" x14ac:dyDescent="0.2">
      <c r="A165" s="412" t="s">
        <v>173</v>
      </c>
      <c r="B165" s="49" t="s">
        <v>174</v>
      </c>
      <c r="C165" s="49"/>
      <c r="D165" s="189">
        <f>-D145</f>
        <v>-321726666.66666669</v>
      </c>
      <c r="E165" s="189">
        <f>-E145</f>
        <v>0</v>
      </c>
      <c r="F165" s="189">
        <v>0</v>
      </c>
      <c r="G165" s="189">
        <v>0</v>
      </c>
      <c r="H165" s="189">
        <v>0</v>
      </c>
      <c r="I165" s="189">
        <v>0</v>
      </c>
    </row>
    <row r="166" spans="1:20" x14ac:dyDescent="0.2">
      <c r="A166" s="412" t="s">
        <v>175</v>
      </c>
      <c r="B166" s="49" t="s">
        <v>176</v>
      </c>
      <c r="C166" s="49"/>
      <c r="D166" s="189">
        <v>0</v>
      </c>
      <c r="E166" s="189">
        <f>+E146</f>
        <v>64345333.333333336</v>
      </c>
      <c r="F166" s="189">
        <f>+F146</f>
        <v>64345333.333333336</v>
      </c>
      <c r="G166" s="189">
        <f>+G146</f>
        <v>64345333.333333336</v>
      </c>
      <c r="H166" s="189">
        <f>+H146</f>
        <v>64345333.333333336</v>
      </c>
      <c r="I166" s="189">
        <f>+I146</f>
        <v>64345333.333333336</v>
      </c>
    </row>
    <row r="167" spans="1:20" x14ac:dyDescent="0.2">
      <c r="A167" s="412" t="s">
        <v>175</v>
      </c>
      <c r="B167" s="49" t="s">
        <v>177</v>
      </c>
      <c r="C167" s="49"/>
      <c r="D167" s="189">
        <v>0</v>
      </c>
      <c r="E167" s="189">
        <f>+E137</f>
        <v>64551580.018530712</v>
      </c>
      <c r="F167" s="189">
        <f>+F137</f>
        <v>50093293.036438495</v>
      </c>
      <c r="G167" s="189">
        <f>+G137</f>
        <v>35246356.072511122</v>
      </c>
      <c r="H167" s="189">
        <f>+H137</f>
        <v>21592051.540489238</v>
      </c>
      <c r="I167" s="189">
        <f>+I137</f>
        <v>7698812.2957881354</v>
      </c>
    </row>
    <row r="168" spans="1:20" x14ac:dyDescent="0.2">
      <c r="A168" s="412" t="s">
        <v>173</v>
      </c>
      <c r="B168" s="49" t="s">
        <v>178</v>
      </c>
      <c r="C168" s="49"/>
      <c r="D168" s="189">
        <v>0</v>
      </c>
      <c r="E168" s="189">
        <f>-(E167*'3, INVENTARIO'!$D$25)</f>
        <v>-20010989.805744521</v>
      </c>
      <c r="F168" s="189">
        <f>-(F167*'3, INVENTARIO'!$D$25)</f>
        <v>-15528920.841295933</v>
      </c>
      <c r="G168" s="189">
        <f>-(G167*'3, INVENTARIO'!$D$25)</f>
        <v>-10926370.382478448</v>
      </c>
      <c r="H168" s="189">
        <f>-(H167*'3, INVENTARIO'!$D$25)</f>
        <v>-6693535.9775516633</v>
      </c>
      <c r="I168" s="189">
        <f>-(I167*'3, INVENTARIO'!$D$25)</f>
        <v>-2386631.8116943222</v>
      </c>
    </row>
    <row r="169" spans="1:20" x14ac:dyDescent="0.2">
      <c r="A169" s="412" t="s">
        <v>175</v>
      </c>
      <c r="B169" s="49" t="s">
        <v>179</v>
      </c>
      <c r="C169" s="49"/>
      <c r="D169" s="189">
        <v>0</v>
      </c>
      <c r="E169" s="189">
        <f>+E138</f>
        <v>0</v>
      </c>
      <c r="F169" s="189">
        <f>+F138</f>
        <v>108886828.41491246</v>
      </c>
      <c r="G169" s="189">
        <f>+G138</f>
        <v>209710424.83868915</v>
      </c>
      <c r="H169" s="189">
        <f>+H138</f>
        <v>289130127.18384594</v>
      </c>
      <c r="I169" s="189">
        <f>+I138</f>
        <v>406031745.23780602</v>
      </c>
    </row>
    <row r="170" spans="1:20" x14ac:dyDescent="0.2">
      <c r="A170" s="412" t="s">
        <v>173</v>
      </c>
      <c r="B170" s="49" t="s">
        <v>180</v>
      </c>
      <c r="C170" s="49"/>
      <c r="D170" s="189">
        <v>0</v>
      </c>
      <c r="E170" s="189">
        <v>0</v>
      </c>
      <c r="F170" s="189">
        <v>0</v>
      </c>
      <c r="G170" s="189">
        <v>0</v>
      </c>
      <c r="H170" s="189">
        <v>0</v>
      </c>
      <c r="I170" s="189">
        <v>0</v>
      </c>
    </row>
    <row r="171" spans="1:20" x14ac:dyDescent="0.2">
      <c r="A171" s="412" t="s">
        <v>173</v>
      </c>
      <c r="B171" s="49" t="s">
        <v>163</v>
      </c>
      <c r="C171" s="49"/>
      <c r="D171" s="189">
        <f>-D114</f>
        <v>-80431666.666666672</v>
      </c>
      <c r="E171" s="189">
        <v>0</v>
      </c>
      <c r="F171" s="189">
        <v>0</v>
      </c>
      <c r="G171" s="189">
        <v>0</v>
      </c>
      <c r="H171" s="189">
        <v>0</v>
      </c>
      <c r="I171" s="189">
        <v>0</v>
      </c>
    </row>
    <row r="172" spans="1:20" x14ac:dyDescent="0.2">
      <c r="A172" s="412" t="s">
        <v>334</v>
      </c>
      <c r="B172" s="49" t="s">
        <v>377</v>
      </c>
      <c r="C172" s="49"/>
      <c r="D172" s="189"/>
      <c r="E172" s="189">
        <f>+E148</f>
        <v>0</v>
      </c>
      <c r="F172" s="189">
        <f>+F148</f>
        <v>0</v>
      </c>
      <c r="G172" s="189">
        <f>+G148</f>
        <v>0</v>
      </c>
      <c r="H172" s="189">
        <f>+H148</f>
        <v>0</v>
      </c>
      <c r="I172" s="189">
        <f>+I148</f>
        <v>0</v>
      </c>
    </row>
    <row r="173" spans="1:20" x14ac:dyDescent="0.2">
      <c r="A173" s="412" t="s">
        <v>378</v>
      </c>
      <c r="B173" s="49" t="s">
        <v>379</v>
      </c>
      <c r="C173" s="49"/>
      <c r="D173" s="189"/>
      <c r="E173" s="189">
        <f>-E149</f>
        <v>0</v>
      </c>
      <c r="F173" s="189">
        <f>-F149</f>
        <v>0</v>
      </c>
      <c r="G173" s="189">
        <f>-G149</f>
        <v>0</v>
      </c>
      <c r="H173" s="189">
        <f>-H149</f>
        <v>0</v>
      </c>
      <c r="I173" s="189">
        <f>-I149</f>
        <v>0</v>
      </c>
    </row>
    <row r="174" spans="1:20" x14ac:dyDescent="0.2">
      <c r="A174" s="412"/>
      <c r="B174" s="49" t="s">
        <v>344</v>
      </c>
      <c r="C174" s="49"/>
      <c r="D174" s="189">
        <f>SUM(D163:D173)</f>
        <v>-119599999.99999999</v>
      </c>
      <c r="E174" s="189">
        <f>SUM(E163:E173)</f>
        <v>411219749.22202492</v>
      </c>
      <c r="F174" s="189">
        <f>SUM(F163:F173)</f>
        <v>846105795.20270872</v>
      </c>
      <c r="G174" s="189">
        <f t="shared" ref="G174:H174" si="9">SUM(G163:G173)</f>
        <v>1087441249.2219086</v>
      </c>
      <c r="H174" s="189">
        <f t="shared" si="9"/>
        <v>1496730188.4248135</v>
      </c>
      <c r="I174" s="189">
        <f>SUM(I165:I173)</f>
        <v>475689259.05523318</v>
      </c>
      <c r="J174" s="145">
        <f>+(I174/H174)-1</f>
        <v>-0.68218102184745977</v>
      </c>
      <c r="K174" s="183">
        <f>+((I174/G174)^(1/2))-1</f>
        <v>-0.33860825322441512</v>
      </c>
      <c r="L174">
        <f>+((I174/E174)^(1/4))-1</f>
        <v>3.7080206159785467E-2</v>
      </c>
      <c r="M174" s="146" t="s">
        <v>552</v>
      </c>
    </row>
    <row r="175" spans="1:20" ht="89.25" x14ac:dyDescent="0.2">
      <c r="A175" s="412"/>
      <c r="B175" s="193" t="s">
        <v>337</v>
      </c>
      <c r="C175" s="49"/>
      <c r="D175" s="189"/>
      <c r="E175" s="189"/>
      <c r="F175" s="189"/>
      <c r="G175" s="189"/>
      <c r="H175" s="189"/>
      <c r="I175" s="189">
        <f>+(I174-I112-I113+I150)*(1+K174)</f>
        <v>278308183.48837423</v>
      </c>
    </row>
    <row r="176" spans="1:20" x14ac:dyDescent="0.2">
      <c r="A176" s="412" t="s">
        <v>334</v>
      </c>
      <c r="B176" s="49" t="s">
        <v>336</v>
      </c>
      <c r="C176" s="49"/>
      <c r="D176" s="189">
        <v>0</v>
      </c>
      <c r="E176" s="189">
        <v>0</v>
      </c>
      <c r="F176" s="189">
        <v>0</v>
      </c>
      <c r="G176" s="189">
        <v>0</v>
      </c>
      <c r="H176" s="189">
        <v>0</v>
      </c>
      <c r="I176" s="484">
        <f>+I175/(0.6-K174)</f>
        <v>296511545.18650132</v>
      </c>
      <c r="K176" s="146" t="s">
        <v>547</v>
      </c>
      <c r="M176" s="146" t="s">
        <v>548</v>
      </c>
      <c r="O176" s="146" t="s">
        <v>549</v>
      </c>
      <c r="P176" s="146" t="s">
        <v>550</v>
      </c>
      <c r="T176" s="146" t="s">
        <v>551</v>
      </c>
    </row>
    <row r="177" spans="1:10" x14ac:dyDescent="0.2">
      <c r="A177" s="412" t="s">
        <v>339</v>
      </c>
      <c r="B177" s="49" t="s">
        <v>338</v>
      </c>
      <c r="C177" s="49"/>
      <c r="D177" s="189">
        <f>+D174+D176</f>
        <v>-119599999.99999999</v>
      </c>
      <c r="E177" s="189">
        <f>+E174+E176</f>
        <v>411219749.22202492</v>
      </c>
      <c r="F177" s="189">
        <f>+F174+F176</f>
        <v>846105795.20270872</v>
      </c>
      <c r="G177" s="189">
        <f t="shared" ref="G177:I177" si="10">+G174+G176</f>
        <v>1087441249.2219086</v>
      </c>
      <c r="H177" s="189">
        <f t="shared" si="10"/>
        <v>1496730188.4248135</v>
      </c>
      <c r="I177" s="189">
        <f t="shared" si="10"/>
        <v>772200804.2417345</v>
      </c>
    </row>
    <row r="178" spans="1:10" x14ac:dyDescent="0.2">
      <c r="A178" s="412"/>
      <c r="B178" s="49" t="s">
        <v>340</v>
      </c>
      <c r="C178" s="49"/>
      <c r="D178" s="176">
        <v>0.25</v>
      </c>
      <c r="E178" s="195" t="s">
        <v>395</v>
      </c>
      <c r="F178" s="189"/>
      <c r="G178" s="189"/>
      <c r="H178" s="189"/>
      <c r="I178" s="189"/>
    </row>
    <row r="179" spans="1:10" x14ac:dyDescent="0.2">
      <c r="B179" s="49" t="s">
        <v>341</v>
      </c>
      <c r="C179" s="49"/>
      <c r="D179" s="189"/>
      <c r="E179" s="194"/>
      <c r="F179" s="189"/>
      <c r="G179" s="189"/>
      <c r="H179" s="189"/>
      <c r="I179" s="189"/>
    </row>
    <row r="180" spans="1:10" x14ac:dyDescent="0.2">
      <c r="B180" s="427" t="s">
        <v>648</v>
      </c>
      <c r="C180" s="422"/>
      <c r="D180" s="426">
        <f>NPV(D178,E177:I177)+D177</f>
        <v>2173748872.6217055</v>
      </c>
      <c r="E180" s="189"/>
      <c r="F180" s="189"/>
      <c r="G180" s="189"/>
      <c r="H180" s="189"/>
      <c r="I180" s="189"/>
    </row>
    <row r="181" spans="1:10" x14ac:dyDescent="0.2">
      <c r="B181" s="396" t="s">
        <v>181</v>
      </c>
      <c r="C181" s="196"/>
      <c r="D181" s="368">
        <v>0.42199999999999999</v>
      </c>
      <c r="E181" s="189"/>
      <c r="F181" s="189"/>
      <c r="G181" s="189"/>
      <c r="H181" s="189"/>
      <c r="I181" s="189"/>
    </row>
    <row r="182" spans="1:10" x14ac:dyDescent="0.2">
      <c r="D182" s="368">
        <v>0.42199999999999999</v>
      </c>
      <c r="E182" s="31"/>
      <c r="F182" s="31"/>
      <c r="G182" s="31"/>
      <c r="H182" s="31"/>
      <c r="I182" s="31"/>
    </row>
    <row r="183" spans="1:10" x14ac:dyDescent="0.2">
      <c r="B183" s="184" t="s">
        <v>380</v>
      </c>
      <c r="C183" s="194">
        <v>0.15343609999999999</v>
      </c>
      <c r="D183" s="197">
        <f>NPV(C183,E177:I177)+D177</f>
        <v>2805372039.7944875</v>
      </c>
      <c r="E183" s="31"/>
      <c r="F183" s="31"/>
      <c r="G183" s="31"/>
      <c r="H183" s="31"/>
      <c r="I183" s="144"/>
    </row>
    <row r="184" spans="1:10" x14ac:dyDescent="0.2">
      <c r="D184" s="31"/>
      <c r="E184" s="31"/>
      <c r="F184" s="31"/>
      <c r="G184" s="195" t="s">
        <v>553</v>
      </c>
      <c r="H184" s="31"/>
      <c r="I184" s="31"/>
    </row>
    <row r="185" spans="1:10" x14ac:dyDescent="0.2">
      <c r="D185" s="31"/>
      <c r="E185" s="31"/>
      <c r="F185" s="309" t="s">
        <v>333</v>
      </c>
      <c r="G185" s="195" t="s">
        <v>554</v>
      </c>
      <c r="H185" s="31"/>
      <c r="I185" s="31"/>
    </row>
    <row r="186" spans="1:10" x14ac:dyDescent="0.2">
      <c r="D186" s="310">
        <f>IRR(D177:I177)</f>
        <v>4.2227107081692594</v>
      </c>
      <c r="E186" s="31"/>
      <c r="F186" s="31"/>
      <c r="G186" s="195" t="s">
        <v>555</v>
      </c>
      <c r="H186" s="31">
        <f>+D180</f>
        <v>2173748872.6217055</v>
      </c>
      <c r="I186" s="31"/>
      <c r="J186" s="31"/>
    </row>
    <row r="187" spans="1:10" x14ac:dyDescent="0.2">
      <c r="D187" s="144"/>
      <c r="E187" s="144"/>
      <c r="F187" s="144"/>
      <c r="G187" s="144"/>
      <c r="H187" s="144"/>
      <c r="J187" s="144"/>
    </row>
    <row r="188" spans="1:10" x14ac:dyDescent="0.2">
      <c r="E188" s="144"/>
      <c r="F188" s="144"/>
      <c r="G188" s="144"/>
      <c r="H188" s="144"/>
      <c r="I188" s="144"/>
    </row>
    <row r="189" spans="1:10" x14ac:dyDescent="0.2">
      <c r="D189" s="144"/>
      <c r="E189" s="144"/>
      <c r="F189" s="144"/>
      <c r="G189" s="144"/>
      <c r="H189" s="144"/>
      <c r="I189" s="144"/>
      <c r="J189" s="144"/>
    </row>
    <row r="190" spans="1:10" x14ac:dyDescent="0.2">
      <c r="D190" s="31"/>
      <c r="E190" s="31"/>
      <c r="F190" s="31"/>
      <c r="G190" s="31"/>
      <c r="H190" s="31"/>
      <c r="I190" s="31"/>
    </row>
    <row r="191" spans="1:10" x14ac:dyDescent="0.2">
      <c r="D191" s="31"/>
      <c r="E191" s="31"/>
      <c r="F191" s="31"/>
      <c r="G191" s="31"/>
      <c r="H191" s="31"/>
      <c r="I191" s="31"/>
    </row>
    <row r="192" spans="1:10" x14ac:dyDescent="0.2">
      <c r="D192" s="31"/>
      <c r="E192" s="31"/>
      <c r="F192" s="31"/>
      <c r="G192" s="31"/>
      <c r="H192" s="31"/>
      <c r="I192" s="31"/>
    </row>
    <row r="193" spans="4:9" x14ac:dyDescent="0.2">
      <c r="D193" s="31"/>
      <c r="E193" s="31"/>
      <c r="F193" s="31"/>
      <c r="G193" s="31"/>
      <c r="H193" s="31"/>
      <c r="I193" s="31"/>
    </row>
    <row r="194" spans="4:9" x14ac:dyDescent="0.2">
      <c r="D194" s="31"/>
      <c r="E194" s="31"/>
      <c r="F194" s="31"/>
      <c r="G194" s="31"/>
      <c r="H194" s="31"/>
      <c r="I194" s="31"/>
    </row>
    <row r="195" spans="4:9" x14ac:dyDescent="0.2">
      <c r="D195" s="31"/>
      <c r="E195" s="31"/>
      <c r="F195" s="31"/>
      <c r="G195" s="31"/>
      <c r="H195" s="31"/>
      <c r="I195" s="31"/>
    </row>
    <row r="196" spans="4:9" x14ac:dyDescent="0.2">
      <c r="D196" s="31"/>
      <c r="E196" s="31"/>
      <c r="F196" s="31"/>
      <c r="G196" s="31"/>
      <c r="H196" s="31"/>
      <c r="I196" s="31"/>
    </row>
    <row r="197" spans="4:9" x14ac:dyDescent="0.2">
      <c r="D197" s="31"/>
      <c r="E197" s="31"/>
      <c r="F197" s="31"/>
      <c r="G197" s="31"/>
      <c r="H197" s="31"/>
      <c r="I197" s="31"/>
    </row>
    <row r="198" spans="4:9" x14ac:dyDescent="0.2">
      <c r="D198" s="31"/>
      <c r="E198" s="31"/>
      <c r="F198" s="31"/>
      <c r="G198" s="31"/>
      <c r="H198" s="31"/>
      <c r="I198" s="31"/>
    </row>
    <row r="199" spans="4:9" x14ac:dyDescent="0.2">
      <c r="D199" s="31"/>
      <c r="E199" s="31"/>
      <c r="F199" s="31"/>
      <c r="G199" s="31"/>
      <c r="H199" s="31"/>
      <c r="I199" s="31"/>
    </row>
    <row r="200" spans="4:9" x14ac:dyDescent="0.2">
      <c r="D200" s="31"/>
      <c r="E200" s="31"/>
      <c r="F200" s="31"/>
      <c r="G200" s="31"/>
      <c r="H200" s="31"/>
      <c r="I200" s="31"/>
    </row>
    <row r="201" spans="4:9" x14ac:dyDescent="0.2">
      <c r="D201" s="31"/>
      <c r="E201" s="31"/>
      <c r="F201" s="31"/>
      <c r="G201" s="31"/>
      <c r="H201" s="31"/>
      <c r="I201" s="31"/>
    </row>
    <row r="202" spans="4:9" x14ac:dyDescent="0.2">
      <c r="D202" s="31"/>
      <c r="E202" s="31"/>
      <c r="F202" s="31"/>
      <c r="G202" s="31"/>
      <c r="H202" s="31"/>
      <c r="I202" s="31"/>
    </row>
    <row r="203" spans="4:9" x14ac:dyDescent="0.2">
      <c r="D203" s="31"/>
      <c r="E203" s="31"/>
      <c r="F203" s="31"/>
      <c r="G203" s="31"/>
      <c r="H203" s="31"/>
      <c r="I203" s="31"/>
    </row>
    <row r="204" spans="4:9" x14ac:dyDescent="0.2">
      <c r="D204" s="31"/>
      <c r="E204" s="31"/>
      <c r="F204" s="31"/>
      <c r="G204" s="31"/>
      <c r="H204" s="31"/>
      <c r="I204" s="31"/>
    </row>
    <row r="205" spans="4:9" x14ac:dyDescent="0.2">
      <c r="D205" s="31"/>
      <c r="E205" s="31"/>
      <c r="F205" s="31"/>
      <c r="G205" s="31"/>
      <c r="H205" s="31"/>
      <c r="I205" s="31"/>
    </row>
    <row r="206" spans="4:9" x14ac:dyDescent="0.2">
      <c r="D206" s="31"/>
      <c r="E206" s="31"/>
      <c r="F206" s="31"/>
      <c r="G206" s="31"/>
      <c r="H206" s="31"/>
      <c r="I206" s="31"/>
    </row>
    <row r="207" spans="4:9" x14ac:dyDescent="0.2">
      <c r="D207" s="31"/>
      <c r="E207" s="31"/>
      <c r="F207" s="31"/>
      <c r="G207" s="31"/>
      <c r="H207" s="31"/>
      <c r="I207" s="31"/>
    </row>
    <row r="208" spans="4:9" x14ac:dyDescent="0.2">
      <c r="D208" s="31"/>
      <c r="E208" s="31"/>
      <c r="F208" s="31"/>
      <c r="G208" s="31"/>
      <c r="H208" s="31"/>
      <c r="I208" s="31"/>
    </row>
    <row r="209" spans="4:9" x14ac:dyDescent="0.2">
      <c r="D209" s="31"/>
      <c r="E209" s="31"/>
      <c r="F209" s="31"/>
      <c r="G209" s="31"/>
      <c r="H209" s="31"/>
      <c r="I209" s="31"/>
    </row>
    <row r="210" spans="4:9" x14ac:dyDescent="0.2">
      <c r="D210" s="31"/>
      <c r="E210" s="31"/>
      <c r="F210" s="31"/>
      <c r="G210" s="31"/>
      <c r="H210" s="31"/>
      <c r="I210" s="31"/>
    </row>
    <row r="211" spans="4:9" x14ac:dyDescent="0.2">
      <c r="D211" s="31"/>
      <c r="E211" s="31"/>
      <c r="F211" s="31"/>
      <c r="G211" s="31"/>
      <c r="H211" s="31"/>
      <c r="I211" s="31"/>
    </row>
    <row r="212" spans="4:9" x14ac:dyDescent="0.2">
      <c r="D212" s="31"/>
      <c r="E212" s="31"/>
      <c r="F212" s="31"/>
      <c r="G212" s="31"/>
      <c r="H212" s="31"/>
      <c r="I212" s="31"/>
    </row>
    <row r="213" spans="4:9" x14ac:dyDescent="0.2">
      <c r="D213" s="31"/>
      <c r="E213" s="31"/>
      <c r="F213" s="31"/>
      <c r="G213" s="31"/>
      <c r="H213" s="31"/>
      <c r="I213" s="31"/>
    </row>
    <row r="214" spans="4:9" x14ac:dyDescent="0.2">
      <c r="D214" s="31"/>
      <c r="E214" s="31"/>
      <c r="F214" s="31"/>
      <c r="G214" s="31"/>
      <c r="H214" s="31"/>
      <c r="I214" s="31"/>
    </row>
    <row r="215" spans="4:9" x14ac:dyDescent="0.2">
      <c r="D215" s="31"/>
      <c r="E215" s="31"/>
      <c r="F215" s="31"/>
      <c r="G215" s="31"/>
      <c r="H215" s="31"/>
      <c r="I215" s="31"/>
    </row>
    <row r="216" spans="4:9" x14ac:dyDescent="0.2">
      <c r="D216" s="31"/>
      <c r="E216" s="31"/>
      <c r="F216" s="31"/>
      <c r="G216" s="31"/>
      <c r="H216" s="31"/>
      <c r="I216" s="31"/>
    </row>
    <row r="217" spans="4:9" x14ac:dyDescent="0.2">
      <c r="D217" s="31"/>
      <c r="E217" s="31"/>
      <c r="F217" s="31"/>
      <c r="G217" s="31"/>
      <c r="H217" s="31"/>
      <c r="I217" s="31"/>
    </row>
    <row r="218" spans="4:9" x14ac:dyDescent="0.2">
      <c r="D218" s="31"/>
      <c r="E218" s="31"/>
      <c r="F218" s="31"/>
      <c r="G218" s="31"/>
      <c r="H218" s="31"/>
      <c r="I218" s="31"/>
    </row>
    <row r="219" spans="4:9" x14ac:dyDescent="0.2">
      <c r="D219" s="31"/>
      <c r="E219" s="31"/>
      <c r="F219" s="31"/>
      <c r="G219" s="31"/>
      <c r="H219" s="31"/>
      <c r="I219" s="31"/>
    </row>
    <row r="220" spans="4:9" x14ac:dyDescent="0.2">
      <c r="D220" s="31"/>
      <c r="E220" s="31"/>
      <c r="F220" s="31"/>
      <c r="G220" s="31"/>
      <c r="H220" s="31"/>
      <c r="I220" s="31"/>
    </row>
    <row r="221" spans="4:9" x14ac:dyDescent="0.2">
      <c r="D221" s="31"/>
      <c r="E221" s="31"/>
      <c r="F221" s="31"/>
      <c r="G221" s="31"/>
      <c r="H221" s="31"/>
      <c r="I221" s="31"/>
    </row>
    <row r="222" spans="4:9" x14ac:dyDescent="0.2">
      <c r="D222" s="31"/>
      <c r="E222" s="31"/>
      <c r="F222" s="31"/>
      <c r="G222" s="31"/>
      <c r="H222" s="31"/>
      <c r="I222" s="31"/>
    </row>
    <row r="223" spans="4:9" x14ac:dyDescent="0.2">
      <c r="D223" s="31"/>
      <c r="E223" s="31"/>
      <c r="F223" s="31"/>
      <c r="G223" s="31"/>
      <c r="H223" s="31"/>
      <c r="I223" s="31"/>
    </row>
    <row r="224" spans="4:9" x14ac:dyDescent="0.2">
      <c r="D224" s="31"/>
      <c r="E224" s="31"/>
      <c r="F224" s="31"/>
      <c r="G224" s="31"/>
      <c r="H224" s="31"/>
      <c r="I224" s="31"/>
    </row>
    <row r="225" spans="4:9" x14ac:dyDescent="0.2">
      <c r="D225" s="31"/>
      <c r="E225" s="31"/>
      <c r="F225" s="31"/>
      <c r="G225" s="31"/>
      <c r="H225" s="31"/>
      <c r="I225" s="31"/>
    </row>
    <row r="226" spans="4:9" x14ac:dyDescent="0.2">
      <c r="D226" s="31"/>
      <c r="E226" s="31"/>
      <c r="F226" s="31"/>
      <c r="G226" s="31"/>
      <c r="H226" s="31"/>
      <c r="I226" s="31"/>
    </row>
    <row r="227" spans="4:9" x14ac:dyDescent="0.2">
      <c r="D227" s="31"/>
      <c r="E227" s="31"/>
      <c r="F227" s="31"/>
      <c r="G227" s="31"/>
      <c r="H227" s="31"/>
      <c r="I227" s="31"/>
    </row>
    <row r="228" spans="4:9" x14ac:dyDescent="0.2">
      <c r="D228" s="31"/>
      <c r="E228" s="31"/>
      <c r="F228" s="31"/>
      <c r="G228" s="31"/>
      <c r="H228" s="31"/>
      <c r="I228" s="31"/>
    </row>
    <row r="229" spans="4:9" x14ac:dyDescent="0.2">
      <c r="D229" s="31"/>
      <c r="E229" s="31"/>
      <c r="F229" s="31"/>
      <c r="G229" s="31"/>
      <c r="H229" s="31"/>
      <c r="I229" s="31"/>
    </row>
    <row r="230" spans="4:9" x14ac:dyDescent="0.2">
      <c r="D230" s="31"/>
      <c r="E230" s="31"/>
      <c r="F230" s="31"/>
      <c r="G230" s="31"/>
      <c r="H230" s="31"/>
      <c r="I230" s="31"/>
    </row>
    <row r="231" spans="4:9" x14ac:dyDescent="0.2">
      <c r="D231" s="31"/>
      <c r="E231" s="31"/>
      <c r="F231" s="31"/>
      <c r="G231" s="31"/>
      <c r="H231" s="31"/>
      <c r="I231" s="31"/>
    </row>
    <row r="232" spans="4:9" x14ac:dyDescent="0.2">
      <c r="D232" s="31"/>
      <c r="E232" s="31"/>
      <c r="F232" s="31"/>
      <c r="G232" s="31"/>
      <c r="H232" s="31"/>
      <c r="I232" s="31"/>
    </row>
    <row r="233" spans="4:9" x14ac:dyDescent="0.2">
      <c r="D233" s="31"/>
      <c r="E233" s="31"/>
      <c r="F233" s="31"/>
      <c r="G233" s="31"/>
      <c r="H233" s="31"/>
      <c r="I233" s="31"/>
    </row>
    <row r="234" spans="4:9" x14ac:dyDescent="0.2">
      <c r="D234" s="31"/>
      <c r="E234" s="31"/>
      <c r="F234" s="31"/>
      <c r="G234" s="31"/>
      <c r="H234" s="31"/>
      <c r="I234" s="31"/>
    </row>
    <row r="235" spans="4:9" x14ac:dyDescent="0.2">
      <c r="D235" s="31"/>
      <c r="E235" s="31"/>
      <c r="F235" s="31"/>
      <c r="G235" s="31"/>
      <c r="H235" s="31"/>
      <c r="I235" s="31"/>
    </row>
    <row r="236" spans="4:9" x14ac:dyDescent="0.2">
      <c r="D236" s="31"/>
      <c r="E236" s="31"/>
      <c r="F236" s="31"/>
      <c r="G236" s="31"/>
      <c r="H236" s="31"/>
      <c r="I236" s="31"/>
    </row>
    <row r="237" spans="4:9" x14ac:dyDescent="0.2">
      <c r="D237" s="31"/>
      <c r="E237" s="31"/>
      <c r="F237" s="31"/>
      <c r="G237" s="31"/>
      <c r="H237" s="31"/>
      <c r="I237" s="31"/>
    </row>
    <row r="238" spans="4:9" x14ac:dyDescent="0.2">
      <c r="D238" s="31"/>
      <c r="E238" s="31"/>
      <c r="F238" s="31"/>
      <c r="G238" s="31"/>
      <c r="H238" s="31"/>
      <c r="I238" s="31"/>
    </row>
    <row r="239" spans="4:9" x14ac:dyDescent="0.2">
      <c r="D239" s="31"/>
      <c r="E239" s="31"/>
      <c r="F239" s="31"/>
      <c r="G239" s="31"/>
      <c r="H239" s="31"/>
      <c r="I239" s="31"/>
    </row>
    <row r="240" spans="4:9" x14ac:dyDescent="0.2">
      <c r="D240" s="31"/>
      <c r="E240" s="31"/>
      <c r="F240" s="31"/>
      <c r="G240" s="31"/>
      <c r="H240" s="31"/>
      <c r="I240" s="31"/>
    </row>
    <row r="241" spans="4:9" x14ac:dyDescent="0.2">
      <c r="D241" s="31"/>
      <c r="E241" s="31"/>
      <c r="F241" s="31"/>
      <c r="G241" s="31"/>
      <c r="H241" s="31"/>
      <c r="I241" s="31"/>
    </row>
    <row r="242" spans="4:9" x14ac:dyDescent="0.2">
      <c r="D242" s="31"/>
      <c r="E242" s="31"/>
      <c r="F242" s="31"/>
      <c r="G242" s="31"/>
      <c r="H242" s="31"/>
      <c r="I242" s="31"/>
    </row>
    <row r="243" spans="4:9" x14ac:dyDescent="0.2">
      <c r="D243" s="31"/>
      <c r="E243" s="31"/>
      <c r="F243" s="31"/>
      <c r="G243" s="31"/>
      <c r="H243" s="31"/>
      <c r="I243" s="31"/>
    </row>
    <row r="244" spans="4:9" x14ac:dyDescent="0.2">
      <c r="D244" s="31"/>
      <c r="E244" s="31"/>
      <c r="F244" s="31"/>
      <c r="G244" s="31"/>
      <c r="H244" s="31"/>
      <c r="I244" s="31"/>
    </row>
    <row r="245" spans="4:9" x14ac:dyDescent="0.2">
      <c r="D245" s="31"/>
      <c r="E245" s="31"/>
      <c r="F245" s="31"/>
      <c r="G245" s="31"/>
      <c r="H245" s="31"/>
      <c r="I245" s="31"/>
    </row>
    <row r="246" spans="4:9" x14ac:dyDescent="0.2">
      <c r="D246" s="31"/>
      <c r="E246" s="31"/>
      <c r="F246" s="31"/>
      <c r="G246" s="31"/>
      <c r="H246" s="31"/>
      <c r="I246" s="31"/>
    </row>
    <row r="247" spans="4:9" x14ac:dyDescent="0.2">
      <c r="D247" s="31"/>
      <c r="E247" s="31"/>
      <c r="F247" s="31"/>
      <c r="G247" s="31"/>
      <c r="H247" s="31"/>
      <c r="I247" s="31"/>
    </row>
    <row r="248" spans="4:9" x14ac:dyDescent="0.2">
      <c r="D248" s="31"/>
      <c r="E248" s="31"/>
      <c r="F248" s="31"/>
      <c r="G248" s="31"/>
      <c r="H248" s="31"/>
      <c r="I248" s="31"/>
    </row>
    <row r="249" spans="4:9" x14ac:dyDescent="0.2">
      <c r="D249" s="31"/>
      <c r="E249" s="31"/>
      <c r="F249" s="31"/>
      <c r="G249" s="31"/>
      <c r="H249" s="31"/>
      <c r="I249" s="31"/>
    </row>
    <row r="250" spans="4:9" x14ac:dyDescent="0.2">
      <c r="D250" s="31"/>
      <c r="E250" s="31"/>
      <c r="F250" s="31"/>
      <c r="G250" s="31"/>
      <c r="H250" s="31"/>
      <c r="I250" s="31"/>
    </row>
    <row r="251" spans="4:9" x14ac:dyDescent="0.2">
      <c r="D251" s="31"/>
      <c r="E251" s="31"/>
      <c r="F251" s="31"/>
      <c r="G251" s="31"/>
      <c r="H251" s="31"/>
      <c r="I251" s="31"/>
    </row>
    <row r="252" spans="4:9" x14ac:dyDescent="0.2">
      <c r="D252" s="31"/>
      <c r="E252" s="31"/>
      <c r="F252" s="31"/>
      <c r="G252" s="31"/>
      <c r="H252" s="31"/>
      <c r="I252" s="31"/>
    </row>
    <row r="253" spans="4:9" x14ac:dyDescent="0.2">
      <c r="D253" s="31"/>
      <c r="E253" s="31"/>
      <c r="F253" s="31"/>
      <c r="G253" s="31"/>
      <c r="H253" s="31"/>
      <c r="I253" s="31"/>
    </row>
    <row r="254" spans="4:9" x14ac:dyDescent="0.2">
      <c r="D254" s="31"/>
      <c r="E254" s="31"/>
      <c r="F254" s="31"/>
      <c r="G254" s="31"/>
      <c r="H254" s="31"/>
      <c r="I254" s="31"/>
    </row>
    <row r="255" spans="4:9" x14ac:dyDescent="0.2">
      <c r="D255" s="31"/>
      <c r="E255" s="31"/>
      <c r="F255" s="31"/>
      <c r="G255" s="31"/>
      <c r="H255" s="31"/>
      <c r="I255" s="31"/>
    </row>
    <row r="256" spans="4:9" x14ac:dyDescent="0.2">
      <c r="D256" s="31"/>
      <c r="E256" s="31"/>
      <c r="F256" s="31"/>
      <c r="G256" s="31"/>
      <c r="H256" s="31"/>
      <c r="I256" s="31"/>
    </row>
    <row r="257" spans="4:9" x14ac:dyDescent="0.2">
      <c r="D257" s="31"/>
      <c r="E257" s="31"/>
      <c r="F257" s="31"/>
      <c r="G257" s="31"/>
      <c r="H257" s="31"/>
      <c r="I257" s="31"/>
    </row>
    <row r="258" spans="4:9" x14ac:dyDescent="0.2">
      <c r="D258" s="31"/>
      <c r="E258" s="31"/>
      <c r="F258" s="31"/>
      <c r="G258" s="31"/>
      <c r="H258" s="31"/>
      <c r="I258" s="31"/>
    </row>
    <row r="259" spans="4:9" x14ac:dyDescent="0.2">
      <c r="D259" s="31"/>
      <c r="E259" s="31"/>
      <c r="F259" s="31"/>
      <c r="G259" s="31"/>
      <c r="H259" s="31"/>
      <c r="I259" s="31"/>
    </row>
    <row r="260" spans="4:9" x14ac:dyDescent="0.2">
      <c r="D260" s="31"/>
      <c r="E260" s="31"/>
      <c r="F260" s="31"/>
      <c r="G260" s="31"/>
      <c r="H260" s="31"/>
      <c r="I260" s="31"/>
    </row>
    <row r="261" spans="4:9" x14ac:dyDescent="0.2">
      <c r="D261" s="31"/>
      <c r="E261" s="31"/>
      <c r="F261" s="31"/>
      <c r="G261" s="31"/>
      <c r="H261" s="31"/>
      <c r="I261" s="31"/>
    </row>
    <row r="262" spans="4:9" x14ac:dyDescent="0.2">
      <c r="D262" s="31"/>
      <c r="E262" s="31"/>
      <c r="F262" s="31"/>
      <c r="G262" s="31"/>
      <c r="H262" s="31"/>
      <c r="I262" s="31"/>
    </row>
    <row r="263" spans="4:9" x14ac:dyDescent="0.2">
      <c r="D263" s="31"/>
      <c r="E263" s="31"/>
      <c r="F263" s="31"/>
      <c r="G263" s="31"/>
      <c r="H263" s="31"/>
      <c r="I263" s="31"/>
    </row>
    <row r="264" spans="4:9" x14ac:dyDescent="0.2">
      <c r="D264" s="31"/>
      <c r="E264" s="31"/>
      <c r="F264" s="31"/>
      <c r="G264" s="31"/>
      <c r="H264" s="31"/>
      <c r="I264" s="31"/>
    </row>
    <row r="265" spans="4:9" x14ac:dyDescent="0.2">
      <c r="D265" s="31"/>
      <c r="E265" s="31"/>
      <c r="F265" s="31"/>
      <c r="G265" s="31"/>
      <c r="H265" s="31"/>
      <c r="I265" s="31"/>
    </row>
    <row r="266" spans="4:9" x14ac:dyDescent="0.2">
      <c r="D266" s="31"/>
      <c r="E266" s="31"/>
      <c r="F266" s="31"/>
      <c r="G266" s="31"/>
      <c r="H266" s="31"/>
      <c r="I266" s="31"/>
    </row>
    <row r="267" spans="4:9" x14ac:dyDescent="0.2">
      <c r="D267" s="31"/>
      <c r="E267" s="31"/>
      <c r="F267" s="31"/>
      <c r="G267" s="31"/>
      <c r="H267" s="31"/>
      <c r="I267" s="31"/>
    </row>
    <row r="268" spans="4:9" x14ac:dyDescent="0.2">
      <c r="D268" s="31"/>
      <c r="E268" s="31"/>
      <c r="F268" s="31"/>
      <c r="G268" s="31"/>
      <c r="H268" s="31"/>
      <c r="I268" s="31"/>
    </row>
    <row r="269" spans="4:9" x14ac:dyDescent="0.2">
      <c r="D269" s="31"/>
      <c r="E269" s="31"/>
      <c r="F269" s="31"/>
      <c r="G269" s="31"/>
      <c r="H269" s="31"/>
      <c r="I269" s="31"/>
    </row>
    <row r="270" spans="4:9" x14ac:dyDescent="0.2">
      <c r="D270" s="31"/>
      <c r="E270" s="31"/>
      <c r="F270" s="31"/>
      <c r="G270" s="31"/>
      <c r="H270" s="31"/>
      <c r="I270" s="31"/>
    </row>
    <row r="271" spans="4:9" x14ac:dyDescent="0.2">
      <c r="D271" s="31"/>
      <c r="E271" s="31"/>
      <c r="F271" s="31"/>
      <c r="G271" s="31"/>
      <c r="H271" s="31"/>
      <c r="I271" s="31"/>
    </row>
    <row r="272" spans="4:9" x14ac:dyDescent="0.2">
      <c r="D272" s="31"/>
      <c r="E272" s="31"/>
      <c r="F272" s="31"/>
      <c r="G272" s="31"/>
      <c r="H272" s="31"/>
      <c r="I272" s="31"/>
    </row>
    <row r="273" spans="4:9" x14ac:dyDescent="0.2">
      <c r="D273" s="31"/>
      <c r="E273" s="31"/>
      <c r="F273" s="31"/>
      <c r="G273" s="31"/>
      <c r="H273" s="31"/>
      <c r="I273" s="31"/>
    </row>
    <row r="274" spans="4:9" x14ac:dyDescent="0.2">
      <c r="D274" s="31"/>
      <c r="E274" s="31"/>
      <c r="F274" s="31"/>
      <c r="G274" s="31"/>
      <c r="H274" s="31"/>
      <c r="I274" s="31"/>
    </row>
    <row r="275" spans="4:9" x14ac:dyDescent="0.2">
      <c r="D275" s="31"/>
      <c r="E275" s="31"/>
      <c r="F275" s="31"/>
      <c r="G275" s="31"/>
      <c r="H275" s="31"/>
      <c r="I275" s="31"/>
    </row>
    <row r="276" spans="4:9" x14ac:dyDescent="0.2">
      <c r="D276" s="31"/>
      <c r="E276" s="31"/>
      <c r="F276" s="31"/>
      <c r="G276" s="31"/>
      <c r="H276" s="31"/>
      <c r="I276" s="31"/>
    </row>
    <row r="277" spans="4:9" x14ac:dyDescent="0.2">
      <c r="D277" s="31"/>
      <c r="E277" s="31"/>
      <c r="F277" s="31"/>
      <c r="G277" s="31"/>
      <c r="H277" s="31"/>
      <c r="I277" s="31"/>
    </row>
    <row r="278" spans="4:9" x14ac:dyDescent="0.2">
      <c r="D278" s="31"/>
      <c r="E278" s="31"/>
      <c r="F278" s="31"/>
      <c r="G278" s="31"/>
      <c r="H278" s="31"/>
      <c r="I278" s="31"/>
    </row>
    <row r="279" spans="4:9" x14ac:dyDescent="0.2">
      <c r="D279" s="31"/>
      <c r="E279" s="31"/>
      <c r="F279" s="31"/>
      <c r="G279" s="31"/>
      <c r="H279" s="31"/>
      <c r="I279" s="31"/>
    </row>
    <row r="280" spans="4:9" x14ac:dyDescent="0.2">
      <c r="D280" s="31"/>
      <c r="E280" s="31"/>
      <c r="F280" s="31"/>
      <c r="G280" s="31"/>
      <c r="H280" s="31"/>
      <c r="I280" s="31"/>
    </row>
    <row r="281" spans="4:9" x14ac:dyDescent="0.2">
      <c r="D281" s="31"/>
      <c r="E281" s="31"/>
      <c r="F281" s="31"/>
      <c r="G281" s="31"/>
      <c r="H281" s="31"/>
      <c r="I281" s="31"/>
    </row>
    <row r="282" spans="4:9" x14ac:dyDescent="0.2">
      <c r="D282" s="31"/>
      <c r="E282" s="31"/>
      <c r="F282" s="31"/>
      <c r="G282" s="31"/>
      <c r="H282" s="31"/>
      <c r="I282" s="31"/>
    </row>
    <row r="283" spans="4:9" x14ac:dyDescent="0.2">
      <c r="D283" s="31"/>
      <c r="E283" s="31"/>
      <c r="F283" s="31"/>
      <c r="G283" s="31"/>
      <c r="H283" s="31"/>
      <c r="I283" s="31"/>
    </row>
    <row r="284" spans="4:9" x14ac:dyDescent="0.2">
      <c r="D284" s="31"/>
      <c r="E284" s="31"/>
      <c r="F284" s="31"/>
      <c r="G284" s="31"/>
      <c r="H284" s="31"/>
      <c r="I284" s="31"/>
    </row>
    <row r="285" spans="4:9" x14ac:dyDescent="0.2">
      <c r="D285" s="31"/>
      <c r="E285" s="31"/>
      <c r="F285" s="31"/>
      <c r="G285" s="31"/>
      <c r="H285" s="31"/>
      <c r="I285" s="31"/>
    </row>
    <row r="286" spans="4:9" x14ac:dyDescent="0.2">
      <c r="D286" s="31"/>
      <c r="E286" s="31"/>
      <c r="F286" s="31"/>
      <c r="G286" s="31"/>
      <c r="H286" s="31"/>
      <c r="I286" s="31"/>
    </row>
    <row r="287" spans="4:9" x14ac:dyDescent="0.2">
      <c r="D287" s="31"/>
      <c r="E287" s="31"/>
      <c r="F287" s="31"/>
      <c r="G287" s="31"/>
      <c r="H287" s="31"/>
      <c r="I287" s="31"/>
    </row>
    <row r="288" spans="4:9" x14ac:dyDescent="0.2">
      <c r="D288" s="31"/>
      <c r="E288" s="31"/>
      <c r="F288" s="31"/>
      <c r="G288" s="31"/>
      <c r="H288" s="31"/>
      <c r="I288" s="31"/>
    </row>
    <row r="289" spans="4:9" x14ac:dyDescent="0.2">
      <c r="D289" s="31"/>
      <c r="E289" s="31"/>
      <c r="F289" s="31"/>
      <c r="G289" s="31"/>
      <c r="H289" s="31"/>
      <c r="I289" s="31"/>
    </row>
    <row r="290" spans="4:9" x14ac:dyDescent="0.2">
      <c r="D290" s="31"/>
      <c r="E290" s="31"/>
      <c r="F290" s="31"/>
      <c r="G290" s="31"/>
      <c r="H290" s="31"/>
      <c r="I290" s="31"/>
    </row>
    <row r="291" spans="4:9" x14ac:dyDescent="0.2">
      <c r="D291" s="31"/>
      <c r="E291" s="31"/>
      <c r="F291" s="31"/>
      <c r="G291" s="31"/>
      <c r="H291" s="31"/>
      <c r="I291" s="31"/>
    </row>
    <row r="292" spans="4:9" x14ac:dyDescent="0.2">
      <c r="D292" s="31"/>
      <c r="E292" s="31"/>
      <c r="F292" s="31"/>
      <c r="G292" s="31"/>
      <c r="H292" s="31"/>
      <c r="I292" s="31"/>
    </row>
    <row r="293" spans="4:9" x14ac:dyDescent="0.2">
      <c r="D293" s="31"/>
      <c r="E293" s="31"/>
      <c r="F293" s="31"/>
      <c r="G293" s="31"/>
      <c r="H293" s="31"/>
      <c r="I293" s="31"/>
    </row>
    <row r="294" spans="4:9" x14ac:dyDescent="0.2">
      <c r="D294" s="31"/>
      <c r="E294" s="31"/>
      <c r="F294" s="31"/>
      <c r="G294" s="31"/>
      <c r="H294" s="31"/>
      <c r="I294" s="31"/>
    </row>
    <row r="295" spans="4:9" x14ac:dyDescent="0.2">
      <c r="D295" s="31"/>
      <c r="E295" s="31"/>
      <c r="F295" s="31"/>
      <c r="G295" s="31"/>
      <c r="H295" s="31"/>
      <c r="I295" s="31"/>
    </row>
    <row r="296" spans="4:9" x14ac:dyDescent="0.2">
      <c r="D296" s="31"/>
      <c r="E296" s="31"/>
      <c r="F296" s="31"/>
      <c r="G296" s="31"/>
      <c r="H296" s="31"/>
      <c r="I296" s="31"/>
    </row>
    <row r="297" spans="4:9" x14ac:dyDescent="0.2">
      <c r="D297" s="31"/>
      <c r="E297" s="31"/>
      <c r="F297" s="31"/>
      <c r="G297" s="31"/>
      <c r="H297" s="31"/>
      <c r="I297" s="31"/>
    </row>
    <row r="298" spans="4:9" x14ac:dyDescent="0.2">
      <c r="D298" s="31"/>
      <c r="E298" s="31"/>
      <c r="F298" s="31"/>
      <c r="G298" s="31"/>
      <c r="H298" s="31"/>
      <c r="I298" s="31"/>
    </row>
    <row r="299" spans="4:9" x14ac:dyDescent="0.2">
      <c r="D299" s="31"/>
      <c r="E299" s="31"/>
      <c r="F299" s="31"/>
      <c r="G299" s="31"/>
      <c r="H299" s="31"/>
      <c r="I299" s="31"/>
    </row>
    <row r="300" spans="4:9" x14ac:dyDescent="0.2">
      <c r="D300" s="31"/>
      <c r="E300" s="31"/>
      <c r="F300" s="31"/>
      <c r="G300" s="31"/>
      <c r="H300" s="31"/>
      <c r="I300" s="31"/>
    </row>
    <row r="301" spans="4:9" x14ac:dyDescent="0.2">
      <c r="D301" s="31"/>
      <c r="E301" s="31"/>
      <c r="F301" s="31"/>
      <c r="G301" s="31"/>
      <c r="H301" s="31"/>
      <c r="I301" s="31"/>
    </row>
    <row r="302" spans="4:9" x14ac:dyDescent="0.2">
      <c r="D302" s="31"/>
      <c r="E302" s="31"/>
      <c r="F302" s="31"/>
      <c r="G302" s="31"/>
      <c r="H302" s="31"/>
      <c r="I302" s="31"/>
    </row>
    <row r="303" spans="4:9" x14ac:dyDescent="0.2">
      <c r="D303" s="31"/>
      <c r="E303" s="31"/>
      <c r="F303" s="31"/>
      <c r="G303" s="31"/>
      <c r="H303" s="31"/>
      <c r="I303" s="31"/>
    </row>
    <row r="304" spans="4:9" x14ac:dyDescent="0.2">
      <c r="D304" s="31"/>
      <c r="E304" s="31"/>
      <c r="F304" s="31"/>
      <c r="G304" s="31"/>
      <c r="H304" s="31"/>
      <c r="I304" s="31"/>
    </row>
    <row r="305" spans="4:9" x14ac:dyDescent="0.2">
      <c r="D305" s="31"/>
      <c r="E305" s="31"/>
      <c r="F305" s="31"/>
      <c r="G305" s="31"/>
      <c r="H305" s="31"/>
      <c r="I305" s="31"/>
    </row>
    <row r="306" spans="4:9" x14ac:dyDescent="0.2">
      <c r="D306" s="31"/>
      <c r="E306" s="31"/>
      <c r="F306" s="31"/>
      <c r="G306" s="31"/>
      <c r="H306" s="31"/>
      <c r="I306" s="31"/>
    </row>
    <row r="307" spans="4:9" x14ac:dyDescent="0.2">
      <c r="D307" s="31"/>
      <c r="E307" s="31"/>
      <c r="F307" s="31"/>
      <c r="G307" s="31"/>
      <c r="H307" s="31"/>
      <c r="I307" s="31"/>
    </row>
    <row r="308" spans="4:9" x14ac:dyDescent="0.2">
      <c r="D308" s="31"/>
      <c r="E308" s="31"/>
      <c r="F308" s="31"/>
      <c r="G308" s="31"/>
      <c r="H308" s="31"/>
      <c r="I308" s="31"/>
    </row>
    <row r="309" spans="4:9" x14ac:dyDescent="0.2">
      <c r="D309" s="31"/>
      <c r="E309" s="31"/>
      <c r="F309" s="31"/>
      <c r="G309" s="31"/>
      <c r="H309" s="31"/>
      <c r="I309" s="31"/>
    </row>
    <row r="310" spans="4:9" x14ac:dyDescent="0.2">
      <c r="D310" s="31"/>
      <c r="E310" s="31"/>
      <c r="F310" s="31"/>
      <c r="G310" s="31"/>
      <c r="H310" s="31"/>
      <c r="I310" s="31"/>
    </row>
    <row r="311" spans="4:9" x14ac:dyDescent="0.2">
      <c r="D311" s="31"/>
      <c r="E311" s="31"/>
      <c r="F311" s="31"/>
      <c r="G311" s="31"/>
      <c r="H311" s="31"/>
      <c r="I311" s="31"/>
    </row>
  </sheetData>
  <mergeCells count="1">
    <mergeCell ref="C2:F2"/>
  </mergeCells>
  <phoneticPr fontId="0" type="noConversion"/>
  <printOptions horizontalCentered="1" verticalCentered="1"/>
  <pageMargins left="0.9055118110236221" right="0.78740157480314965" top="0.78740157480314965" bottom="0.78740157480314965" header="0" footer="0"/>
  <pageSetup scale="89" orientation="portrait" horizontalDpi="360" verticalDpi="36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BDF9-FC53-49FF-A4D8-80597AE3D0D0}">
  <sheetPr>
    <tabColor theme="1"/>
  </sheetPr>
  <dimension ref="A1"/>
  <sheetViews>
    <sheetView topLeftCell="A9" workbookViewId="0">
      <selection activeCell="P13" sqref="P13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5FF5B-3383-45D9-B778-28D849ECC32B}">
  <sheetPr>
    <tabColor theme="1"/>
  </sheetPr>
  <dimension ref="C5:J25"/>
  <sheetViews>
    <sheetView workbookViewId="0">
      <selection activeCell="G10" sqref="G10"/>
    </sheetView>
  </sheetViews>
  <sheetFormatPr baseColWidth="10" defaultRowHeight="12.75" x14ac:dyDescent="0.2"/>
  <cols>
    <col min="3" max="3" width="15.42578125" customWidth="1"/>
    <col min="4" max="4" width="12.7109375" bestFit="1" customWidth="1"/>
    <col min="6" max="6" width="12.7109375" bestFit="1" customWidth="1"/>
  </cols>
  <sheetData>
    <row r="5" spans="3:5" x14ac:dyDescent="0.2">
      <c r="C5" s="440" t="s">
        <v>622</v>
      </c>
      <c r="D5" s="356">
        <f>SUM('6. ESTADOS FINANCIEROS'!D27:D30)</f>
        <v>155509001.40000001</v>
      </c>
    </row>
    <row r="6" spans="3:5" x14ac:dyDescent="0.2">
      <c r="C6" s="440"/>
      <c r="D6" s="356">
        <f>'1. PERSONAL'!D42</f>
        <v>204060801.11999997</v>
      </c>
    </row>
    <row r="7" spans="3:5" x14ac:dyDescent="0.2">
      <c r="C7" s="360" t="s">
        <v>1</v>
      </c>
      <c r="D7" s="356">
        <f>SUM(D5:D6)</f>
        <v>359569802.51999998</v>
      </c>
    </row>
    <row r="8" spans="3:5" x14ac:dyDescent="0.2">
      <c r="C8" s="360"/>
      <c r="D8" s="357"/>
    </row>
    <row r="9" spans="3:5" x14ac:dyDescent="0.2">
      <c r="C9" s="360"/>
      <c r="D9" s="357"/>
    </row>
    <row r="10" spans="3:5" x14ac:dyDescent="0.2">
      <c r="C10" s="360" t="s">
        <v>623</v>
      </c>
      <c r="D10" s="356">
        <f>'3, INVENTARIO'!E14-'4. COSTOS'!C20</f>
        <v>3400000</v>
      </c>
    </row>
    <row r="11" spans="3:5" x14ac:dyDescent="0.2">
      <c r="C11" s="360" t="s">
        <v>624</v>
      </c>
      <c r="D11" s="356">
        <f>'3, INVENTARIO'!E15-'4. COSTOS'!D20</f>
        <v>4659999.9999999981</v>
      </c>
    </row>
    <row r="12" spans="3:5" x14ac:dyDescent="0.2">
      <c r="C12" s="360" t="s">
        <v>625</v>
      </c>
      <c r="D12" s="356">
        <f>'3, INVENTARIO'!E16-'4. COSTOS'!E20</f>
        <v>16000000</v>
      </c>
    </row>
    <row r="13" spans="3:5" x14ac:dyDescent="0.2">
      <c r="C13" s="360" t="s">
        <v>1</v>
      </c>
      <c r="D13" s="356">
        <f>SUM(D10:D12)</f>
        <v>24060000</v>
      </c>
    </row>
    <row r="14" spans="3:5" x14ac:dyDescent="0.2">
      <c r="C14" s="360"/>
      <c r="D14" s="357"/>
    </row>
    <row r="15" spans="3:5" x14ac:dyDescent="0.2">
      <c r="C15" s="360"/>
      <c r="D15" s="357"/>
    </row>
    <row r="16" spans="3:5" x14ac:dyDescent="0.2">
      <c r="C16" s="360" t="s">
        <v>626</v>
      </c>
      <c r="D16" s="358">
        <f>D7/D13</f>
        <v>14.94471332169576</v>
      </c>
      <c r="E16" s="344" t="s">
        <v>629</v>
      </c>
    </row>
    <row r="17" spans="3:10" x14ac:dyDescent="0.2">
      <c r="C17" s="360" t="s">
        <v>627</v>
      </c>
      <c r="D17" s="359">
        <f>D16/12</f>
        <v>1.24539277680798</v>
      </c>
      <c r="E17" s="344" t="s">
        <v>628</v>
      </c>
    </row>
    <row r="20" spans="3:10" x14ac:dyDescent="0.2">
      <c r="C20" s="344" t="s">
        <v>630</v>
      </c>
      <c r="D20" s="358">
        <f>D7/D11</f>
        <v>77.160901828326203</v>
      </c>
      <c r="E20" s="344" t="s">
        <v>632</v>
      </c>
    </row>
    <row r="21" spans="3:10" x14ac:dyDescent="0.2">
      <c r="C21" s="344" t="s">
        <v>631</v>
      </c>
      <c r="D21" s="358">
        <f>D20/12</f>
        <v>6.4300751523605166</v>
      </c>
      <c r="E21" s="344" t="s">
        <v>633</v>
      </c>
    </row>
    <row r="24" spans="3:10" ht="15" x14ac:dyDescent="0.25">
      <c r="C24" s="128" t="s">
        <v>634</v>
      </c>
      <c r="D24" s="128"/>
      <c r="E24" s="128"/>
      <c r="F24" s="361">
        <v>113800000</v>
      </c>
      <c r="G24" s="363" t="s">
        <v>635</v>
      </c>
      <c r="H24" s="365">
        <f>F24/F25</f>
        <v>2.2172532109986283</v>
      </c>
      <c r="I24" s="366" t="s">
        <v>642</v>
      </c>
      <c r="J24" s="366"/>
    </row>
    <row r="25" spans="3:10" x14ac:dyDescent="0.2">
      <c r="F25" s="362">
        <v>51324765</v>
      </c>
    </row>
  </sheetData>
  <mergeCells count="1">
    <mergeCell ref="C5:C6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N74"/>
  <sheetViews>
    <sheetView zoomScale="90" zoomScaleNormal="90" workbookViewId="0">
      <selection activeCell="D4" sqref="D4"/>
    </sheetView>
  </sheetViews>
  <sheetFormatPr baseColWidth="10" defaultRowHeight="12.75" x14ac:dyDescent="0.2"/>
  <cols>
    <col min="2" max="2" width="13.85546875" customWidth="1"/>
    <col min="3" max="3" width="12.7109375" customWidth="1"/>
    <col min="4" max="4" width="13.42578125" customWidth="1"/>
    <col min="6" max="6" width="14.85546875" bestFit="1" customWidth="1"/>
    <col min="8" max="9" width="12.85546875" customWidth="1"/>
    <col min="11" max="11" width="11.5703125" customWidth="1"/>
    <col min="12" max="12" width="19" customWidth="1"/>
    <col min="13" max="13" width="15.28515625" bestFit="1" customWidth="1"/>
    <col min="14" max="14" width="14.7109375" customWidth="1"/>
  </cols>
  <sheetData>
    <row r="1" spans="1:14" x14ac:dyDescent="0.2">
      <c r="A1" t="s">
        <v>182</v>
      </c>
      <c r="C1" s="18">
        <f>+'2. INVERSION'!B76</f>
        <v>402158333.33333331</v>
      </c>
      <c r="E1" s="161"/>
      <c r="F1" s="161" t="s">
        <v>513</v>
      </c>
      <c r="G1" s="161" t="s">
        <v>514</v>
      </c>
    </row>
    <row r="2" spans="1:14" x14ac:dyDescent="0.2">
      <c r="A2" t="s">
        <v>323</v>
      </c>
      <c r="C2" s="18">
        <f>+C1*0.2</f>
        <v>80431666.666666672</v>
      </c>
      <c r="E2" s="161">
        <v>1</v>
      </c>
      <c r="F2" s="286">
        <f>C2</f>
        <v>80431666.666666672</v>
      </c>
      <c r="G2" s="287">
        <f>+F2/$F$6</f>
        <v>1</v>
      </c>
    </row>
    <row r="3" spans="1:14" x14ac:dyDescent="0.2">
      <c r="A3" t="s">
        <v>183</v>
      </c>
      <c r="C3" s="18">
        <f>+C1*80%</f>
        <v>321726666.66666669</v>
      </c>
      <c r="E3" s="161"/>
      <c r="F3" s="286"/>
      <c r="G3" s="287">
        <f>+F3/$F$6</f>
        <v>0</v>
      </c>
    </row>
    <row r="4" spans="1:14" x14ac:dyDescent="0.2">
      <c r="A4" t="s">
        <v>184</v>
      </c>
      <c r="C4" s="148">
        <f>5*12</f>
        <v>60</v>
      </c>
      <c r="E4" s="161"/>
      <c r="F4" s="286"/>
      <c r="G4" s="287">
        <f>+F4/$F$6</f>
        <v>0</v>
      </c>
    </row>
    <row r="5" spans="1:14" x14ac:dyDescent="0.2">
      <c r="A5" t="s">
        <v>185</v>
      </c>
      <c r="E5" s="161"/>
      <c r="F5" s="286"/>
      <c r="G5" s="287">
        <f>+F5/$F$6</f>
        <v>0</v>
      </c>
    </row>
    <row r="6" spans="1:14" x14ac:dyDescent="0.2">
      <c r="A6" s="146" t="s">
        <v>607</v>
      </c>
      <c r="C6" s="151">
        <v>0.16</v>
      </c>
      <c r="E6" s="161"/>
      <c r="F6" s="288">
        <f>SUM(F2:F5)</f>
        <v>80431666.666666672</v>
      </c>
      <c r="G6" s="161"/>
    </row>
    <row r="7" spans="1:14" x14ac:dyDescent="0.2">
      <c r="B7" t="s">
        <v>186</v>
      </c>
      <c r="C7">
        <v>1</v>
      </c>
      <c r="D7">
        <v>2</v>
      </c>
      <c r="E7">
        <v>3</v>
      </c>
      <c r="F7">
        <v>4</v>
      </c>
      <c r="G7">
        <v>5</v>
      </c>
    </row>
    <row r="8" spans="1:14" x14ac:dyDescent="0.2">
      <c r="A8" s="146" t="s">
        <v>608</v>
      </c>
      <c r="C8" s="147">
        <v>5.2999999999999999E-2</v>
      </c>
      <c r="D8" s="147">
        <v>5.1999999999999998E-2</v>
      </c>
      <c r="E8" s="147">
        <v>4.8000000000000001E-2</v>
      </c>
      <c r="F8" s="147">
        <v>0.05</v>
      </c>
      <c r="G8" s="147">
        <v>5.2999999999999999E-2</v>
      </c>
    </row>
    <row r="10" spans="1:14" s="332" customFormat="1" ht="51" x14ac:dyDescent="0.2">
      <c r="A10" s="333" t="s">
        <v>187</v>
      </c>
      <c r="B10" s="333" t="s">
        <v>161</v>
      </c>
      <c r="C10" s="333" t="s">
        <v>188</v>
      </c>
      <c r="D10" s="333" t="s">
        <v>189</v>
      </c>
      <c r="E10" s="333" t="s">
        <v>190</v>
      </c>
      <c r="F10" s="333" t="s">
        <v>191</v>
      </c>
      <c r="G10" s="333" t="s">
        <v>192</v>
      </c>
      <c r="H10" s="333" t="s">
        <v>302</v>
      </c>
      <c r="I10" s="333" t="s">
        <v>303</v>
      </c>
      <c r="J10" s="333" t="s">
        <v>193</v>
      </c>
      <c r="K10" s="333" t="s">
        <v>194</v>
      </c>
      <c r="L10" s="334" t="s">
        <v>195</v>
      </c>
      <c r="M10" s="334" t="s">
        <v>305</v>
      </c>
      <c r="N10" s="334" t="s">
        <v>304</v>
      </c>
    </row>
    <row r="11" spans="1:14" x14ac:dyDescent="0.2">
      <c r="A11" s="49">
        <v>0</v>
      </c>
      <c r="B11" s="49"/>
      <c r="C11" s="49"/>
      <c r="D11" s="49"/>
      <c r="E11" s="62"/>
      <c r="F11" s="62">
        <f>+C3</f>
        <v>321726666.66666669</v>
      </c>
      <c r="G11" s="62"/>
      <c r="H11" s="62"/>
      <c r="I11" s="62"/>
      <c r="J11" s="49"/>
      <c r="K11" s="49"/>
    </row>
    <row r="12" spans="1:14" x14ac:dyDescent="0.2">
      <c r="A12" s="49">
        <f>1+A11</f>
        <v>1</v>
      </c>
      <c r="B12" s="62">
        <f>+F11</f>
        <v>321726666.66666669</v>
      </c>
      <c r="C12" s="62">
        <f>+B12*J12</f>
        <v>5922163.3044523578</v>
      </c>
      <c r="D12" s="62">
        <f>+C3/C4</f>
        <v>5362111.111111111</v>
      </c>
      <c r="E12" s="62">
        <f>+C12+D12</f>
        <v>11284274.415563468</v>
      </c>
      <c r="F12" s="62">
        <f>+B12-D12</f>
        <v>316364555.55555558</v>
      </c>
      <c r="G12" s="177">
        <f>+$C$8</f>
        <v>5.2999999999999999E-2</v>
      </c>
      <c r="H12" s="177">
        <f>((G12+$C$6)/4)</f>
        <v>5.3249999999999999E-2</v>
      </c>
      <c r="I12" s="177">
        <f>+H12/(1-H12)</f>
        <v>5.624504885133351E-2</v>
      </c>
      <c r="J12" s="289">
        <f>(1+(I12))^(1/3)-1</f>
        <v>1.8407436864996241E-2</v>
      </c>
      <c r="K12" s="177">
        <f>+(J12+1)^12-1</f>
        <v>0.24468296238436471</v>
      </c>
      <c r="L12" t="s">
        <v>196</v>
      </c>
      <c r="N12" s="44"/>
    </row>
    <row r="13" spans="1:14" x14ac:dyDescent="0.2">
      <c r="A13" s="49">
        <f t="shared" ref="A13:A71" si="0">1+A12</f>
        <v>2</v>
      </c>
      <c r="B13" s="62">
        <f t="shared" ref="B13:B71" si="1">+F12</f>
        <v>316364555.55555558</v>
      </c>
      <c r="C13" s="62">
        <f t="shared" ref="C13:C43" si="2">+B13*J13</f>
        <v>5823460.5827114852</v>
      </c>
      <c r="D13" s="62">
        <f>+D12</f>
        <v>5362111.111111111</v>
      </c>
      <c r="E13" s="62">
        <f t="shared" ref="E13:E71" si="3">+C13+D13</f>
        <v>11185571.693822596</v>
      </c>
      <c r="F13" s="62">
        <f t="shared" ref="F13:F71" si="4">+B13-D13</f>
        <v>311002444.44444448</v>
      </c>
      <c r="G13" s="177">
        <f t="shared" ref="G13:G23" si="5">+$C$8</f>
        <v>5.2999999999999999E-2</v>
      </c>
      <c r="H13" s="177">
        <f t="shared" ref="H13:H71" si="6">((G13+$C$6)/4)</f>
        <v>5.3249999999999999E-2</v>
      </c>
      <c r="I13" s="177">
        <f t="shared" ref="I13:I71" si="7">+H13/(1-H13)</f>
        <v>5.624504885133351E-2</v>
      </c>
      <c r="J13" s="177">
        <f t="shared" ref="J13:J71" si="8">(1+(I13))^(1/3)-1</f>
        <v>1.8407436864996241E-2</v>
      </c>
      <c r="K13" s="177">
        <f t="shared" ref="K13:K71" si="9">+(J13+1)^12-1</f>
        <v>0.24468296238436471</v>
      </c>
      <c r="L13" s="27">
        <f>NPV(J23,E12:E23)</f>
        <v>114942014.58122058</v>
      </c>
      <c r="M13" s="135"/>
    </row>
    <row r="14" spans="1:14" x14ac:dyDescent="0.2">
      <c r="A14" s="49">
        <f t="shared" si="0"/>
        <v>3</v>
      </c>
      <c r="B14" s="62">
        <f t="shared" si="1"/>
        <v>311002444.44444448</v>
      </c>
      <c r="C14" s="62">
        <f t="shared" si="2"/>
        <v>5724757.8609706126</v>
      </c>
      <c r="D14" s="62">
        <f t="shared" ref="D14:D71" si="10">+D13</f>
        <v>5362111.111111111</v>
      </c>
      <c r="E14" s="62">
        <f t="shared" si="3"/>
        <v>11086868.972081725</v>
      </c>
      <c r="F14" s="62">
        <f t="shared" si="4"/>
        <v>305640333.33333337</v>
      </c>
      <c r="G14" s="177">
        <f t="shared" si="5"/>
        <v>5.2999999999999999E-2</v>
      </c>
      <c r="H14" s="177">
        <f t="shared" si="6"/>
        <v>5.3249999999999999E-2</v>
      </c>
      <c r="I14" s="177">
        <f t="shared" si="7"/>
        <v>5.624504885133351E-2</v>
      </c>
      <c r="J14" s="177">
        <f t="shared" si="8"/>
        <v>1.8407436864996241E-2</v>
      </c>
      <c r="K14" s="177">
        <f t="shared" si="9"/>
        <v>0.24468296238436471</v>
      </c>
      <c r="L14" t="s">
        <v>197</v>
      </c>
    </row>
    <row r="15" spans="1:14" x14ac:dyDescent="0.2">
      <c r="A15" s="49">
        <f t="shared" si="0"/>
        <v>4</v>
      </c>
      <c r="B15" s="62">
        <f t="shared" si="1"/>
        <v>305640333.33333337</v>
      </c>
      <c r="C15" s="62">
        <f t="shared" si="2"/>
        <v>5626055.13922974</v>
      </c>
      <c r="D15" s="62">
        <f t="shared" si="10"/>
        <v>5362111.111111111</v>
      </c>
      <c r="E15" s="62">
        <f t="shared" si="3"/>
        <v>10988166.250340851</v>
      </c>
      <c r="F15" s="62">
        <f t="shared" si="4"/>
        <v>300278222.22222227</v>
      </c>
      <c r="G15" s="177">
        <f t="shared" si="5"/>
        <v>5.2999999999999999E-2</v>
      </c>
      <c r="H15" s="177">
        <f t="shared" si="6"/>
        <v>5.3249999999999999E-2</v>
      </c>
      <c r="I15" s="177">
        <f t="shared" si="7"/>
        <v>5.624504885133351E-2</v>
      </c>
      <c r="J15" s="177">
        <f t="shared" si="8"/>
        <v>1.8407436864996241E-2</v>
      </c>
      <c r="K15" s="177">
        <f t="shared" si="9"/>
        <v>0.24468296238436471</v>
      </c>
      <c r="L15" s="28">
        <f>(1+K22)*L13</f>
        <v>143066367.21138048</v>
      </c>
    </row>
    <row r="16" spans="1:14" x14ac:dyDescent="0.2">
      <c r="A16" s="49">
        <f t="shared" si="0"/>
        <v>5</v>
      </c>
      <c r="B16" s="62">
        <f t="shared" si="1"/>
        <v>300278222.22222227</v>
      </c>
      <c r="C16" s="62">
        <f t="shared" si="2"/>
        <v>5527352.4174888674</v>
      </c>
      <c r="D16" s="62">
        <f t="shared" si="10"/>
        <v>5362111.111111111</v>
      </c>
      <c r="E16" s="62">
        <f t="shared" si="3"/>
        <v>10889463.528599977</v>
      </c>
      <c r="F16" s="62">
        <f t="shared" si="4"/>
        <v>294916111.11111116</v>
      </c>
      <c r="G16" s="177">
        <f t="shared" si="5"/>
        <v>5.2999999999999999E-2</v>
      </c>
      <c r="H16" s="177">
        <f t="shared" si="6"/>
        <v>5.3249999999999999E-2</v>
      </c>
      <c r="I16" s="177">
        <f t="shared" si="7"/>
        <v>5.624504885133351E-2</v>
      </c>
      <c r="J16" s="177">
        <f t="shared" si="8"/>
        <v>1.8407436864996241E-2</v>
      </c>
      <c r="K16" s="177">
        <f t="shared" si="9"/>
        <v>0.24468296238436471</v>
      </c>
    </row>
    <row r="17" spans="1:14" x14ac:dyDescent="0.2">
      <c r="A17" s="49">
        <f t="shared" si="0"/>
        <v>6</v>
      </c>
      <c r="B17" s="62">
        <f t="shared" si="1"/>
        <v>294916111.11111116</v>
      </c>
      <c r="C17" s="62">
        <f t="shared" si="2"/>
        <v>5428649.6957479948</v>
      </c>
      <c r="D17" s="62">
        <f t="shared" si="10"/>
        <v>5362111.111111111</v>
      </c>
      <c r="E17" s="62">
        <f t="shared" si="3"/>
        <v>10790760.806859106</v>
      </c>
      <c r="F17" s="62">
        <f t="shared" si="4"/>
        <v>289554000.00000006</v>
      </c>
      <c r="G17" s="177">
        <f t="shared" si="5"/>
        <v>5.2999999999999999E-2</v>
      </c>
      <c r="H17" s="177">
        <f t="shared" si="6"/>
        <v>5.3249999999999999E-2</v>
      </c>
      <c r="I17" s="177">
        <f t="shared" si="7"/>
        <v>5.624504885133351E-2</v>
      </c>
      <c r="J17" s="177">
        <f t="shared" si="8"/>
        <v>1.8407436864996241E-2</v>
      </c>
      <c r="K17" s="177">
        <f t="shared" si="9"/>
        <v>0.24468296238436471</v>
      </c>
    </row>
    <row r="18" spans="1:14" x14ac:dyDescent="0.2">
      <c r="A18" s="49">
        <f t="shared" si="0"/>
        <v>7</v>
      </c>
      <c r="B18" s="62">
        <f t="shared" si="1"/>
        <v>289554000.00000006</v>
      </c>
      <c r="C18" s="62">
        <f t="shared" si="2"/>
        <v>5329946.9740071222</v>
      </c>
      <c r="D18" s="62">
        <f t="shared" si="10"/>
        <v>5362111.111111111</v>
      </c>
      <c r="E18" s="62">
        <f t="shared" si="3"/>
        <v>10692058.085118234</v>
      </c>
      <c r="F18" s="62">
        <f t="shared" si="4"/>
        <v>284191888.88888896</v>
      </c>
      <c r="G18" s="177">
        <f t="shared" si="5"/>
        <v>5.2999999999999999E-2</v>
      </c>
      <c r="H18" s="177">
        <f t="shared" si="6"/>
        <v>5.3249999999999999E-2</v>
      </c>
      <c r="I18" s="177">
        <f t="shared" si="7"/>
        <v>5.624504885133351E-2</v>
      </c>
      <c r="J18" s="177">
        <f t="shared" si="8"/>
        <v>1.8407436864996241E-2</v>
      </c>
      <c r="K18" s="177">
        <f t="shared" si="9"/>
        <v>0.24468296238436471</v>
      </c>
    </row>
    <row r="19" spans="1:14" x14ac:dyDescent="0.2">
      <c r="A19" s="49">
        <f t="shared" si="0"/>
        <v>8</v>
      </c>
      <c r="B19" s="62">
        <f t="shared" si="1"/>
        <v>284191888.88888896</v>
      </c>
      <c r="C19" s="62">
        <f t="shared" si="2"/>
        <v>5231244.2522662496</v>
      </c>
      <c r="D19" s="62">
        <f t="shared" si="10"/>
        <v>5362111.111111111</v>
      </c>
      <c r="E19" s="62">
        <f t="shared" si="3"/>
        <v>10593355.363377361</v>
      </c>
      <c r="F19" s="62">
        <f t="shared" si="4"/>
        <v>278829777.77777785</v>
      </c>
      <c r="G19" s="177">
        <f t="shared" si="5"/>
        <v>5.2999999999999999E-2</v>
      </c>
      <c r="H19" s="177">
        <f t="shared" si="6"/>
        <v>5.3249999999999999E-2</v>
      </c>
      <c r="I19" s="177">
        <f t="shared" si="7"/>
        <v>5.624504885133351E-2</v>
      </c>
      <c r="J19" s="177">
        <f t="shared" si="8"/>
        <v>1.8407436864996241E-2</v>
      </c>
      <c r="K19" s="177">
        <f t="shared" si="9"/>
        <v>0.24468296238436471</v>
      </c>
    </row>
    <row r="20" spans="1:14" x14ac:dyDescent="0.2">
      <c r="A20" s="49">
        <f t="shared" si="0"/>
        <v>9</v>
      </c>
      <c r="B20" s="62">
        <f t="shared" si="1"/>
        <v>278829777.77777785</v>
      </c>
      <c r="C20" s="62">
        <f t="shared" si="2"/>
        <v>5132541.530525378</v>
      </c>
      <c r="D20" s="62">
        <f t="shared" si="10"/>
        <v>5362111.111111111</v>
      </c>
      <c r="E20" s="62">
        <f t="shared" si="3"/>
        <v>10494652.641636489</v>
      </c>
      <c r="F20" s="62">
        <f t="shared" si="4"/>
        <v>273467666.66666675</v>
      </c>
      <c r="G20" s="177">
        <f t="shared" si="5"/>
        <v>5.2999999999999999E-2</v>
      </c>
      <c r="H20" s="177">
        <f t="shared" si="6"/>
        <v>5.3249999999999999E-2</v>
      </c>
      <c r="I20" s="177">
        <f t="shared" si="7"/>
        <v>5.624504885133351E-2</v>
      </c>
      <c r="J20" s="177">
        <f t="shared" si="8"/>
        <v>1.8407436864996241E-2</v>
      </c>
      <c r="K20" s="177">
        <f t="shared" si="9"/>
        <v>0.24468296238436471</v>
      </c>
    </row>
    <row r="21" spans="1:14" x14ac:dyDescent="0.2">
      <c r="A21" s="49">
        <f t="shared" si="0"/>
        <v>10</v>
      </c>
      <c r="B21" s="62">
        <f t="shared" si="1"/>
        <v>273467666.66666675</v>
      </c>
      <c r="C21" s="62">
        <f t="shared" si="2"/>
        <v>5033838.8087845054</v>
      </c>
      <c r="D21" s="62">
        <f t="shared" si="10"/>
        <v>5362111.111111111</v>
      </c>
      <c r="E21" s="62">
        <f t="shared" si="3"/>
        <v>10395949.919895615</v>
      </c>
      <c r="F21" s="62">
        <f t="shared" si="4"/>
        <v>268105555.55555564</v>
      </c>
      <c r="G21" s="177">
        <f t="shared" si="5"/>
        <v>5.2999999999999999E-2</v>
      </c>
      <c r="H21" s="177">
        <f t="shared" si="6"/>
        <v>5.3249999999999999E-2</v>
      </c>
      <c r="I21" s="177">
        <f t="shared" si="7"/>
        <v>5.624504885133351E-2</v>
      </c>
      <c r="J21" s="177">
        <f t="shared" si="8"/>
        <v>1.8407436864996241E-2</v>
      </c>
      <c r="K21" s="177">
        <f t="shared" si="9"/>
        <v>0.24468296238436471</v>
      </c>
    </row>
    <row r="22" spans="1:14" x14ac:dyDescent="0.2">
      <c r="A22" s="49">
        <f t="shared" si="0"/>
        <v>11</v>
      </c>
      <c r="B22" s="62">
        <f t="shared" si="1"/>
        <v>268105555.55555564</v>
      </c>
      <c r="C22" s="62">
        <f t="shared" si="2"/>
        <v>4935136.0870436328</v>
      </c>
      <c r="D22" s="62">
        <f t="shared" si="10"/>
        <v>5362111.111111111</v>
      </c>
      <c r="E22" s="62">
        <f t="shared" si="3"/>
        <v>10297247.198154744</v>
      </c>
      <c r="F22" s="62">
        <f t="shared" si="4"/>
        <v>262743444.44444454</v>
      </c>
      <c r="G22" s="177">
        <f t="shared" si="5"/>
        <v>5.2999999999999999E-2</v>
      </c>
      <c r="H22" s="177">
        <f t="shared" si="6"/>
        <v>5.3249999999999999E-2</v>
      </c>
      <c r="I22" s="177">
        <f t="shared" si="7"/>
        <v>5.624504885133351E-2</v>
      </c>
      <c r="J22" s="177">
        <f t="shared" si="8"/>
        <v>1.8407436864996241E-2</v>
      </c>
      <c r="K22" s="177">
        <f t="shared" si="9"/>
        <v>0.24468296238436471</v>
      </c>
    </row>
    <row r="23" spans="1:14" x14ac:dyDescent="0.2">
      <c r="A23" s="49">
        <f t="shared" si="0"/>
        <v>12</v>
      </c>
      <c r="B23" s="62">
        <f t="shared" si="1"/>
        <v>262743444.44444454</v>
      </c>
      <c r="C23" s="62">
        <f t="shared" si="2"/>
        <v>4836433.3653027602</v>
      </c>
      <c r="D23" s="62">
        <f t="shared" si="10"/>
        <v>5362111.111111111</v>
      </c>
      <c r="E23" s="62">
        <f t="shared" si="3"/>
        <v>10198544.476413872</v>
      </c>
      <c r="F23" s="62">
        <f t="shared" si="4"/>
        <v>257381333.33333343</v>
      </c>
      <c r="G23" s="177">
        <f t="shared" si="5"/>
        <v>5.2999999999999999E-2</v>
      </c>
      <c r="H23" s="177">
        <f t="shared" si="6"/>
        <v>5.3249999999999999E-2</v>
      </c>
      <c r="I23" s="177">
        <f t="shared" si="7"/>
        <v>5.624504885133351E-2</v>
      </c>
      <c r="J23" s="177">
        <f t="shared" si="8"/>
        <v>1.8407436864996241E-2</v>
      </c>
      <c r="K23" s="177">
        <f t="shared" si="9"/>
        <v>0.24468296238436471</v>
      </c>
      <c r="L23" s="27"/>
      <c r="M23" s="18">
        <f>SUM(C12:C23)</f>
        <v>64551580.018530712</v>
      </c>
      <c r="N23" s="18">
        <f>SUM(D12:D23)</f>
        <v>64345333.333333336</v>
      </c>
    </row>
    <row r="24" spans="1:14" x14ac:dyDescent="0.2">
      <c r="A24" s="49">
        <f t="shared" si="0"/>
        <v>13</v>
      </c>
      <c r="B24" s="62">
        <f t="shared" si="1"/>
        <v>257381333.33333343</v>
      </c>
      <c r="C24" s="62">
        <f t="shared" si="2"/>
        <v>4714662.8740177406</v>
      </c>
      <c r="D24" s="62">
        <f t="shared" si="10"/>
        <v>5362111.111111111</v>
      </c>
      <c r="E24" s="62">
        <f t="shared" si="3"/>
        <v>10076773.985128852</v>
      </c>
      <c r="F24" s="62">
        <f t="shared" si="4"/>
        <v>252019222.22222233</v>
      </c>
      <c r="G24" s="177">
        <f>+$D$8</f>
        <v>5.1999999999999998E-2</v>
      </c>
      <c r="H24" s="177">
        <f t="shared" si="6"/>
        <v>5.2999999999999999E-2</v>
      </c>
      <c r="I24" s="177">
        <f t="shared" si="7"/>
        <v>5.59662090813094E-2</v>
      </c>
      <c r="J24" s="177">
        <f t="shared" si="8"/>
        <v>1.83178119910965E-2</v>
      </c>
      <c r="K24" s="177">
        <f t="shared" si="9"/>
        <v>0.24336913960670814</v>
      </c>
      <c r="L24" t="s">
        <v>198</v>
      </c>
      <c r="M24" s="18"/>
    </row>
    <row r="25" spans="1:14" x14ac:dyDescent="0.2">
      <c r="A25" s="49">
        <f t="shared" si="0"/>
        <v>14</v>
      </c>
      <c r="B25" s="62">
        <f t="shared" si="1"/>
        <v>252019222.22222233</v>
      </c>
      <c r="C25" s="62">
        <f t="shared" si="2"/>
        <v>4616440.7308090376</v>
      </c>
      <c r="D25" s="62">
        <f t="shared" si="10"/>
        <v>5362111.111111111</v>
      </c>
      <c r="E25" s="62">
        <f t="shared" si="3"/>
        <v>9978551.8419201486</v>
      </c>
      <c r="F25" s="62">
        <f t="shared" si="4"/>
        <v>246657111.11111122</v>
      </c>
      <c r="G25" s="177">
        <f t="shared" ref="G25:G35" si="11">+$D$8</f>
        <v>5.1999999999999998E-2</v>
      </c>
      <c r="H25" s="177">
        <f t="shared" si="6"/>
        <v>5.2999999999999999E-2</v>
      </c>
      <c r="I25" s="177">
        <f t="shared" si="7"/>
        <v>5.59662090813094E-2</v>
      </c>
      <c r="J25" s="177">
        <f t="shared" si="8"/>
        <v>1.83178119910965E-2</v>
      </c>
      <c r="K25" s="177">
        <f t="shared" si="9"/>
        <v>0.24336913960670814</v>
      </c>
      <c r="L25" s="27">
        <f>NPV(J35,E24:E35)</f>
        <v>102128967.92473121</v>
      </c>
    </row>
    <row r="26" spans="1:14" x14ac:dyDescent="0.2">
      <c r="A26" s="49">
        <f t="shared" si="0"/>
        <v>15</v>
      </c>
      <c r="B26" s="62">
        <f t="shared" si="1"/>
        <v>246657111.11111122</v>
      </c>
      <c r="C26" s="62">
        <f t="shared" si="2"/>
        <v>4518218.5876003345</v>
      </c>
      <c r="D26" s="62">
        <f t="shared" si="10"/>
        <v>5362111.111111111</v>
      </c>
      <c r="E26" s="62">
        <f t="shared" si="3"/>
        <v>9880329.6987114456</v>
      </c>
      <c r="F26" s="62">
        <f t="shared" si="4"/>
        <v>241295000.00000012</v>
      </c>
      <c r="G26" s="177">
        <f t="shared" si="11"/>
        <v>5.1999999999999998E-2</v>
      </c>
      <c r="H26" s="177">
        <f t="shared" si="6"/>
        <v>5.2999999999999999E-2</v>
      </c>
      <c r="I26" s="177">
        <f t="shared" si="7"/>
        <v>5.59662090813094E-2</v>
      </c>
      <c r="J26" s="177">
        <f t="shared" si="8"/>
        <v>1.83178119910965E-2</v>
      </c>
      <c r="K26" s="177">
        <f t="shared" si="9"/>
        <v>0.24336913960670814</v>
      </c>
      <c r="L26" t="s">
        <v>199</v>
      </c>
    </row>
    <row r="27" spans="1:14" x14ac:dyDescent="0.2">
      <c r="A27" s="49">
        <f t="shared" si="0"/>
        <v>16</v>
      </c>
      <c r="B27" s="62">
        <f t="shared" si="1"/>
        <v>241295000.00000012</v>
      </c>
      <c r="C27" s="62">
        <f t="shared" si="2"/>
        <v>4419996.4443916325</v>
      </c>
      <c r="D27" s="62">
        <f t="shared" si="10"/>
        <v>5362111.111111111</v>
      </c>
      <c r="E27" s="62">
        <f t="shared" si="3"/>
        <v>9782107.5555027425</v>
      </c>
      <c r="F27" s="62">
        <f t="shared" si="4"/>
        <v>235932888.88888901</v>
      </c>
      <c r="G27" s="177">
        <f t="shared" si="11"/>
        <v>5.1999999999999998E-2</v>
      </c>
      <c r="H27" s="177">
        <f t="shared" si="6"/>
        <v>5.2999999999999999E-2</v>
      </c>
      <c r="I27" s="177">
        <f t="shared" si="7"/>
        <v>5.59662090813094E-2</v>
      </c>
      <c r="J27" s="177">
        <f t="shared" si="8"/>
        <v>1.83178119910965E-2</v>
      </c>
      <c r="K27" s="177">
        <f t="shared" si="9"/>
        <v>0.24336913960670814</v>
      </c>
      <c r="L27" s="28">
        <f>(1+K34)*L25</f>
        <v>126984006.97749414</v>
      </c>
    </row>
    <row r="28" spans="1:14" x14ac:dyDescent="0.2">
      <c r="A28" s="49">
        <f t="shared" si="0"/>
        <v>17</v>
      </c>
      <c r="B28" s="62">
        <f t="shared" si="1"/>
        <v>235932888.88888901</v>
      </c>
      <c r="C28" s="62">
        <f t="shared" si="2"/>
        <v>4321774.3011829294</v>
      </c>
      <c r="D28" s="62">
        <f t="shared" si="10"/>
        <v>5362111.111111111</v>
      </c>
      <c r="E28" s="62">
        <f t="shared" si="3"/>
        <v>9683885.4122940414</v>
      </c>
      <c r="F28" s="62">
        <f t="shared" si="4"/>
        <v>230570777.77777791</v>
      </c>
      <c r="G28" s="177">
        <f t="shared" si="11"/>
        <v>5.1999999999999998E-2</v>
      </c>
      <c r="H28" s="177">
        <f t="shared" si="6"/>
        <v>5.2999999999999999E-2</v>
      </c>
      <c r="I28" s="177">
        <f t="shared" si="7"/>
        <v>5.59662090813094E-2</v>
      </c>
      <c r="J28" s="177">
        <f t="shared" si="8"/>
        <v>1.83178119910965E-2</v>
      </c>
      <c r="K28" s="177">
        <f t="shared" si="9"/>
        <v>0.24336913960670814</v>
      </c>
    </row>
    <row r="29" spans="1:14" x14ac:dyDescent="0.2">
      <c r="A29" s="49">
        <f t="shared" si="0"/>
        <v>18</v>
      </c>
      <c r="B29" s="62">
        <f t="shared" si="1"/>
        <v>230570777.77777791</v>
      </c>
      <c r="C29" s="62">
        <f t="shared" si="2"/>
        <v>4223552.1579742264</v>
      </c>
      <c r="D29" s="62">
        <f t="shared" si="10"/>
        <v>5362111.111111111</v>
      </c>
      <c r="E29" s="62">
        <f t="shared" si="3"/>
        <v>9585663.2690853365</v>
      </c>
      <c r="F29" s="62">
        <f t="shared" si="4"/>
        <v>225208666.66666681</v>
      </c>
      <c r="G29" s="177">
        <f t="shared" si="11"/>
        <v>5.1999999999999998E-2</v>
      </c>
      <c r="H29" s="177">
        <f t="shared" si="6"/>
        <v>5.2999999999999999E-2</v>
      </c>
      <c r="I29" s="177">
        <f t="shared" si="7"/>
        <v>5.59662090813094E-2</v>
      </c>
      <c r="J29" s="177">
        <f t="shared" si="8"/>
        <v>1.83178119910965E-2</v>
      </c>
      <c r="K29" s="177">
        <f t="shared" si="9"/>
        <v>0.24336913960670814</v>
      </c>
    </row>
    <row r="30" spans="1:14" x14ac:dyDescent="0.2">
      <c r="A30" s="49">
        <f t="shared" si="0"/>
        <v>19</v>
      </c>
      <c r="B30" s="62">
        <f t="shared" si="1"/>
        <v>225208666.66666681</v>
      </c>
      <c r="C30" s="62">
        <f t="shared" si="2"/>
        <v>4125330.0147655238</v>
      </c>
      <c r="D30" s="62">
        <f t="shared" si="10"/>
        <v>5362111.111111111</v>
      </c>
      <c r="E30" s="62">
        <f t="shared" si="3"/>
        <v>9487441.1258766353</v>
      </c>
      <c r="F30" s="62">
        <f t="shared" si="4"/>
        <v>219846555.5555557</v>
      </c>
      <c r="G30" s="177">
        <f t="shared" si="11"/>
        <v>5.1999999999999998E-2</v>
      </c>
      <c r="H30" s="177">
        <f t="shared" si="6"/>
        <v>5.2999999999999999E-2</v>
      </c>
      <c r="I30" s="177">
        <f t="shared" si="7"/>
        <v>5.59662090813094E-2</v>
      </c>
      <c r="J30" s="177">
        <f t="shared" si="8"/>
        <v>1.83178119910965E-2</v>
      </c>
      <c r="K30" s="177">
        <f t="shared" si="9"/>
        <v>0.24336913960670814</v>
      </c>
    </row>
    <row r="31" spans="1:14" x14ac:dyDescent="0.2">
      <c r="A31" s="49">
        <f t="shared" si="0"/>
        <v>20</v>
      </c>
      <c r="B31" s="62">
        <f t="shared" si="1"/>
        <v>219846555.5555557</v>
      </c>
      <c r="C31" s="62">
        <f t="shared" si="2"/>
        <v>4027107.8715568208</v>
      </c>
      <c r="D31" s="62">
        <f t="shared" si="10"/>
        <v>5362111.111111111</v>
      </c>
      <c r="E31" s="62">
        <f t="shared" si="3"/>
        <v>9389218.9826679323</v>
      </c>
      <c r="F31" s="62">
        <f t="shared" si="4"/>
        <v>214484444.4444446</v>
      </c>
      <c r="G31" s="177">
        <f t="shared" si="11"/>
        <v>5.1999999999999998E-2</v>
      </c>
      <c r="H31" s="177">
        <f t="shared" si="6"/>
        <v>5.2999999999999999E-2</v>
      </c>
      <c r="I31" s="177">
        <f t="shared" si="7"/>
        <v>5.59662090813094E-2</v>
      </c>
      <c r="J31" s="177">
        <f t="shared" si="8"/>
        <v>1.83178119910965E-2</v>
      </c>
      <c r="K31" s="177">
        <f t="shared" si="9"/>
        <v>0.24336913960670814</v>
      </c>
    </row>
    <row r="32" spans="1:14" x14ac:dyDescent="0.2">
      <c r="A32" s="49">
        <f t="shared" si="0"/>
        <v>21</v>
      </c>
      <c r="B32" s="62">
        <f t="shared" si="1"/>
        <v>214484444.4444446</v>
      </c>
      <c r="C32" s="62">
        <f t="shared" si="2"/>
        <v>3928885.7283481183</v>
      </c>
      <c r="D32" s="62">
        <f t="shared" si="10"/>
        <v>5362111.111111111</v>
      </c>
      <c r="E32" s="62">
        <f t="shared" si="3"/>
        <v>9290996.8394592293</v>
      </c>
      <c r="F32" s="62">
        <f t="shared" si="4"/>
        <v>209122333.33333349</v>
      </c>
      <c r="G32" s="177">
        <f t="shared" si="11"/>
        <v>5.1999999999999998E-2</v>
      </c>
      <c r="H32" s="177">
        <f t="shared" si="6"/>
        <v>5.2999999999999999E-2</v>
      </c>
      <c r="I32" s="177">
        <f t="shared" si="7"/>
        <v>5.59662090813094E-2</v>
      </c>
      <c r="J32" s="177">
        <f t="shared" si="8"/>
        <v>1.83178119910965E-2</v>
      </c>
      <c r="K32" s="177">
        <f t="shared" si="9"/>
        <v>0.24336913960670814</v>
      </c>
    </row>
    <row r="33" spans="1:14" x14ac:dyDescent="0.2">
      <c r="A33" s="49">
        <f t="shared" si="0"/>
        <v>22</v>
      </c>
      <c r="B33" s="62">
        <f t="shared" si="1"/>
        <v>209122333.33333349</v>
      </c>
      <c r="C33" s="62">
        <f t="shared" si="2"/>
        <v>3830663.5851394157</v>
      </c>
      <c r="D33" s="62">
        <f t="shared" si="10"/>
        <v>5362111.111111111</v>
      </c>
      <c r="E33" s="62">
        <f t="shared" si="3"/>
        <v>9192774.6962505262</v>
      </c>
      <c r="F33" s="62">
        <f t="shared" si="4"/>
        <v>203760222.22222239</v>
      </c>
      <c r="G33" s="177">
        <f t="shared" si="11"/>
        <v>5.1999999999999998E-2</v>
      </c>
      <c r="H33" s="177">
        <f t="shared" si="6"/>
        <v>5.2999999999999999E-2</v>
      </c>
      <c r="I33" s="177">
        <f t="shared" si="7"/>
        <v>5.59662090813094E-2</v>
      </c>
      <c r="J33" s="177">
        <f t="shared" si="8"/>
        <v>1.83178119910965E-2</v>
      </c>
      <c r="K33" s="177">
        <f t="shared" si="9"/>
        <v>0.24336913960670814</v>
      </c>
    </row>
    <row r="34" spans="1:14" x14ac:dyDescent="0.2">
      <c r="A34" s="49">
        <f t="shared" si="0"/>
        <v>23</v>
      </c>
      <c r="B34" s="62">
        <f t="shared" si="1"/>
        <v>203760222.22222239</v>
      </c>
      <c r="C34" s="62">
        <f t="shared" si="2"/>
        <v>3732441.4419307127</v>
      </c>
      <c r="D34" s="62">
        <f t="shared" si="10"/>
        <v>5362111.111111111</v>
      </c>
      <c r="E34" s="62">
        <f t="shared" si="3"/>
        <v>9094552.5530418232</v>
      </c>
      <c r="F34" s="62">
        <f t="shared" si="4"/>
        <v>198398111.11111128</v>
      </c>
      <c r="G34" s="177">
        <f t="shared" si="11"/>
        <v>5.1999999999999998E-2</v>
      </c>
      <c r="H34" s="177">
        <f t="shared" si="6"/>
        <v>5.2999999999999999E-2</v>
      </c>
      <c r="I34" s="177">
        <f t="shared" si="7"/>
        <v>5.59662090813094E-2</v>
      </c>
      <c r="J34" s="177">
        <f t="shared" si="8"/>
        <v>1.83178119910965E-2</v>
      </c>
      <c r="K34" s="177">
        <f t="shared" si="9"/>
        <v>0.24336913960670814</v>
      </c>
    </row>
    <row r="35" spans="1:14" x14ac:dyDescent="0.2">
      <c r="A35" s="49">
        <f t="shared" si="0"/>
        <v>24</v>
      </c>
      <c r="B35" s="62">
        <f t="shared" si="1"/>
        <v>198398111.11111128</v>
      </c>
      <c r="C35" s="62">
        <f t="shared" si="2"/>
        <v>3634219.2987220101</v>
      </c>
      <c r="D35" s="62">
        <f t="shared" si="10"/>
        <v>5362111.111111111</v>
      </c>
      <c r="E35" s="62">
        <f t="shared" si="3"/>
        <v>8996330.409833122</v>
      </c>
      <c r="F35" s="62">
        <f t="shared" si="4"/>
        <v>193036000.00000018</v>
      </c>
      <c r="G35" s="177">
        <f t="shared" si="11"/>
        <v>5.1999999999999998E-2</v>
      </c>
      <c r="H35" s="177">
        <f t="shared" si="6"/>
        <v>5.2999999999999999E-2</v>
      </c>
      <c r="I35" s="177">
        <f t="shared" si="7"/>
        <v>5.59662090813094E-2</v>
      </c>
      <c r="J35" s="177">
        <f t="shared" si="8"/>
        <v>1.83178119910965E-2</v>
      </c>
      <c r="K35" s="177">
        <f t="shared" si="9"/>
        <v>0.24336913960670814</v>
      </c>
      <c r="M35" s="18">
        <f>SUM(C24:C35)</f>
        <v>50093293.036438495</v>
      </c>
      <c r="N35" s="18">
        <f>SUM(D24:D35)</f>
        <v>64345333.333333336</v>
      </c>
    </row>
    <row r="36" spans="1:14" x14ac:dyDescent="0.2">
      <c r="A36" s="49">
        <f t="shared" si="0"/>
        <v>25</v>
      </c>
      <c r="B36" s="62">
        <f t="shared" si="1"/>
        <v>193036000.00000018</v>
      </c>
      <c r="C36" s="62">
        <f t="shared" si="2"/>
        <v>3466854.69565683</v>
      </c>
      <c r="D36" s="62">
        <f t="shared" si="10"/>
        <v>5362111.111111111</v>
      </c>
      <c r="E36" s="62">
        <f t="shared" si="3"/>
        <v>8828965.8067679405</v>
      </c>
      <c r="F36" s="62">
        <f t="shared" si="4"/>
        <v>187673888.88888907</v>
      </c>
      <c r="G36" s="177">
        <f>+$E$8</f>
        <v>4.8000000000000001E-2</v>
      </c>
      <c r="H36" s="177">
        <f t="shared" si="6"/>
        <v>5.2000000000000005E-2</v>
      </c>
      <c r="I36" s="177">
        <f t="shared" si="7"/>
        <v>5.4852320675105495E-2</v>
      </c>
      <c r="J36" s="177">
        <f t="shared" si="8"/>
        <v>1.7959627715331994E-2</v>
      </c>
      <c r="K36" s="177">
        <f t="shared" si="9"/>
        <v>0.23813115156231057</v>
      </c>
      <c r="L36" t="s">
        <v>200</v>
      </c>
    </row>
    <row r="37" spans="1:14" x14ac:dyDescent="0.2">
      <c r="A37" s="49">
        <f t="shared" si="0"/>
        <v>26</v>
      </c>
      <c r="B37" s="62">
        <f t="shared" si="1"/>
        <v>187673888.88888907</v>
      </c>
      <c r="C37" s="62">
        <f t="shared" si="2"/>
        <v>3370553.1763330293</v>
      </c>
      <c r="D37" s="62">
        <f t="shared" si="10"/>
        <v>5362111.111111111</v>
      </c>
      <c r="E37" s="62">
        <f t="shared" si="3"/>
        <v>8732664.2874441408</v>
      </c>
      <c r="F37" s="62">
        <f t="shared" si="4"/>
        <v>182311777.77777797</v>
      </c>
      <c r="G37" s="177">
        <f t="shared" ref="G37:G46" si="12">+$E$8</f>
        <v>4.8000000000000001E-2</v>
      </c>
      <c r="H37" s="177">
        <f t="shared" si="6"/>
        <v>5.2000000000000005E-2</v>
      </c>
      <c r="I37" s="177">
        <f t="shared" si="7"/>
        <v>5.4852320675105495E-2</v>
      </c>
      <c r="J37" s="177">
        <f t="shared" si="8"/>
        <v>1.7959627715331994E-2</v>
      </c>
      <c r="K37" s="177">
        <f t="shared" si="9"/>
        <v>0.23813115156231057</v>
      </c>
      <c r="L37" s="27">
        <f>NPV(J47,E36:E47)</f>
        <v>89096553.436297148</v>
      </c>
    </row>
    <row r="38" spans="1:14" x14ac:dyDescent="0.2">
      <c r="A38" s="49">
        <f t="shared" si="0"/>
        <v>27</v>
      </c>
      <c r="B38" s="62">
        <f t="shared" si="1"/>
        <v>182311777.77777797</v>
      </c>
      <c r="C38" s="62">
        <f t="shared" si="2"/>
        <v>3274251.6570092286</v>
      </c>
      <c r="D38" s="62">
        <f t="shared" si="10"/>
        <v>5362111.111111111</v>
      </c>
      <c r="E38" s="62">
        <f t="shared" si="3"/>
        <v>8636362.7681203391</v>
      </c>
      <c r="F38" s="62">
        <f t="shared" si="4"/>
        <v>176949666.66666687</v>
      </c>
      <c r="G38" s="177">
        <f t="shared" si="12"/>
        <v>4.8000000000000001E-2</v>
      </c>
      <c r="H38" s="177">
        <f t="shared" si="6"/>
        <v>5.2000000000000005E-2</v>
      </c>
      <c r="I38" s="177">
        <f t="shared" si="7"/>
        <v>5.4852320675105495E-2</v>
      </c>
      <c r="J38" s="177">
        <f t="shared" si="8"/>
        <v>1.7959627715331994E-2</v>
      </c>
      <c r="K38" s="177">
        <f t="shared" si="9"/>
        <v>0.23813115156231057</v>
      </c>
      <c r="L38" t="s">
        <v>201</v>
      </c>
    </row>
    <row r="39" spans="1:14" x14ac:dyDescent="0.2">
      <c r="A39" s="49">
        <f t="shared" si="0"/>
        <v>28</v>
      </c>
      <c r="B39" s="62">
        <f t="shared" si="1"/>
        <v>176949666.66666687</v>
      </c>
      <c r="C39" s="62">
        <f t="shared" si="2"/>
        <v>3177950.1376854279</v>
      </c>
      <c r="D39" s="62">
        <f t="shared" si="10"/>
        <v>5362111.111111111</v>
      </c>
      <c r="E39" s="62">
        <f t="shared" si="3"/>
        <v>8540061.2487965394</v>
      </c>
      <c r="F39" s="62">
        <f t="shared" si="4"/>
        <v>171587555.55555576</v>
      </c>
      <c r="G39" s="177">
        <f t="shared" si="12"/>
        <v>4.8000000000000001E-2</v>
      </c>
      <c r="H39" s="177">
        <f t="shared" si="6"/>
        <v>5.2000000000000005E-2</v>
      </c>
      <c r="I39" s="177">
        <f t="shared" si="7"/>
        <v>5.4852320675105495E-2</v>
      </c>
      <c r="J39" s="177">
        <f t="shared" si="8"/>
        <v>1.7959627715331994E-2</v>
      </c>
      <c r="K39" s="177">
        <f t="shared" si="9"/>
        <v>0.23813115156231057</v>
      </c>
      <c r="L39" s="28">
        <f>(1+K46)*L37</f>
        <v>110313218.30631553</v>
      </c>
    </row>
    <row r="40" spans="1:14" x14ac:dyDescent="0.2">
      <c r="A40" s="49">
        <f t="shared" si="0"/>
        <v>29</v>
      </c>
      <c r="B40" s="62">
        <f t="shared" si="1"/>
        <v>171587555.55555576</v>
      </c>
      <c r="C40" s="62">
        <f t="shared" si="2"/>
        <v>3081648.6183616277</v>
      </c>
      <c r="D40" s="62">
        <f t="shared" si="10"/>
        <v>5362111.111111111</v>
      </c>
      <c r="E40" s="62">
        <f t="shared" si="3"/>
        <v>8443759.7294727378</v>
      </c>
      <c r="F40" s="62">
        <f t="shared" si="4"/>
        <v>166225444.44444466</v>
      </c>
      <c r="G40" s="177">
        <f t="shared" si="12"/>
        <v>4.8000000000000001E-2</v>
      </c>
      <c r="H40" s="177">
        <f t="shared" si="6"/>
        <v>5.2000000000000005E-2</v>
      </c>
      <c r="I40" s="177">
        <f t="shared" si="7"/>
        <v>5.4852320675105495E-2</v>
      </c>
      <c r="J40" s="177">
        <f t="shared" si="8"/>
        <v>1.7959627715331994E-2</v>
      </c>
      <c r="K40" s="177">
        <f t="shared" si="9"/>
        <v>0.23813115156231057</v>
      </c>
    </row>
    <row r="41" spans="1:14" x14ac:dyDescent="0.2">
      <c r="A41" s="49">
        <f t="shared" si="0"/>
        <v>30</v>
      </c>
      <c r="B41" s="62">
        <f t="shared" si="1"/>
        <v>166225444.44444466</v>
      </c>
      <c r="C41" s="62">
        <f t="shared" si="2"/>
        <v>2985347.099037827</v>
      </c>
      <c r="D41" s="62">
        <f t="shared" si="10"/>
        <v>5362111.111111111</v>
      </c>
      <c r="E41" s="62">
        <f t="shared" si="3"/>
        <v>8347458.210148938</v>
      </c>
      <c r="F41" s="62">
        <f t="shared" si="4"/>
        <v>160863333.33333355</v>
      </c>
      <c r="G41" s="177">
        <f t="shared" si="12"/>
        <v>4.8000000000000001E-2</v>
      </c>
      <c r="H41" s="177">
        <f t="shared" si="6"/>
        <v>5.2000000000000005E-2</v>
      </c>
      <c r="I41" s="177">
        <f t="shared" si="7"/>
        <v>5.4852320675105495E-2</v>
      </c>
      <c r="J41" s="177">
        <f t="shared" si="8"/>
        <v>1.7959627715331994E-2</v>
      </c>
      <c r="K41" s="177">
        <f t="shared" si="9"/>
        <v>0.23813115156231057</v>
      </c>
    </row>
    <row r="42" spans="1:14" x14ac:dyDescent="0.2">
      <c r="A42" s="49">
        <f t="shared" si="0"/>
        <v>31</v>
      </c>
      <c r="B42" s="62">
        <f t="shared" si="1"/>
        <v>160863333.33333355</v>
      </c>
      <c r="C42" s="62">
        <f t="shared" si="2"/>
        <v>2889045.5797140263</v>
      </c>
      <c r="D42" s="62">
        <f t="shared" si="10"/>
        <v>5362111.111111111</v>
      </c>
      <c r="E42" s="62">
        <f t="shared" si="3"/>
        <v>8251156.6908251373</v>
      </c>
      <c r="F42" s="62">
        <f t="shared" si="4"/>
        <v>155501222.22222245</v>
      </c>
      <c r="G42" s="177">
        <f t="shared" si="12"/>
        <v>4.8000000000000001E-2</v>
      </c>
      <c r="H42" s="177">
        <f t="shared" si="6"/>
        <v>5.2000000000000005E-2</v>
      </c>
      <c r="I42" s="177">
        <f t="shared" si="7"/>
        <v>5.4852320675105495E-2</v>
      </c>
      <c r="J42" s="177">
        <f t="shared" si="8"/>
        <v>1.7959627715331994E-2</v>
      </c>
      <c r="K42" s="177">
        <f t="shared" si="9"/>
        <v>0.23813115156231057</v>
      </c>
    </row>
    <row r="43" spans="1:14" x14ac:dyDescent="0.2">
      <c r="A43" s="49">
        <f t="shared" si="0"/>
        <v>32</v>
      </c>
      <c r="B43" s="62">
        <f t="shared" si="1"/>
        <v>155501222.22222245</v>
      </c>
      <c r="C43" s="62">
        <f t="shared" si="2"/>
        <v>2792744.0603902256</v>
      </c>
      <c r="D43" s="62">
        <f t="shared" si="10"/>
        <v>5362111.111111111</v>
      </c>
      <c r="E43" s="62">
        <f t="shared" si="3"/>
        <v>8154855.1715013366</v>
      </c>
      <c r="F43" s="62">
        <f t="shared" si="4"/>
        <v>150139111.11111134</v>
      </c>
      <c r="G43" s="177">
        <f t="shared" si="12"/>
        <v>4.8000000000000001E-2</v>
      </c>
      <c r="H43" s="177">
        <f t="shared" si="6"/>
        <v>5.2000000000000005E-2</v>
      </c>
      <c r="I43" s="177">
        <f t="shared" si="7"/>
        <v>5.4852320675105495E-2</v>
      </c>
      <c r="J43" s="177">
        <f t="shared" si="8"/>
        <v>1.7959627715331994E-2</v>
      </c>
      <c r="K43" s="177">
        <f t="shared" si="9"/>
        <v>0.23813115156231057</v>
      </c>
    </row>
    <row r="44" spans="1:14" x14ac:dyDescent="0.2">
      <c r="A44" s="49">
        <f t="shared" si="0"/>
        <v>33</v>
      </c>
      <c r="B44" s="62">
        <f t="shared" si="1"/>
        <v>150139111.11111134</v>
      </c>
      <c r="C44" s="62">
        <f t="shared" ref="C44:C71" si="13">+B44*J44</f>
        <v>2696442.5410664249</v>
      </c>
      <c r="D44" s="62">
        <f t="shared" si="10"/>
        <v>5362111.111111111</v>
      </c>
      <c r="E44" s="62">
        <f t="shared" si="3"/>
        <v>8058553.6521775359</v>
      </c>
      <c r="F44" s="62">
        <f t="shared" si="4"/>
        <v>144777000.00000024</v>
      </c>
      <c r="G44" s="177">
        <f t="shared" si="12"/>
        <v>4.8000000000000001E-2</v>
      </c>
      <c r="H44" s="177">
        <f t="shared" si="6"/>
        <v>5.2000000000000005E-2</v>
      </c>
      <c r="I44" s="177">
        <f t="shared" si="7"/>
        <v>5.4852320675105495E-2</v>
      </c>
      <c r="J44" s="177">
        <f t="shared" si="8"/>
        <v>1.7959627715331994E-2</v>
      </c>
      <c r="K44" s="177">
        <f t="shared" si="9"/>
        <v>0.23813115156231057</v>
      </c>
    </row>
    <row r="45" spans="1:14" x14ac:dyDescent="0.2">
      <c r="A45" s="49">
        <f t="shared" si="0"/>
        <v>34</v>
      </c>
      <c r="B45" s="62">
        <f t="shared" si="1"/>
        <v>144777000.00000024</v>
      </c>
      <c r="C45" s="62">
        <f t="shared" si="13"/>
        <v>2600141.0217426242</v>
      </c>
      <c r="D45" s="62">
        <f t="shared" si="10"/>
        <v>5362111.111111111</v>
      </c>
      <c r="E45" s="62">
        <f t="shared" si="3"/>
        <v>7962252.1328537352</v>
      </c>
      <c r="F45" s="62">
        <f t="shared" si="4"/>
        <v>139414888.88888913</v>
      </c>
      <c r="G45" s="177">
        <f t="shared" si="12"/>
        <v>4.8000000000000001E-2</v>
      </c>
      <c r="H45" s="177">
        <f t="shared" si="6"/>
        <v>5.2000000000000005E-2</v>
      </c>
      <c r="I45" s="177">
        <f t="shared" si="7"/>
        <v>5.4852320675105495E-2</v>
      </c>
      <c r="J45" s="177">
        <f t="shared" si="8"/>
        <v>1.7959627715331994E-2</v>
      </c>
      <c r="K45" s="177">
        <f t="shared" si="9"/>
        <v>0.23813115156231057</v>
      </c>
    </row>
    <row r="46" spans="1:14" x14ac:dyDescent="0.2">
      <c r="A46" s="49">
        <f t="shared" si="0"/>
        <v>35</v>
      </c>
      <c r="B46" s="62">
        <f t="shared" si="1"/>
        <v>139414888.88888913</v>
      </c>
      <c r="C46" s="62">
        <f t="shared" si="13"/>
        <v>2503839.5024188235</v>
      </c>
      <c r="D46" s="62">
        <f t="shared" si="10"/>
        <v>5362111.111111111</v>
      </c>
      <c r="E46" s="62">
        <f t="shared" si="3"/>
        <v>7865950.6135299345</v>
      </c>
      <c r="F46" s="62">
        <f t="shared" si="4"/>
        <v>134052777.77777803</v>
      </c>
      <c r="G46" s="177">
        <f t="shared" si="12"/>
        <v>4.8000000000000001E-2</v>
      </c>
      <c r="H46" s="177">
        <f t="shared" si="6"/>
        <v>5.2000000000000005E-2</v>
      </c>
      <c r="I46" s="177">
        <f t="shared" si="7"/>
        <v>5.4852320675105495E-2</v>
      </c>
      <c r="J46" s="177">
        <f t="shared" si="8"/>
        <v>1.7959627715331994E-2</v>
      </c>
      <c r="K46" s="177">
        <f t="shared" si="9"/>
        <v>0.23813115156231057</v>
      </c>
      <c r="M46" s="18">
        <f>SUM(C36:C47)</f>
        <v>35246356.072511122</v>
      </c>
      <c r="N46" s="18">
        <f>SUM(D36:D47)</f>
        <v>64345333.333333336</v>
      </c>
    </row>
    <row r="47" spans="1:14" x14ac:dyDescent="0.2">
      <c r="A47" s="49">
        <f t="shared" si="0"/>
        <v>36</v>
      </c>
      <c r="B47" s="62">
        <f t="shared" si="1"/>
        <v>134052777.77777803</v>
      </c>
      <c r="C47" s="62">
        <f t="shared" si="13"/>
        <v>2407537.9830950233</v>
      </c>
      <c r="D47" s="62">
        <f t="shared" si="10"/>
        <v>5362111.111111111</v>
      </c>
      <c r="E47" s="62">
        <f t="shared" si="3"/>
        <v>7769649.0942061339</v>
      </c>
      <c r="F47" s="62">
        <f t="shared" si="4"/>
        <v>128690666.66666692</v>
      </c>
      <c r="G47" s="275">
        <f>+$E$8</f>
        <v>4.8000000000000001E-2</v>
      </c>
      <c r="H47" s="177">
        <f t="shared" si="6"/>
        <v>5.2000000000000005E-2</v>
      </c>
      <c r="I47" s="177">
        <f t="shared" si="7"/>
        <v>5.4852320675105495E-2</v>
      </c>
      <c r="J47" s="177">
        <f t="shared" si="8"/>
        <v>1.7959627715331994E-2</v>
      </c>
      <c r="K47" s="177">
        <f t="shared" si="9"/>
        <v>0.23813115156231057</v>
      </c>
      <c r="L47" t="s">
        <v>202</v>
      </c>
      <c r="M47" s="18"/>
      <c r="N47" s="18"/>
    </row>
    <row r="48" spans="1:14" x14ac:dyDescent="0.2">
      <c r="A48" s="49">
        <f t="shared" si="0"/>
        <v>37</v>
      </c>
      <c r="B48" s="62">
        <f t="shared" si="1"/>
        <v>128690666.66666692</v>
      </c>
      <c r="C48" s="62">
        <f t="shared" si="13"/>
        <v>2334275.84221505</v>
      </c>
      <c r="D48" s="62">
        <f t="shared" si="10"/>
        <v>5362111.111111111</v>
      </c>
      <c r="E48" s="62">
        <f t="shared" si="3"/>
        <v>7696386.953326161</v>
      </c>
      <c r="F48" s="62">
        <f t="shared" si="4"/>
        <v>123328555.55555582</v>
      </c>
      <c r="G48" s="177">
        <f t="shared" ref="G48:G58" si="14">+$F$8</f>
        <v>0.05</v>
      </c>
      <c r="H48" s="177">
        <f t="shared" si="6"/>
        <v>5.2500000000000005E-2</v>
      </c>
      <c r="I48" s="177">
        <f t="shared" si="7"/>
        <v>5.5408970976253302E-2</v>
      </c>
      <c r="J48" s="177">
        <f t="shared" si="8"/>
        <v>1.8138656848062373E-2</v>
      </c>
      <c r="K48" s="177">
        <f t="shared" si="9"/>
        <v>0.24074669044872099</v>
      </c>
      <c r="L48" s="27">
        <f>NPV(J58,E47:E58)</f>
        <v>77847355.99098824</v>
      </c>
    </row>
    <row r="49" spans="1:14" x14ac:dyDescent="0.2">
      <c r="A49" s="49">
        <f t="shared" si="0"/>
        <v>38</v>
      </c>
      <c r="B49" s="62">
        <f t="shared" si="1"/>
        <v>123328555.55555582</v>
      </c>
      <c r="C49" s="62">
        <f t="shared" si="13"/>
        <v>2237014.3487894232</v>
      </c>
      <c r="D49" s="62">
        <f t="shared" si="10"/>
        <v>5362111.111111111</v>
      </c>
      <c r="E49" s="62">
        <f t="shared" si="3"/>
        <v>7599125.4599005338</v>
      </c>
      <c r="F49" s="62">
        <f t="shared" si="4"/>
        <v>117966444.44444472</v>
      </c>
      <c r="G49" s="177">
        <f t="shared" si="14"/>
        <v>0.05</v>
      </c>
      <c r="H49" s="177">
        <f t="shared" si="6"/>
        <v>5.2500000000000005E-2</v>
      </c>
      <c r="I49" s="177">
        <f t="shared" si="7"/>
        <v>5.5408970976253302E-2</v>
      </c>
      <c r="J49" s="177">
        <f t="shared" si="8"/>
        <v>1.8138656848062373E-2</v>
      </c>
      <c r="K49" s="177">
        <f t="shared" si="9"/>
        <v>0.24074669044872099</v>
      </c>
      <c r="L49" t="s">
        <v>203</v>
      </c>
    </row>
    <row r="50" spans="1:14" x14ac:dyDescent="0.2">
      <c r="A50" s="49">
        <f t="shared" si="0"/>
        <v>39</v>
      </c>
      <c r="B50" s="62">
        <f t="shared" si="1"/>
        <v>117966444.44444472</v>
      </c>
      <c r="C50" s="62">
        <f t="shared" si="13"/>
        <v>2139752.8553637965</v>
      </c>
      <c r="D50" s="62">
        <f t="shared" si="10"/>
        <v>5362111.111111111</v>
      </c>
      <c r="E50" s="62">
        <f t="shared" si="3"/>
        <v>7501863.9664749075</v>
      </c>
      <c r="F50" s="62">
        <f t="shared" si="4"/>
        <v>112604333.33333361</v>
      </c>
      <c r="G50" s="177">
        <f t="shared" si="14"/>
        <v>0.05</v>
      </c>
      <c r="H50" s="177">
        <f t="shared" si="6"/>
        <v>5.2500000000000005E-2</v>
      </c>
      <c r="I50" s="177">
        <f t="shared" si="7"/>
        <v>5.5408970976253302E-2</v>
      </c>
      <c r="J50" s="177">
        <f t="shared" si="8"/>
        <v>1.8138656848062373E-2</v>
      </c>
      <c r="K50" s="177">
        <f t="shared" si="9"/>
        <v>0.24074669044872099</v>
      </c>
      <c r="L50" s="28">
        <f>(1+K57)*L48</f>
        <v>96588849.306002066</v>
      </c>
    </row>
    <row r="51" spans="1:14" x14ac:dyDescent="0.2">
      <c r="A51" s="49">
        <f t="shared" si="0"/>
        <v>40</v>
      </c>
      <c r="B51" s="62">
        <f t="shared" si="1"/>
        <v>112604333.33333361</v>
      </c>
      <c r="C51" s="62">
        <f t="shared" si="13"/>
        <v>2042491.3619381699</v>
      </c>
      <c r="D51" s="62">
        <f t="shared" si="10"/>
        <v>5362111.111111111</v>
      </c>
      <c r="E51" s="62">
        <f t="shared" si="3"/>
        <v>7404602.4730492812</v>
      </c>
      <c r="F51" s="62">
        <f t="shared" si="4"/>
        <v>107242222.22222251</v>
      </c>
      <c r="G51" s="177">
        <f t="shared" si="14"/>
        <v>0.05</v>
      </c>
      <c r="H51" s="177">
        <f t="shared" si="6"/>
        <v>5.2500000000000005E-2</v>
      </c>
      <c r="I51" s="177">
        <f t="shared" si="7"/>
        <v>5.5408970976253302E-2</v>
      </c>
      <c r="J51" s="177">
        <f t="shared" si="8"/>
        <v>1.8138656848062373E-2</v>
      </c>
      <c r="K51" s="177">
        <f t="shared" si="9"/>
        <v>0.24074669044872099</v>
      </c>
    </row>
    <row r="52" spans="1:14" x14ac:dyDescent="0.2">
      <c r="A52" s="49">
        <f t="shared" si="0"/>
        <v>41</v>
      </c>
      <c r="B52" s="62">
        <f t="shared" si="1"/>
        <v>107242222.22222251</v>
      </c>
      <c r="C52" s="62">
        <f t="shared" si="13"/>
        <v>1945229.8685125432</v>
      </c>
      <c r="D52" s="62">
        <f t="shared" si="10"/>
        <v>5362111.111111111</v>
      </c>
      <c r="E52" s="62">
        <f t="shared" si="3"/>
        <v>7307340.9796236539</v>
      </c>
      <c r="F52" s="62">
        <f t="shared" si="4"/>
        <v>101880111.1111114</v>
      </c>
      <c r="G52" s="177">
        <f t="shared" si="14"/>
        <v>0.05</v>
      </c>
      <c r="H52" s="177">
        <f t="shared" si="6"/>
        <v>5.2500000000000005E-2</v>
      </c>
      <c r="I52" s="177">
        <f t="shared" si="7"/>
        <v>5.5408970976253302E-2</v>
      </c>
      <c r="J52" s="177">
        <f t="shared" si="8"/>
        <v>1.8138656848062373E-2</v>
      </c>
      <c r="K52" s="177">
        <f t="shared" si="9"/>
        <v>0.24074669044872099</v>
      </c>
    </row>
    <row r="53" spans="1:14" x14ac:dyDescent="0.2">
      <c r="A53" s="49">
        <f t="shared" si="0"/>
        <v>42</v>
      </c>
      <c r="B53" s="62">
        <f t="shared" si="1"/>
        <v>101880111.1111114</v>
      </c>
      <c r="C53" s="62">
        <f t="shared" si="13"/>
        <v>1847968.3750869164</v>
      </c>
      <c r="D53" s="62">
        <f t="shared" si="10"/>
        <v>5362111.111111111</v>
      </c>
      <c r="E53" s="62">
        <f t="shared" si="3"/>
        <v>7210079.4861980276</v>
      </c>
      <c r="F53" s="62">
        <f t="shared" si="4"/>
        <v>96518000.000000298</v>
      </c>
      <c r="G53" s="177">
        <f t="shared" si="14"/>
        <v>0.05</v>
      </c>
      <c r="H53" s="177">
        <f t="shared" si="6"/>
        <v>5.2500000000000005E-2</v>
      </c>
      <c r="I53" s="177">
        <f t="shared" si="7"/>
        <v>5.5408970976253302E-2</v>
      </c>
      <c r="J53" s="177">
        <f t="shared" si="8"/>
        <v>1.8138656848062373E-2</v>
      </c>
      <c r="K53" s="177">
        <f t="shared" si="9"/>
        <v>0.24074669044872099</v>
      </c>
    </row>
    <row r="54" spans="1:14" x14ac:dyDescent="0.2">
      <c r="A54" s="49">
        <f t="shared" si="0"/>
        <v>43</v>
      </c>
      <c r="B54" s="62">
        <f t="shared" si="1"/>
        <v>96518000.000000298</v>
      </c>
      <c r="C54" s="62">
        <f t="shared" si="13"/>
        <v>1750706.8816612896</v>
      </c>
      <c r="D54" s="62">
        <f t="shared" si="10"/>
        <v>5362111.111111111</v>
      </c>
      <c r="E54" s="62">
        <f t="shared" si="3"/>
        <v>7112817.9927724004</v>
      </c>
      <c r="F54" s="62">
        <f t="shared" si="4"/>
        <v>91155888.888889194</v>
      </c>
      <c r="G54" s="177">
        <f t="shared" si="14"/>
        <v>0.05</v>
      </c>
      <c r="H54" s="177">
        <f t="shared" si="6"/>
        <v>5.2500000000000005E-2</v>
      </c>
      <c r="I54" s="177">
        <f t="shared" si="7"/>
        <v>5.5408970976253302E-2</v>
      </c>
      <c r="J54" s="177">
        <f t="shared" si="8"/>
        <v>1.8138656848062373E-2</v>
      </c>
      <c r="K54" s="177">
        <f t="shared" si="9"/>
        <v>0.24074669044872099</v>
      </c>
    </row>
    <row r="55" spans="1:14" x14ac:dyDescent="0.2">
      <c r="A55" s="49">
        <f t="shared" si="0"/>
        <v>44</v>
      </c>
      <c r="B55" s="62">
        <f t="shared" si="1"/>
        <v>91155888.888889194</v>
      </c>
      <c r="C55" s="62">
        <f t="shared" si="13"/>
        <v>1653445.3882356628</v>
      </c>
      <c r="D55" s="62">
        <f t="shared" si="10"/>
        <v>5362111.111111111</v>
      </c>
      <c r="E55" s="62">
        <f t="shared" si="3"/>
        <v>7015556.4993467741</v>
      </c>
      <c r="F55" s="62">
        <f t="shared" si="4"/>
        <v>85793777.777778089</v>
      </c>
      <c r="G55" s="177">
        <f t="shared" si="14"/>
        <v>0.05</v>
      </c>
      <c r="H55" s="177">
        <f t="shared" si="6"/>
        <v>5.2500000000000005E-2</v>
      </c>
      <c r="I55" s="177">
        <f t="shared" si="7"/>
        <v>5.5408970976253302E-2</v>
      </c>
      <c r="J55" s="177">
        <f t="shared" si="8"/>
        <v>1.8138656848062373E-2</v>
      </c>
      <c r="K55" s="177">
        <f t="shared" si="9"/>
        <v>0.24074669044872099</v>
      </c>
    </row>
    <row r="56" spans="1:14" x14ac:dyDescent="0.2">
      <c r="A56" s="49">
        <f t="shared" si="0"/>
        <v>45</v>
      </c>
      <c r="B56" s="62">
        <f t="shared" si="1"/>
        <v>85793777.777778089</v>
      </c>
      <c r="C56" s="62">
        <f t="shared" si="13"/>
        <v>1556183.8948100361</v>
      </c>
      <c r="D56" s="62">
        <f t="shared" si="10"/>
        <v>5362111.111111111</v>
      </c>
      <c r="E56" s="62">
        <f t="shared" si="3"/>
        <v>6918295.0059211468</v>
      </c>
      <c r="F56" s="62">
        <f t="shared" si="4"/>
        <v>80431666.666666985</v>
      </c>
      <c r="G56" s="177">
        <f t="shared" si="14"/>
        <v>0.05</v>
      </c>
      <c r="H56" s="177">
        <f t="shared" si="6"/>
        <v>5.2500000000000005E-2</v>
      </c>
      <c r="I56" s="177">
        <f t="shared" si="7"/>
        <v>5.5408970976253302E-2</v>
      </c>
      <c r="J56" s="177">
        <f t="shared" si="8"/>
        <v>1.8138656848062373E-2</v>
      </c>
      <c r="K56" s="177">
        <f t="shared" si="9"/>
        <v>0.24074669044872099</v>
      </c>
    </row>
    <row r="57" spans="1:14" x14ac:dyDescent="0.2">
      <c r="A57" s="49">
        <f t="shared" si="0"/>
        <v>46</v>
      </c>
      <c r="B57" s="62">
        <f t="shared" si="1"/>
        <v>80431666.666666985</v>
      </c>
      <c r="C57" s="62">
        <f t="shared" si="13"/>
        <v>1458922.4013844093</v>
      </c>
      <c r="D57" s="62">
        <f t="shared" si="10"/>
        <v>5362111.111111111</v>
      </c>
      <c r="E57" s="62">
        <f t="shared" si="3"/>
        <v>6821033.5124955205</v>
      </c>
      <c r="F57" s="62">
        <f t="shared" si="4"/>
        <v>75069555.55555588</v>
      </c>
      <c r="G57" s="177">
        <f t="shared" si="14"/>
        <v>0.05</v>
      </c>
      <c r="H57" s="177">
        <f t="shared" si="6"/>
        <v>5.2500000000000005E-2</v>
      </c>
      <c r="I57" s="177">
        <f t="shared" si="7"/>
        <v>5.5408970976253302E-2</v>
      </c>
      <c r="J57" s="177">
        <f t="shared" si="8"/>
        <v>1.8138656848062373E-2</v>
      </c>
      <c r="K57" s="177">
        <f t="shared" si="9"/>
        <v>0.24074669044872099</v>
      </c>
    </row>
    <row r="58" spans="1:14" x14ac:dyDescent="0.2">
      <c r="A58" s="49">
        <f t="shared" si="0"/>
        <v>47</v>
      </c>
      <c r="B58" s="62">
        <f t="shared" si="1"/>
        <v>75069555.55555588</v>
      </c>
      <c r="C58" s="62">
        <f t="shared" si="13"/>
        <v>1361660.9079587825</v>
      </c>
      <c r="D58" s="62">
        <f t="shared" si="10"/>
        <v>5362111.111111111</v>
      </c>
      <c r="E58" s="62">
        <f t="shared" si="3"/>
        <v>6723772.0190698933</v>
      </c>
      <c r="F58" s="62">
        <f t="shared" si="4"/>
        <v>69707444.444444776</v>
      </c>
      <c r="G58" s="177">
        <f t="shared" si="14"/>
        <v>0.05</v>
      </c>
      <c r="H58" s="177">
        <f t="shared" si="6"/>
        <v>5.2500000000000005E-2</v>
      </c>
      <c r="I58" s="177">
        <f t="shared" si="7"/>
        <v>5.5408970976253302E-2</v>
      </c>
      <c r="J58" s="177">
        <f t="shared" si="8"/>
        <v>1.8138656848062373E-2</v>
      </c>
      <c r="K58" s="177">
        <f t="shared" si="9"/>
        <v>0.24074669044872099</v>
      </c>
      <c r="M58" s="18">
        <f>SUM(C48:C59)</f>
        <v>21592051.540489238</v>
      </c>
      <c r="N58" s="18">
        <f>SUM(D48:D59)</f>
        <v>64345333.333333336</v>
      </c>
    </row>
    <row r="59" spans="1:14" x14ac:dyDescent="0.2">
      <c r="A59" s="49">
        <f t="shared" si="0"/>
        <v>48</v>
      </c>
      <c r="B59" s="62">
        <f t="shared" si="1"/>
        <v>69707444.444444776</v>
      </c>
      <c r="C59" s="62">
        <f t="shared" si="13"/>
        <v>1264399.4145331557</v>
      </c>
      <c r="D59" s="62">
        <f t="shared" si="10"/>
        <v>5362111.111111111</v>
      </c>
      <c r="E59" s="62">
        <f t="shared" si="3"/>
        <v>6626510.525644267</v>
      </c>
      <c r="F59" s="62">
        <f t="shared" si="4"/>
        <v>64345333.333333664</v>
      </c>
      <c r="G59" s="177">
        <f>+$F$8</f>
        <v>0.05</v>
      </c>
      <c r="H59" s="177">
        <f t="shared" si="6"/>
        <v>5.2500000000000005E-2</v>
      </c>
      <c r="I59" s="177">
        <f t="shared" si="7"/>
        <v>5.5408970976253302E-2</v>
      </c>
      <c r="J59" s="177">
        <f t="shared" si="8"/>
        <v>1.8138656848062373E-2</v>
      </c>
      <c r="K59" s="177">
        <f t="shared" si="9"/>
        <v>0.24074669044872099</v>
      </c>
      <c r="L59" t="s">
        <v>204</v>
      </c>
    </row>
    <row r="60" spans="1:14" x14ac:dyDescent="0.2">
      <c r="A60" s="49">
        <f t="shared" si="0"/>
        <v>49</v>
      </c>
      <c r="B60" s="62">
        <f t="shared" si="1"/>
        <v>64345333.333333664</v>
      </c>
      <c r="C60" s="62">
        <f t="shared" si="13"/>
        <v>1184432.6608904775</v>
      </c>
      <c r="D60" s="62">
        <f t="shared" si="10"/>
        <v>5362111.111111111</v>
      </c>
      <c r="E60" s="62">
        <f t="shared" si="3"/>
        <v>6546543.7720015887</v>
      </c>
      <c r="F60" s="62">
        <f t="shared" si="4"/>
        <v>58983222.222222552</v>
      </c>
      <c r="G60" s="177">
        <f t="shared" ref="G60:G71" si="15">+$G$8</f>
        <v>5.2999999999999999E-2</v>
      </c>
      <c r="H60" s="177">
        <f t="shared" si="6"/>
        <v>5.3249999999999999E-2</v>
      </c>
      <c r="I60" s="177">
        <f t="shared" si="7"/>
        <v>5.624504885133351E-2</v>
      </c>
      <c r="J60" s="177">
        <f t="shared" si="8"/>
        <v>1.8407436864996241E-2</v>
      </c>
      <c r="K60" s="177">
        <f t="shared" si="9"/>
        <v>0.24468296238436471</v>
      </c>
      <c r="L60" s="27">
        <f>NPV(J70,E59:E70)</f>
        <v>65381033.538749941</v>
      </c>
    </row>
    <row r="61" spans="1:14" x14ac:dyDescent="0.2">
      <c r="A61" s="49">
        <f t="shared" si="0"/>
        <v>50</v>
      </c>
      <c r="B61" s="62">
        <f t="shared" si="1"/>
        <v>58983222.222222552</v>
      </c>
      <c r="C61" s="62">
        <f t="shared" si="13"/>
        <v>1085729.9391496049</v>
      </c>
      <c r="D61" s="62">
        <f t="shared" si="10"/>
        <v>5362111.111111111</v>
      </c>
      <c r="E61" s="62">
        <f t="shared" si="3"/>
        <v>6447841.0502607161</v>
      </c>
      <c r="F61" s="62">
        <f t="shared" si="4"/>
        <v>53621111.11111144</v>
      </c>
      <c r="G61" s="177">
        <f t="shared" si="15"/>
        <v>5.2999999999999999E-2</v>
      </c>
      <c r="H61" s="177">
        <f t="shared" si="6"/>
        <v>5.3249999999999999E-2</v>
      </c>
      <c r="I61" s="177">
        <f t="shared" si="7"/>
        <v>5.624504885133351E-2</v>
      </c>
      <c r="J61" s="177">
        <f t="shared" si="8"/>
        <v>1.8407436864996241E-2</v>
      </c>
      <c r="K61" s="177">
        <f t="shared" si="9"/>
        <v>0.24468296238436471</v>
      </c>
      <c r="L61" t="s">
        <v>205</v>
      </c>
    </row>
    <row r="62" spans="1:14" x14ac:dyDescent="0.2">
      <c r="A62" s="49">
        <f t="shared" si="0"/>
        <v>51</v>
      </c>
      <c r="B62" s="62">
        <f t="shared" si="1"/>
        <v>53621111.11111144</v>
      </c>
      <c r="C62" s="62">
        <f t="shared" si="13"/>
        <v>987027.21740873228</v>
      </c>
      <c r="D62" s="62">
        <f t="shared" si="10"/>
        <v>5362111.111111111</v>
      </c>
      <c r="E62" s="62">
        <f t="shared" si="3"/>
        <v>6349138.3285198435</v>
      </c>
      <c r="F62" s="62">
        <f t="shared" si="4"/>
        <v>48259000.000000328</v>
      </c>
      <c r="G62" s="177">
        <f t="shared" si="15"/>
        <v>5.2999999999999999E-2</v>
      </c>
      <c r="H62" s="177">
        <f t="shared" si="6"/>
        <v>5.3249999999999999E-2</v>
      </c>
      <c r="I62" s="177">
        <f t="shared" si="7"/>
        <v>5.624504885133351E-2</v>
      </c>
      <c r="J62" s="177">
        <f t="shared" si="8"/>
        <v>1.8407436864996241E-2</v>
      </c>
      <c r="K62" s="177">
        <f t="shared" si="9"/>
        <v>0.24468296238436471</v>
      </c>
      <c r="L62" s="28">
        <f>(1+K69)*L60</f>
        <v>81378658.508762777</v>
      </c>
    </row>
    <row r="63" spans="1:14" x14ac:dyDescent="0.2">
      <c r="A63" s="49">
        <f t="shared" si="0"/>
        <v>52</v>
      </c>
      <c r="B63" s="62">
        <f t="shared" si="1"/>
        <v>48259000.000000328</v>
      </c>
      <c r="C63" s="62">
        <f t="shared" si="13"/>
        <v>888324.49566785956</v>
      </c>
      <c r="D63" s="62">
        <f t="shared" si="10"/>
        <v>5362111.111111111</v>
      </c>
      <c r="E63" s="62">
        <f t="shared" si="3"/>
        <v>6250435.6067789709</v>
      </c>
      <c r="F63" s="62">
        <f t="shared" si="4"/>
        <v>42896888.888889216</v>
      </c>
      <c r="G63" s="177">
        <f t="shared" si="15"/>
        <v>5.2999999999999999E-2</v>
      </c>
      <c r="H63" s="177">
        <f t="shared" si="6"/>
        <v>5.3249999999999999E-2</v>
      </c>
      <c r="I63" s="177">
        <f t="shared" si="7"/>
        <v>5.624504885133351E-2</v>
      </c>
      <c r="J63" s="177">
        <f t="shared" si="8"/>
        <v>1.8407436864996241E-2</v>
      </c>
      <c r="K63" s="177">
        <f t="shared" si="9"/>
        <v>0.24468296238436471</v>
      </c>
    </row>
    <row r="64" spans="1:14" x14ac:dyDescent="0.2">
      <c r="A64" s="49">
        <f t="shared" si="0"/>
        <v>53</v>
      </c>
      <c r="B64" s="62">
        <f t="shared" si="1"/>
        <v>42896888.888889216</v>
      </c>
      <c r="C64" s="62">
        <f t="shared" si="13"/>
        <v>789621.77392698696</v>
      </c>
      <c r="D64" s="62">
        <f t="shared" si="10"/>
        <v>5362111.111111111</v>
      </c>
      <c r="E64" s="62">
        <f t="shared" si="3"/>
        <v>6151732.8850380983</v>
      </c>
      <c r="F64" s="62">
        <f t="shared" si="4"/>
        <v>37534777.777778104</v>
      </c>
      <c r="G64" s="177">
        <f t="shared" si="15"/>
        <v>5.2999999999999999E-2</v>
      </c>
      <c r="H64" s="177">
        <f t="shared" si="6"/>
        <v>5.3249999999999999E-2</v>
      </c>
      <c r="I64" s="177">
        <f t="shared" si="7"/>
        <v>5.624504885133351E-2</v>
      </c>
      <c r="J64" s="177">
        <f t="shared" si="8"/>
        <v>1.8407436864996241E-2</v>
      </c>
      <c r="K64" s="177">
        <f t="shared" si="9"/>
        <v>0.24468296238436471</v>
      </c>
    </row>
    <row r="65" spans="1:14" x14ac:dyDescent="0.2">
      <c r="A65" s="49">
        <f t="shared" si="0"/>
        <v>54</v>
      </c>
      <c r="B65" s="62">
        <f t="shared" si="1"/>
        <v>37534777.777778104</v>
      </c>
      <c r="C65" s="62">
        <f t="shared" si="13"/>
        <v>690919.05218611436</v>
      </c>
      <c r="D65" s="62">
        <f t="shared" si="10"/>
        <v>5362111.111111111</v>
      </c>
      <c r="E65" s="62">
        <f t="shared" si="3"/>
        <v>6053030.1632972257</v>
      </c>
      <c r="F65" s="62">
        <f t="shared" si="4"/>
        <v>32172666.666666992</v>
      </c>
      <c r="G65" s="177">
        <f t="shared" si="15"/>
        <v>5.2999999999999999E-2</v>
      </c>
      <c r="H65" s="177">
        <f t="shared" si="6"/>
        <v>5.3249999999999999E-2</v>
      </c>
      <c r="I65" s="177">
        <f t="shared" si="7"/>
        <v>5.624504885133351E-2</v>
      </c>
      <c r="J65" s="177">
        <f t="shared" si="8"/>
        <v>1.8407436864996241E-2</v>
      </c>
      <c r="K65" s="177">
        <f t="shared" si="9"/>
        <v>0.24468296238436471</v>
      </c>
    </row>
    <row r="66" spans="1:14" x14ac:dyDescent="0.2">
      <c r="A66" s="49">
        <f t="shared" si="0"/>
        <v>55</v>
      </c>
      <c r="B66" s="62">
        <f t="shared" si="1"/>
        <v>32172666.666666992</v>
      </c>
      <c r="C66" s="62">
        <f t="shared" si="13"/>
        <v>592216.33044524165</v>
      </c>
      <c r="D66" s="62">
        <f t="shared" si="10"/>
        <v>5362111.111111111</v>
      </c>
      <c r="E66" s="62">
        <f t="shared" si="3"/>
        <v>5954327.4415563531</v>
      </c>
      <c r="F66" s="62">
        <f t="shared" si="4"/>
        <v>26810555.55555588</v>
      </c>
      <c r="G66" s="177">
        <f t="shared" si="15"/>
        <v>5.2999999999999999E-2</v>
      </c>
      <c r="H66" s="177">
        <f t="shared" si="6"/>
        <v>5.3249999999999999E-2</v>
      </c>
      <c r="I66" s="177">
        <f t="shared" si="7"/>
        <v>5.624504885133351E-2</v>
      </c>
      <c r="J66" s="177">
        <f t="shared" si="8"/>
        <v>1.8407436864996241E-2</v>
      </c>
      <c r="K66" s="177">
        <f t="shared" si="9"/>
        <v>0.24468296238436471</v>
      </c>
    </row>
    <row r="67" spans="1:14" x14ac:dyDescent="0.2">
      <c r="A67" s="49">
        <f t="shared" si="0"/>
        <v>56</v>
      </c>
      <c r="B67" s="62">
        <f t="shared" si="1"/>
        <v>26810555.55555588</v>
      </c>
      <c r="C67" s="62">
        <f t="shared" si="13"/>
        <v>493513.60870436905</v>
      </c>
      <c r="D67" s="62">
        <f t="shared" si="10"/>
        <v>5362111.111111111</v>
      </c>
      <c r="E67" s="62">
        <f t="shared" si="3"/>
        <v>5855624.7198154796</v>
      </c>
      <c r="F67" s="62">
        <f t="shared" si="4"/>
        <v>21448444.444444768</v>
      </c>
      <c r="G67" s="177">
        <f t="shared" si="15"/>
        <v>5.2999999999999999E-2</v>
      </c>
      <c r="H67" s="177">
        <f t="shared" si="6"/>
        <v>5.3249999999999999E-2</v>
      </c>
      <c r="I67" s="177">
        <f t="shared" si="7"/>
        <v>5.624504885133351E-2</v>
      </c>
      <c r="J67" s="177">
        <f t="shared" si="8"/>
        <v>1.8407436864996241E-2</v>
      </c>
      <c r="K67" s="177">
        <f t="shared" si="9"/>
        <v>0.24468296238436471</v>
      </c>
    </row>
    <row r="68" spans="1:14" x14ac:dyDescent="0.2">
      <c r="A68" s="49">
        <f t="shared" si="0"/>
        <v>57</v>
      </c>
      <c r="B68" s="62">
        <f t="shared" si="1"/>
        <v>21448444.444444768</v>
      </c>
      <c r="C68" s="62">
        <f t="shared" si="13"/>
        <v>394810.88696349645</v>
      </c>
      <c r="D68" s="62">
        <f t="shared" si="10"/>
        <v>5362111.111111111</v>
      </c>
      <c r="E68" s="62">
        <f t="shared" si="3"/>
        <v>5756921.9980746079</v>
      </c>
      <c r="F68" s="62">
        <f t="shared" si="4"/>
        <v>16086333.333333656</v>
      </c>
      <c r="G68" s="177">
        <f t="shared" si="15"/>
        <v>5.2999999999999999E-2</v>
      </c>
      <c r="H68" s="177">
        <f t="shared" si="6"/>
        <v>5.3249999999999999E-2</v>
      </c>
      <c r="I68" s="177">
        <f t="shared" si="7"/>
        <v>5.624504885133351E-2</v>
      </c>
      <c r="J68" s="177">
        <f t="shared" si="8"/>
        <v>1.8407436864996241E-2</v>
      </c>
      <c r="K68" s="177">
        <f t="shared" si="9"/>
        <v>0.24468296238436471</v>
      </c>
    </row>
    <row r="69" spans="1:14" x14ac:dyDescent="0.2">
      <c r="A69" s="49">
        <f t="shared" si="0"/>
        <v>58</v>
      </c>
      <c r="B69" s="62">
        <f t="shared" si="1"/>
        <v>16086333.333333656</v>
      </c>
      <c r="C69" s="62">
        <f t="shared" si="13"/>
        <v>296108.16522262379</v>
      </c>
      <c r="D69" s="62">
        <f t="shared" si="10"/>
        <v>5362111.111111111</v>
      </c>
      <c r="E69" s="62">
        <f t="shared" si="3"/>
        <v>5658219.2763337344</v>
      </c>
      <c r="F69" s="62">
        <f t="shared" si="4"/>
        <v>10724222.222222544</v>
      </c>
      <c r="G69" s="177">
        <f t="shared" si="15"/>
        <v>5.2999999999999999E-2</v>
      </c>
      <c r="H69" s="177">
        <f t="shared" si="6"/>
        <v>5.3249999999999999E-2</v>
      </c>
      <c r="I69" s="177">
        <f t="shared" si="7"/>
        <v>5.624504885133351E-2</v>
      </c>
      <c r="J69" s="177">
        <f t="shared" si="8"/>
        <v>1.8407436864996241E-2</v>
      </c>
      <c r="K69" s="177">
        <f t="shared" si="9"/>
        <v>0.24468296238436471</v>
      </c>
    </row>
    <row r="70" spans="1:14" x14ac:dyDescent="0.2">
      <c r="A70" s="49">
        <f t="shared" si="0"/>
        <v>59</v>
      </c>
      <c r="B70" s="62">
        <f t="shared" si="1"/>
        <v>10724222.222222544</v>
      </c>
      <c r="C70" s="62">
        <f t="shared" si="13"/>
        <v>197405.44348175116</v>
      </c>
      <c r="D70" s="62">
        <f t="shared" si="10"/>
        <v>5362111.111111111</v>
      </c>
      <c r="E70" s="62">
        <f t="shared" si="3"/>
        <v>5559516.5545928618</v>
      </c>
      <c r="F70" s="62">
        <f t="shared" si="4"/>
        <v>5362111.1111114332</v>
      </c>
      <c r="G70" s="177">
        <f t="shared" si="15"/>
        <v>5.2999999999999999E-2</v>
      </c>
      <c r="H70" s="177">
        <f t="shared" si="6"/>
        <v>5.3249999999999999E-2</v>
      </c>
      <c r="I70" s="177">
        <f t="shared" si="7"/>
        <v>5.624504885133351E-2</v>
      </c>
      <c r="J70" s="177">
        <f t="shared" si="8"/>
        <v>1.8407436864996241E-2</v>
      </c>
      <c r="K70" s="177">
        <f t="shared" si="9"/>
        <v>0.24468296238436471</v>
      </c>
    </row>
    <row r="71" spans="1:14" x14ac:dyDescent="0.2">
      <c r="A71" s="49">
        <f t="shared" si="0"/>
        <v>60</v>
      </c>
      <c r="B71" s="62">
        <f t="shared" si="1"/>
        <v>5362111.1111114332</v>
      </c>
      <c r="C71" s="62">
        <f t="shared" si="13"/>
        <v>98702.721740878551</v>
      </c>
      <c r="D71" s="62">
        <f t="shared" si="10"/>
        <v>5362111.111111111</v>
      </c>
      <c r="E71" s="62">
        <f t="shared" si="3"/>
        <v>5460813.8328519892</v>
      </c>
      <c r="F71" s="62">
        <f t="shared" si="4"/>
        <v>3.2223761081695557E-7</v>
      </c>
      <c r="G71" s="177">
        <f t="shared" si="15"/>
        <v>5.2999999999999999E-2</v>
      </c>
      <c r="H71" s="177">
        <f t="shared" si="6"/>
        <v>5.3249999999999999E-2</v>
      </c>
      <c r="I71" s="177">
        <f t="shared" si="7"/>
        <v>5.624504885133351E-2</v>
      </c>
      <c r="J71" s="177">
        <f t="shared" si="8"/>
        <v>1.8407436864996241E-2</v>
      </c>
      <c r="K71" s="177">
        <f t="shared" si="9"/>
        <v>0.24468296238436471</v>
      </c>
      <c r="M71" s="18">
        <f>SUM(C60:C71)</f>
        <v>7698812.2957881354</v>
      </c>
      <c r="N71" s="18">
        <f>SUM(D60:D71)</f>
        <v>64345333.333333336</v>
      </c>
    </row>
    <row r="72" spans="1:14" x14ac:dyDescent="0.2">
      <c r="A72" s="49" t="s">
        <v>1</v>
      </c>
      <c r="B72" s="62"/>
      <c r="C72" s="62">
        <f>SUM(C12:C71)</f>
        <v>179182092.96375766</v>
      </c>
      <c r="D72" s="62">
        <f>SUM(D12:D71)</f>
        <v>321726666.66666639</v>
      </c>
      <c r="E72" s="62"/>
      <c r="F72" s="62"/>
      <c r="G72" s="62"/>
      <c r="H72" s="62"/>
      <c r="I72" s="62"/>
      <c r="J72" s="49"/>
      <c r="K72" s="49"/>
    </row>
    <row r="73" spans="1:14" x14ac:dyDescent="0.2">
      <c r="D73" s="291">
        <f>+D72-C3</f>
        <v>0</v>
      </c>
      <c r="L73" t="s">
        <v>315</v>
      </c>
      <c r="M73" s="18">
        <f>SUM(M23:M71)</f>
        <v>179182092.96375769</v>
      </c>
      <c r="N73" s="18">
        <f>SUM(N23:N71)</f>
        <v>321726666.66666669</v>
      </c>
    </row>
    <row r="74" spans="1:14" x14ac:dyDescent="0.2">
      <c r="C74" s="290">
        <f>+C72-M73</f>
        <v>0</v>
      </c>
      <c r="D74" s="290">
        <f>+D72-N73</f>
        <v>0</v>
      </c>
    </row>
  </sheetData>
  <phoneticPr fontId="0" type="noConversion"/>
  <pageMargins left="0.75" right="0.75" top="1" bottom="1" header="0" footer="0"/>
  <pageSetup paperSize="9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3:W222"/>
  <sheetViews>
    <sheetView tabSelected="1" topLeftCell="A34" zoomScale="90" zoomScaleNormal="90" workbookViewId="0">
      <selection activeCell="G23" sqref="G23"/>
    </sheetView>
  </sheetViews>
  <sheetFormatPr baseColWidth="10" defaultRowHeight="12.75" x14ac:dyDescent="0.2"/>
  <cols>
    <col min="1" max="1" width="15.28515625" customWidth="1"/>
    <col min="2" max="2" width="26.5703125" customWidth="1"/>
    <col min="3" max="3" width="17.42578125" customWidth="1"/>
    <col min="4" max="4" width="17.140625" customWidth="1"/>
    <col min="5" max="6" width="17.85546875" customWidth="1"/>
    <col min="7" max="7" width="17.140625" customWidth="1"/>
    <col min="8" max="8" width="13.85546875" customWidth="1"/>
    <col min="9" max="9" width="17" customWidth="1"/>
    <col min="10" max="10" width="16.85546875" customWidth="1"/>
    <col min="11" max="11" width="17.7109375" customWidth="1"/>
    <col min="12" max="12" width="15.7109375" customWidth="1"/>
    <col min="13" max="13" width="15.42578125" bestFit="1" customWidth="1"/>
    <col min="15" max="15" width="20.7109375" customWidth="1"/>
  </cols>
  <sheetData>
    <row r="3" spans="1:12" x14ac:dyDescent="0.2">
      <c r="A3" s="441" t="s">
        <v>599</v>
      </c>
      <c r="B3" s="441"/>
      <c r="C3" s="441"/>
      <c r="D3" s="441"/>
      <c r="E3" s="441"/>
      <c r="F3" s="441"/>
    </row>
    <row r="4" spans="1:12" x14ac:dyDescent="0.2">
      <c r="A4" s="441" t="s">
        <v>409</v>
      </c>
      <c r="B4" s="441"/>
      <c r="C4" s="441"/>
      <c r="D4" s="441"/>
      <c r="E4" s="441"/>
      <c r="F4" s="441"/>
    </row>
    <row r="5" spans="1:12" x14ac:dyDescent="0.2">
      <c r="A5" s="211"/>
      <c r="B5" s="211"/>
      <c r="C5" s="211"/>
      <c r="D5" s="211"/>
      <c r="E5" s="211"/>
      <c r="F5" s="211"/>
    </row>
    <row r="6" spans="1:12" x14ac:dyDescent="0.2">
      <c r="A6" s="211"/>
      <c r="B6" s="242" t="s">
        <v>478</v>
      </c>
      <c r="C6" s="243"/>
      <c r="D6" s="243"/>
      <c r="E6" s="211"/>
      <c r="F6" s="211"/>
      <c r="H6" s="146" t="s">
        <v>510</v>
      </c>
    </row>
    <row r="7" spans="1:12" ht="25.5" x14ac:dyDescent="0.2">
      <c r="A7" s="211"/>
      <c r="B7" s="246" t="s">
        <v>599</v>
      </c>
      <c r="C7" s="247"/>
      <c r="D7" s="343" t="s">
        <v>575</v>
      </c>
      <c r="E7" s="343" t="s">
        <v>576</v>
      </c>
      <c r="F7" s="343" t="s">
        <v>600</v>
      </c>
      <c r="H7" s="246" t="s">
        <v>599</v>
      </c>
      <c r="I7" s="247"/>
      <c r="J7" s="247" t="s">
        <v>575</v>
      </c>
      <c r="K7" s="247" t="s">
        <v>576</v>
      </c>
      <c r="L7" s="247" t="s">
        <v>609</v>
      </c>
    </row>
    <row r="8" spans="1:12" x14ac:dyDescent="0.2">
      <c r="A8" s="211"/>
      <c r="B8" s="246" t="s">
        <v>472</v>
      </c>
      <c r="C8" s="247"/>
      <c r="D8" s="248">
        <f>J8</f>
        <v>0.42510627656914229</v>
      </c>
      <c r="E8" s="248">
        <v>0</v>
      </c>
      <c r="F8" s="248">
        <v>0</v>
      </c>
      <c r="H8" s="246" t="s">
        <v>472</v>
      </c>
      <c r="I8" s="247"/>
      <c r="J8" s="248">
        <f>+('4. COSTOS'!D25/'4. COSTOS'!$D$30)</f>
        <v>0.42510627656914229</v>
      </c>
      <c r="K8" s="248">
        <f>+'4. COSTOS'!D26/'4. COSTOS'!$D$30</f>
        <v>0.17479369842460615</v>
      </c>
      <c r="L8" s="248">
        <f>+'4. COSTOS'!D27/'4. COSTOS'!$D$30</f>
        <v>0.40010002500625158</v>
      </c>
    </row>
    <row r="9" spans="1:12" x14ac:dyDescent="0.2">
      <c r="A9" s="211"/>
      <c r="B9" s="246" t="s">
        <v>475</v>
      </c>
      <c r="C9" s="247"/>
      <c r="D9" s="249">
        <f>J9</f>
        <v>95193965.28079389</v>
      </c>
      <c r="E9" s="249">
        <v>0</v>
      </c>
      <c r="F9" s="249">
        <v>0</v>
      </c>
      <c r="H9" s="246" t="s">
        <v>475</v>
      </c>
      <c r="I9" s="247"/>
      <c r="J9" s="249">
        <f>+('4. COSTOS'!$B$119+'4. COSTOS'!$B$126)*'10. GAO.GAF'!J8</f>
        <v>95193965.28079389</v>
      </c>
      <c r="K9" s="249">
        <f>+('4. COSTOS'!$B$119+'4. COSTOS'!$B$126)*'10. GAO.GAF'!K8</f>
        <v>39141518.665455841</v>
      </c>
      <c r="L9" s="249">
        <f>+('4. COSTOS'!$B$119+'4. COSTOS'!$B$126)*'10. GAO.GAF'!L8</f>
        <v>89594320.264276594</v>
      </c>
    </row>
    <row r="10" spans="1:12" x14ac:dyDescent="0.2">
      <c r="A10" s="211"/>
      <c r="B10" s="246" t="s">
        <v>473</v>
      </c>
      <c r="C10" s="247"/>
      <c r="D10" s="249">
        <f>J10</f>
        <v>1069103601.495374</v>
      </c>
      <c r="E10" s="249">
        <v>0</v>
      </c>
      <c r="F10" s="249">
        <v>0</v>
      </c>
      <c r="H10" s="246" t="s">
        <v>473</v>
      </c>
      <c r="I10" s="247"/>
      <c r="J10" s="249">
        <f>+'4. COSTOS'!$B$98*'10. GAO.GAF'!J8</f>
        <v>1069103601.495374</v>
      </c>
      <c r="K10" s="249">
        <f>+'4. COSTOS'!$B$98*'10. GAO.GAF'!K8</f>
        <v>439590245.55603904</v>
      </c>
      <c r="L10" s="249">
        <f>+'4. COSTOS'!$B$98*'10. GAO.GAF'!L8</f>
        <v>1006215154.3485873</v>
      </c>
    </row>
    <row r="11" spans="1:12" x14ac:dyDescent="0.2">
      <c r="A11" s="211"/>
      <c r="B11" s="246" t="s">
        <v>476</v>
      </c>
      <c r="C11" s="247"/>
      <c r="D11" s="250">
        <f>J11</f>
        <v>1164297566.7761679</v>
      </c>
      <c r="E11" s="250">
        <v>0</v>
      </c>
      <c r="F11" s="250">
        <v>0</v>
      </c>
      <c r="H11" s="246" t="s">
        <v>476</v>
      </c>
      <c r="I11" s="247"/>
      <c r="J11" s="250">
        <f>+J9+J10</f>
        <v>1164297566.7761679</v>
      </c>
      <c r="K11" s="250">
        <f>+K9+K10</f>
        <v>478731764.22149485</v>
      </c>
      <c r="L11" s="250">
        <f>+L9+L10</f>
        <v>1095809474.6128638</v>
      </c>
    </row>
    <row r="12" spans="1:12" x14ac:dyDescent="0.2">
      <c r="A12" s="211"/>
      <c r="B12" s="246" t="s">
        <v>474</v>
      </c>
      <c r="C12" s="247"/>
      <c r="D12" s="251">
        <v>120</v>
      </c>
      <c r="E12" s="251">
        <v>0</v>
      </c>
      <c r="F12" s="251">
        <v>0</v>
      </c>
      <c r="H12" s="246" t="s">
        <v>474</v>
      </c>
      <c r="I12" s="247"/>
      <c r="J12" s="251">
        <f>+'4. COSTOS'!C25*12</f>
        <v>120</v>
      </c>
      <c r="K12" s="251">
        <f>+'4. COSTOS'!C26*12</f>
        <v>36</v>
      </c>
      <c r="L12" s="251">
        <f>+'4. COSTOS'!C27*12</f>
        <v>24</v>
      </c>
    </row>
    <row r="13" spans="1:12" x14ac:dyDescent="0.2">
      <c r="A13" s="211"/>
      <c r="B13" s="246" t="s">
        <v>410</v>
      </c>
      <c r="C13" s="247"/>
      <c r="D13" s="249">
        <f>J13</f>
        <v>8909196.679128116</v>
      </c>
      <c r="E13" s="251"/>
      <c r="F13" s="251"/>
      <c r="H13" s="246" t="s">
        <v>410</v>
      </c>
      <c r="I13" s="247"/>
      <c r="J13" s="249">
        <f>+J10/J12</f>
        <v>8909196.679128116</v>
      </c>
      <c r="K13" s="249">
        <f t="shared" ref="K13:L13" si="0">+K10/K12</f>
        <v>12210840.154334418</v>
      </c>
      <c r="L13" s="249">
        <f t="shared" si="0"/>
        <v>41925631.431191139</v>
      </c>
    </row>
    <row r="14" spans="1:12" x14ac:dyDescent="0.2">
      <c r="A14" s="211"/>
      <c r="B14" s="246" t="s">
        <v>506</v>
      </c>
      <c r="C14" s="247"/>
      <c r="D14" s="276">
        <f>J14</f>
        <v>9702479.7231347319</v>
      </c>
      <c r="E14" s="251"/>
      <c r="F14" s="251"/>
      <c r="H14" s="246" t="s">
        <v>506</v>
      </c>
      <c r="I14" s="247"/>
      <c r="J14" s="276">
        <f>+J11/J12</f>
        <v>9702479.7231347319</v>
      </c>
      <c r="K14" s="276">
        <f t="shared" ref="K14:L14" si="1">+K11/K12</f>
        <v>13298104.56170819</v>
      </c>
      <c r="L14" s="276">
        <f t="shared" si="1"/>
        <v>45658728.108869322</v>
      </c>
    </row>
    <row r="15" spans="1:12" x14ac:dyDescent="0.2">
      <c r="A15" s="211"/>
      <c r="B15" s="246" t="s">
        <v>480</v>
      </c>
      <c r="C15" s="247"/>
      <c r="D15" s="250">
        <f>J15</f>
        <v>13583471.612388624</v>
      </c>
      <c r="E15" s="251"/>
      <c r="F15" s="251"/>
      <c r="H15" s="246" t="s">
        <v>480</v>
      </c>
      <c r="I15" s="247"/>
      <c r="J15" s="250">
        <f>+J14*(1+'3, INVENTARIO'!D13)</f>
        <v>13583471.612388624</v>
      </c>
      <c r="K15" s="250">
        <f>+K14*(1+'3, INVENTARIO'!E13)</f>
        <v>13298104.56170819</v>
      </c>
      <c r="L15" s="250">
        <f>+L14*(1+'3, INVENTARIO'!F13)</f>
        <v>45658728.108869322</v>
      </c>
    </row>
    <row r="16" spans="1:12" x14ac:dyDescent="0.2">
      <c r="A16" s="211"/>
      <c r="B16" s="242" t="s">
        <v>477</v>
      </c>
      <c r="C16" s="243"/>
      <c r="D16" s="244">
        <f>+D11-'4. COSTOS'!B132</f>
        <v>-1574541238.8343587</v>
      </c>
      <c r="E16" s="245"/>
      <c r="F16" s="245"/>
      <c r="H16" s="242" t="s">
        <v>477</v>
      </c>
      <c r="I16" s="243"/>
      <c r="J16" s="244">
        <f>+J11-'4. COSTOS'!B132</f>
        <v>-1574541238.8343587</v>
      </c>
      <c r="K16" s="245"/>
      <c r="L16" s="245"/>
    </row>
    <row r="17" spans="1:18" x14ac:dyDescent="0.2">
      <c r="A17" s="211"/>
      <c r="B17" s="240"/>
      <c r="C17" s="211"/>
      <c r="D17" s="211"/>
      <c r="E17" s="211"/>
      <c r="F17" s="211"/>
    </row>
    <row r="18" spans="1:18" x14ac:dyDescent="0.2">
      <c r="A18" s="211"/>
      <c r="B18" s="441" t="s">
        <v>411</v>
      </c>
      <c r="C18" s="441"/>
      <c r="D18" s="441"/>
      <c r="E18" s="211"/>
      <c r="F18" s="211"/>
    </row>
    <row r="19" spans="1:18" x14ac:dyDescent="0.2">
      <c r="A19" s="446" t="s">
        <v>598</v>
      </c>
      <c r="B19" s="443"/>
      <c r="C19" s="443"/>
      <c r="D19" s="443"/>
      <c r="E19" s="443"/>
      <c r="F19" s="443"/>
      <c r="G19" s="443"/>
      <c r="H19" s="443"/>
      <c r="J19" s="376"/>
    </row>
    <row r="20" spans="1:18" x14ac:dyDescent="0.2">
      <c r="A20" s="211"/>
      <c r="B20" s="212" t="s">
        <v>484</v>
      </c>
      <c r="C20" s="253">
        <f>+D9/(D15-D13)</f>
        <v>20.365504092073593</v>
      </c>
      <c r="D20" s="311">
        <f>+J9/(J15-J13)</f>
        <v>20.365504092073593</v>
      </c>
      <c r="E20" s="211"/>
      <c r="F20" s="211" t="s">
        <v>515</v>
      </c>
    </row>
    <row r="21" spans="1:18" x14ac:dyDescent="0.2">
      <c r="A21" s="211"/>
      <c r="B21" s="211"/>
      <c r="C21" s="211"/>
      <c r="D21" s="211"/>
      <c r="E21" s="211"/>
      <c r="F21" s="211" t="s">
        <v>516</v>
      </c>
    </row>
    <row r="22" spans="1:18" x14ac:dyDescent="0.2">
      <c r="B22" s="184" t="s">
        <v>481</v>
      </c>
      <c r="C22" s="255">
        <f>+D13</f>
        <v>8909196.679128116</v>
      </c>
      <c r="F22" t="s">
        <v>517</v>
      </c>
    </row>
    <row r="23" spans="1:18" x14ac:dyDescent="0.2">
      <c r="B23" s="256" t="s">
        <v>482</v>
      </c>
      <c r="C23" s="254">
        <f>+D9</f>
        <v>95193965.28079389</v>
      </c>
      <c r="F23" s="211" t="s">
        <v>518</v>
      </c>
    </row>
    <row r="24" spans="1:18" x14ac:dyDescent="0.2">
      <c r="B24" s="256" t="s">
        <v>483</v>
      </c>
      <c r="C24" s="254">
        <f>+D15</f>
        <v>13583471.612388624</v>
      </c>
      <c r="F24" s="211" t="s">
        <v>519</v>
      </c>
      <c r="H24" t="s">
        <v>520</v>
      </c>
    </row>
    <row r="25" spans="1:18" x14ac:dyDescent="0.2">
      <c r="F25" s="211" t="s">
        <v>521</v>
      </c>
    </row>
    <row r="26" spans="1:18" x14ac:dyDescent="0.2">
      <c r="A26" s="437" t="s">
        <v>479</v>
      </c>
      <c r="B26" s="437"/>
      <c r="C26" s="437"/>
      <c r="D26" s="437"/>
      <c r="E26" s="437"/>
    </row>
    <row r="28" spans="1:18" s="357" customFormat="1" ht="24" customHeight="1" x14ac:dyDescent="0.2">
      <c r="A28" s="370" t="s">
        <v>412</v>
      </c>
      <c r="B28" s="371" t="s">
        <v>413</v>
      </c>
      <c r="C28" s="371" t="s">
        <v>414</v>
      </c>
      <c r="D28" s="371" t="s">
        <v>415</v>
      </c>
      <c r="E28" s="371" t="s">
        <v>416</v>
      </c>
      <c r="F28" s="371" t="s">
        <v>417</v>
      </c>
      <c r="G28" s="371" t="s">
        <v>418</v>
      </c>
      <c r="H28" s="371" t="s">
        <v>419</v>
      </c>
      <c r="I28" s="371" t="s">
        <v>420</v>
      </c>
      <c r="J28" s="371" t="s">
        <v>421</v>
      </c>
      <c r="K28" s="371" t="s">
        <v>422</v>
      </c>
      <c r="L28" s="371" t="s">
        <v>423</v>
      </c>
      <c r="M28" s="377" t="s">
        <v>658</v>
      </c>
    </row>
    <row r="29" spans="1:18" x14ac:dyDescent="0.2">
      <c r="A29" s="485">
        <v>0</v>
      </c>
      <c r="B29" s="215">
        <f>A29*$C$24</f>
        <v>0</v>
      </c>
      <c r="C29" s="215">
        <f t="shared" ref="C29:C46" si="2">$C$22*A29</f>
        <v>0</v>
      </c>
      <c r="D29" s="215">
        <f t="shared" ref="D29:D46" si="3">$C$23</f>
        <v>95193965.28079389</v>
      </c>
      <c r="E29" s="216">
        <f>C29+D29</f>
        <v>95193965.28079389</v>
      </c>
      <c r="F29" s="216">
        <f>B29-E29</f>
        <v>-95193965.28079389</v>
      </c>
      <c r="G29" s="217">
        <f t="shared" ref="G29:G40" si="4">+(B29-C29)/(B29-C29-D29)</f>
        <v>0</v>
      </c>
      <c r="H29" s="216">
        <f t="shared" ref="H29:H46" si="5">$B$90</f>
        <v>3750000</v>
      </c>
      <c r="I29" s="216">
        <f>F29-H29</f>
        <v>-98943965.28079389</v>
      </c>
      <c r="J29" s="216">
        <f>IF(I29&gt;0,(I29*$B$136),0)</f>
        <v>0</v>
      </c>
      <c r="K29" s="216">
        <f>I29-J29</f>
        <v>-98943965.28079389</v>
      </c>
      <c r="L29" s="379">
        <f>+F29/(F29-H29)</f>
        <v>0.96209976031021349</v>
      </c>
      <c r="M29" s="380">
        <f>G29*L29</f>
        <v>0</v>
      </c>
    </row>
    <row r="30" spans="1:18" x14ac:dyDescent="0.2">
      <c r="A30" s="486">
        <v>1</v>
      </c>
      <c r="B30" s="215">
        <f>A30*$C$24</f>
        <v>13583471.612388624</v>
      </c>
      <c r="C30" s="215">
        <f t="shared" si="2"/>
        <v>8909196.679128116</v>
      </c>
      <c r="D30" s="215">
        <f t="shared" si="3"/>
        <v>95193965.28079389</v>
      </c>
      <c r="E30" s="216">
        <f>C30+D30</f>
        <v>104103161.959922</v>
      </c>
      <c r="F30" s="216">
        <f t="shared" ref="F30:F45" si="6">B30-E30</f>
        <v>-90519690.347533375</v>
      </c>
      <c r="G30" s="217">
        <f t="shared" si="4"/>
        <v>-5.1638211700841062E-2</v>
      </c>
      <c r="H30" s="216">
        <f t="shared" si="5"/>
        <v>3750000</v>
      </c>
      <c r="I30" s="216">
        <f t="shared" ref="I30:I45" si="7">F30-H30</f>
        <v>-94269690.347533375</v>
      </c>
      <c r="J30" s="216">
        <f t="shared" ref="J30:J45" si="8">IF(I30&gt;0,(I30*$B$136),0)</f>
        <v>0</v>
      </c>
      <c r="K30" s="216">
        <f>I30-J30</f>
        <v>-94269690.347533375</v>
      </c>
      <c r="L30" s="379">
        <f>+F30/(F30-H30)</f>
        <v>0.96022051216912563</v>
      </c>
      <c r="M30" s="380">
        <f t="shared" ref="M30:M46" si="9">G30*L30</f>
        <v>-4.9584070086879338E-2</v>
      </c>
      <c r="N30" s="235"/>
      <c r="O30" s="235"/>
      <c r="P30" s="235"/>
      <c r="Q30" s="235"/>
      <c r="R30" s="235"/>
    </row>
    <row r="31" spans="1:18" x14ac:dyDescent="0.2">
      <c r="A31" s="486">
        <v>5</v>
      </c>
      <c r="B31" s="215">
        <f t="shared" ref="B31:B46" si="10">A31*$C$24</f>
        <v>67917358.061943114</v>
      </c>
      <c r="C31" s="215">
        <f t="shared" si="2"/>
        <v>44545983.395640582</v>
      </c>
      <c r="D31" s="215">
        <f t="shared" si="3"/>
        <v>95193965.28079389</v>
      </c>
      <c r="E31" s="216">
        <f t="shared" ref="E31:E45" si="11">C31+D31</f>
        <v>139739948.67643446</v>
      </c>
      <c r="F31" s="216">
        <f>B31-E31</f>
        <v>-71822590.614491343</v>
      </c>
      <c r="G31" s="217">
        <f t="shared" si="4"/>
        <v>-0.32540422820096637</v>
      </c>
      <c r="H31" s="216">
        <f t="shared" si="5"/>
        <v>3750000</v>
      </c>
      <c r="I31" s="216">
        <f t="shared" si="7"/>
        <v>-75572590.614491343</v>
      </c>
      <c r="J31" s="216">
        <f t="shared" si="8"/>
        <v>0</v>
      </c>
      <c r="K31" s="216">
        <f t="shared" ref="K31:K45" si="12">I31-J31</f>
        <v>-75572590.614491343</v>
      </c>
      <c r="L31" s="379">
        <f t="shared" ref="L31:L36" si="13">+F31/(F31-H31)</f>
        <v>0.9503788348459643</v>
      </c>
      <c r="M31" s="380">
        <f t="shared" si="9"/>
        <v>-0.30925729125158469</v>
      </c>
      <c r="N31" s="235"/>
      <c r="O31" s="235"/>
      <c r="P31" s="235"/>
      <c r="Q31" s="235"/>
      <c r="R31" s="235"/>
    </row>
    <row r="32" spans="1:18" x14ac:dyDescent="0.2">
      <c r="A32" s="486">
        <v>10</v>
      </c>
      <c r="B32" s="215">
        <f t="shared" si="10"/>
        <v>135834716.12388623</v>
      </c>
      <c r="C32" s="215">
        <f t="shared" si="2"/>
        <v>89091966.791281164</v>
      </c>
      <c r="D32" s="215">
        <f t="shared" si="3"/>
        <v>95193965.28079389</v>
      </c>
      <c r="E32" s="216">
        <f t="shared" si="11"/>
        <v>184285932.07207507</v>
      </c>
      <c r="F32" s="216">
        <f t="shared" si="6"/>
        <v>-48451215.948188841</v>
      </c>
      <c r="G32" s="217">
        <f t="shared" si="4"/>
        <v>-0.96473841611300926</v>
      </c>
      <c r="H32" s="216">
        <f t="shared" si="5"/>
        <v>3750000</v>
      </c>
      <c r="I32" s="216">
        <f t="shared" si="7"/>
        <v>-52201215.948188841</v>
      </c>
      <c r="J32" s="216">
        <f t="shared" si="8"/>
        <v>0</v>
      </c>
      <c r="K32" s="216">
        <f t="shared" si="12"/>
        <v>-52201215.948188841</v>
      </c>
      <c r="L32" s="379">
        <f t="shared" si="13"/>
        <v>0.92816259292270165</v>
      </c>
      <c r="M32" s="380">
        <f t="shared" si="9"/>
        <v>-0.89543410979159099</v>
      </c>
      <c r="N32" s="235"/>
      <c r="O32" s="235"/>
      <c r="P32" s="235"/>
      <c r="Q32" s="235"/>
      <c r="R32" s="235"/>
    </row>
    <row r="33" spans="1:18" s="235" customFormat="1" x14ac:dyDescent="0.2">
      <c r="A33" s="486">
        <v>15</v>
      </c>
      <c r="B33" s="218">
        <f t="shared" si="10"/>
        <v>203752074.18582937</v>
      </c>
      <c r="C33" s="218">
        <f t="shared" si="2"/>
        <v>133637950.18692175</v>
      </c>
      <c r="D33" s="218">
        <f t="shared" si="3"/>
        <v>95193965.28079389</v>
      </c>
      <c r="E33" s="219">
        <f t="shared" si="11"/>
        <v>228831915.46771562</v>
      </c>
      <c r="F33" s="219">
        <f t="shared" si="6"/>
        <v>-25079841.28188625</v>
      </c>
      <c r="G33" s="373">
        <f t="shared" si="4"/>
        <v>-2.795636671335199</v>
      </c>
      <c r="H33" s="219">
        <f t="shared" si="5"/>
        <v>3750000</v>
      </c>
      <c r="I33" s="219">
        <f t="shared" si="7"/>
        <v>-28829841.28188625</v>
      </c>
      <c r="J33" s="219">
        <f t="shared" si="8"/>
        <v>0</v>
      </c>
      <c r="K33" s="219">
        <f t="shared" si="12"/>
        <v>-28829841.28188625</v>
      </c>
      <c r="L33" s="381">
        <f t="shared" si="13"/>
        <v>0.86992644311378431</v>
      </c>
      <c r="M33" s="382">
        <f t="shared" si="9"/>
        <v>-2.4319982657330894</v>
      </c>
    </row>
    <row r="34" spans="1:18" s="375" customFormat="1" x14ac:dyDescent="0.2">
      <c r="A34" s="487">
        <v>20</v>
      </c>
      <c r="B34" s="488">
        <f t="shared" si="10"/>
        <v>271669432.24777246</v>
      </c>
      <c r="C34" s="488">
        <f t="shared" si="2"/>
        <v>178183933.58256233</v>
      </c>
      <c r="D34" s="488">
        <f t="shared" si="3"/>
        <v>95193965.28079389</v>
      </c>
      <c r="E34" s="489">
        <f t="shared" si="11"/>
        <v>273377898.86335623</v>
      </c>
      <c r="F34" s="489">
        <f>B34-E34</f>
        <v>-1708466.6155837774</v>
      </c>
      <c r="G34" s="490">
        <f t="shared" si="4"/>
        <v>-54.718949619783615</v>
      </c>
      <c r="H34" s="489">
        <f t="shared" si="5"/>
        <v>3750000</v>
      </c>
      <c r="I34" s="489">
        <f t="shared" si="7"/>
        <v>-5458466.6155837774</v>
      </c>
      <c r="J34" s="489">
        <f t="shared" si="8"/>
        <v>0</v>
      </c>
      <c r="K34" s="489">
        <f t="shared" si="12"/>
        <v>-5458466.6155837774</v>
      </c>
      <c r="L34" s="491">
        <f>+F34/(F34-H34)</f>
        <v>0.3129938746361754</v>
      </c>
      <c r="M34" s="492">
        <f t="shared" si="9"/>
        <v>-17.126696057517751</v>
      </c>
      <c r="N34" s="235"/>
      <c r="O34" s="235"/>
      <c r="P34" s="235"/>
      <c r="Q34" s="235"/>
      <c r="R34" s="235"/>
    </row>
    <row r="35" spans="1:18" s="378" customFormat="1" x14ac:dyDescent="0.2">
      <c r="A35" s="493">
        <v>25</v>
      </c>
      <c r="B35" s="494">
        <f t="shared" si="10"/>
        <v>339586790.30971557</v>
      </c>
      <c r="C35" s="494">
        <f t="shared" si="2"/>
        <v>222729916.97820291</v>
      </c>
      <c r="D35" s="494">
        <f t="shared" si="3"/>
        <v>95193965.28079389</v>
      </c>
      <c r="E35" s="495">
        <f t="shared" si="11"/>
        <v>317923882.25899678</v>
      </c>
      <c r="F35" s="495">
        <f t="shared" si="6"/>
        <v>21662908.050718784</v>
      </c>
      <c r="G35" s="496">
        <f t="shared" si="4"/>
        <v>5.3943299328935375</v>
      </c>
      <c r="H35" s="495">
        <f t="shared" si="5"/>
        <v>3750000</v>
      </c>
      <c r="I35" s="495">
        <f t="shared" si="7"/>
        <v>17912908.050718784</v>
      </c>
      <c r="J35" s="495">
        <f t="shared" si="8"/>
        <v>5553001.4957228228</v>
      </c>
      <c r="K35" s="495">
        <f t="shared" si="12"/>
        <v>12359906.554995961</v>
      </c>
      <c r="L35" s="497">
        <f t="shared" si="13"/>
        <v>1.2093462429094266</v>
      </c>
      <c r="M35" s="498">
        <f t="shared" si="9"/>
        <v>6.5236126373586591</v>
      </c>
      <c r="N35" s="235"/>
      <c r="O35" s="235"/>
      <c r="P35" s="235"/>
      <c r="Q35" s="235"/>
      <c r="R35" s="235"/>
    </row>
    <row r="36" spans="1:18" s="378" customFormat="1" x14ac:dyDescent="0.2">
      <c r="A36" s="493">
        <v>30</v>
      </c>
      <c r="B36" s="499">
        <f t="shared" si="10"/>
        <v>407504148.37165874</v>
      </c>
      <c r="C36" s="499">
        <f t="shared" si="2"/>
        <v>267275900.37384349</v>
      </c>
      <c r="D36" s="499">
        <f t="shared" si="3"/>
        <v>95193965.28079389</v>
      </c>
      <c r="E36" s="495">
        <f t="shared" si="11"/>
        <v>362469865.6546374</v>
      </c>
      <c r="F36" s="495">
        <f t="shared" si="6"/>
        <v>45034282.717021346</v>
      </c>
      <c r="G36" s="496">
        <f t="shared" si="4"/>
        <v>3.11381106875749</v>
      </c>
      <c r="H36" s="495">
        <f t="shared" si="5"/>
        <v>3750000</v>
      </c>
      <c r="I36" s="495">
        <f t="shared" si="7"/>
        <v>41284282.717021346</v>
      </c>
      <c r="J36" s="495">
        <f t="shared" si="8"/>
        <v>12798127.642276617</v>
      </c>
      <c r="K36" s="495">
        <f t="shared" si="12"/>
        <v>28486155.074744731</v>
      </c>
      <c r="L36" s="497">
        <f t="shared" si="13"/>
        <v>1.0908335994524592</v>
      </c>
      <c r="M36" s="498">
        <f t="shared" si="9"/>
        <v>3.3966497361476415</v>
      </c>
      <c r="N36" s="235"/>
      <c r="O36" s="235"/>
      <c r="P36" s="235"/>
      <c r="Q36" s="235"/>
      <c r="R36" s="235"/>
    </row>
    <row r="37" spans="1:18" s="378" customFormat="1" x14ac:dyDescent="0.2">
      <c r="A37" s="493">
        <v>50</v>
      </c>
      <c r="B37" s="499">
        <f t="shared" si="10"/>
        <v>679173580.61943114</v>
      </c>
      <c r="C37" s="499">
        <f t="shared" si="2"/>
        <v>445459833.95640582</v>
      </c>
      <c r="D37" s="499">
        <f t="shared" si="3"/>
        <v>95193965.28079389</v>
      </c>
      <c r="E37" s="495">
        <f t="shared" si="11"/>
        <v>540653799.23719966</v>
      </c>
      <c r="F37" s="495">
        <f t="shared" si="6"/>
        <v>138519781.38223147</v>
      </c>
      <c r="G37" s="496">
        <f t="shared" si="4"/>
        <v>1.6872228957546196</v>
      </c>
      <c r="H37" s="495">
        <f t="shared" si="5"/>
        <v>3750000</v>
      </c>
      <c r="I37" s="495">
        <f t="shared" si="7"/>
        <v>134769781.38223147</v>
      </c>
      <c r="J37" s="495">
        <f t="shared" si="8"/>
        <v>41778632.228491753</v>
      </c>
      <c r="K37" s="495">
        <f t="shared" si="12"/>
        <v>92991149.153739721</v>
      </c>
      <c r="L37" s="497">
        <f>+F37/(F37-H37)</f>
        <v>1.0278252287830334</v>
      </c>
      <c r="M37" s="498">
        <f t="shared" si="9"/>
        <v>1.7341702588369641</v>
      </c>
      <c r="N37" s="235"/>
      <c r="O37" s="235"/>
      <c r="P37" s="235"/>
      <c r="Q37" s="235"/>
      <c r="R37" s="235"/>
    </row>
    <row r="38" spans="1:18" s="235" customFormat="1" x14ac:dyDescent="0.2">
      <c r="A38" s="486">
        <v>75</v>
      </c>
      <c r="B38" s="218">
        <f>A38*$C$24</f>
        <v>1018760370.9291468</v>
      </c>
      <c r="C38" s="218">
        <f t="shared" si="2"/>
        <v>668189750.9346087</v>
      </c>
      <c r="D38" s="218">
        <f t="shared" si="3"/>
        <v>95193965.28079389</v>
      </c>
      <c r="E38" s="218">
        <f t="shared" si="11"/>
        <v>763383716.2154026</v>
      </c>
      <c r="F38" s="219">
        <f>B38-E38</f>
        <v>255376654.71374416</v>
      </c>
      <c r="G38" s="374">
        <f>+(B38-C38)/(B38-C38-D38)</f>
        <v>1.3727590737982622</v>
      </c>
      <c r="H38" s="219">
        <f t="shared" si="5"/>
        <v>3750000</v>
      </c>
      <c r="I38" s="219">
        <f>F38-H38</f>
        <v>251626654.71374416</v>
      </c>
      <c r="J38" s="219">
        <f t="shared" si="8"/>
        <v>78004262.961260691</v>
      </c>
      <c r="K38" s="219">
        <f t="shared" si="12"/>
        <v>173622391.75248349</v>
      </c>
      <c r="L38" s="381">
        <f t="shared" ref="L38:L46" si="14">+F38/(F38-H38)</f>
        <v>1.0149030316532486</v>
      </c>
      <c r="M38" s="382">
        <f t="shared" si="9"/>
        <v>1.393217345727362</v>
      </c>
    </row>
    <row r="39" spans="1:18" x14ac:dyDescent="0.2">
      <c r="A39" s="486">
        <v>100</v>
      </c>
      <c r="B39" s="215">
        <f>A39*$C$24</f>
        <v>1358347161.2388623</v>
      </c>
      <c r="C39" s="215">
        <f t="shared" si="2"/>
        <v>890919667.91281164</v>
      </c>
      <c r="D39" s="215">
        <f t="shared" si="3"/>
        <v>95193965.28079389</v>
      </c>
      <c r="E39" s="216">
        <f t="shared" si="11"/>
        <v>986113633.19360554</v>
      </c>
      <c r="F39" s="216">
        <f t="shared" si="6"/>
        <v>372233528.04525673</v>
      </c>
      <c r="G39" s="217">
        <f t="shared" si="4"/>
        <v>1.2557372136268716</v>
      </c>
      <c r="H39" s="216">
        <f t="shared" si="5"/>
        <v>3750000</v>
      </c>
      <c r="I39" s="216">
        <f t="shared" si="7"/>
        <v>368483528.04525673</v>
      </c>
      <c r="J39" s="216">
        <f t="shared" si="8"/>
        <v>114229893.69402958</v>
      </c>
      <c r="K39" s="216">
        <f t="shared" si="12"/>
        <v>254253634.35122716</v>
      </c>
      <c r="L39" s="379">
        <f t="shared" si="14"/>
        <v>1.0101768456785385</v>
      </c>
      <c r="M39" s="380">
        <f t="shared" si="9"/>
        <v>1.2685166574627502</v>
      </c>
      <c r="N39" s="235"/>
      <c r="O39" s="235"/>
      <c r="P39" s="235"/>
      <c r="Q39" s="235"/>
      <c r="R39" s="235"/>
    </row>
    <row r="40" spans="1:18" s="235" customFormat="1" x14ac:dyDescent="0.2">
      <c r="A40" s="486">
        <v>120</v>
      </c>
      <c r="B40" s="372">
        <f t="shared" si="10"/>
        <v>1630016593.486635</v>
      </c>
      <c r="C40" s="372">
        <f>$C$22*A40</f>
        <v>1069103601.495374</v>
      </c>
      <c r="D40" s="372">
        <f t="shared" si="3"/>
        <v>95193965.28079389</v>
      </c>
      <c r="E40" s="219">
        <f>C40+D40</f>
        <v>1164297566.7761679</v>
      </c>
      <c r="F40" s="219">
        <f>B40-E40</f>
        <v>465719026.7104671</v>
      </c>
      <c r="G40" s="373">
        <f t="shared" si="4"/>
        <v>1.204402139103445</v>
      </c>
      <c r="H40" s="219">
        <f t="shared" si="5"/>
        <v>3750000</v>
      </c>
      <c r="I40" s="219">
        <f t="shared" si="7"/>
        <v>461969026.7104671</v>
      </c>
      <c r="J40" s="219">
        <f t="shared" si="8"/>
        <v>143210398.2802448</v>
      </c>
      <c r="K40" s="219">
        <f t="shared" si="12"/>
        <v>318758628.43022227</v>
      </c>
      <c r="L40" s="381">
        <f t="shared" si="14"/>
        <v>1.0081174273234346</v>
      </c>
      <c r="M40" s="380">
        <f t="shared" si="9"/>
        <v>1.2141787859358062</v>
      </c>
    </row>
    <row r="41" spans="1:18" s="235" customFormat="1" x14ac:dyDescent="0.2">
      <c r="A41" s="486">
        <v>140</v>
      </c>
      <c r="B41" s="372">
        <f t="shared" si="10"/>
        <v>1901686025.7344074</v>
      </c>
      <c r="C41" s="372">
        <f t="shared" si="2"/>
        <v>1247287535.0779362</v>
      </c>
      <c r="D41" s="372">
        <f t="shared" si="3"/>
        <v>95193965.28079389</v>
      </c>
      <c r="E41" s="219">
        <f t="shared" si="11"/>
        <v>1342481500.3587301</v>
      </c>
      <c r="F41" s="219">
        <f t="shared" si="6"/>
        <v>559204525.37567735</v>
      </c>
      <c r="G41" s="373">
        <f t="shared" ref="G41:G46" si="15">+(B41-C41)/(B41-C41-D41)</f>
        <v>1.1702310352671805</v>
      </c>
      <c r="H41" s="219">
        <f t="shared" si="5"/>
        <v>3750000</v>
      </c>
      <c r="I41" s="219">
        <f t="shared" si="7"/>
        <v>555454525.37567735</v>
      </c>
      <c r="J41" s="219">
        <f t="shared" si="8"/>
        <v>172190902.86645997</v>
      </c>
      <c r="K41" s="219">
        <f t="shared" si="12"/>
        <v>383263622.50921738</v>
      </c>
      <c r="L41" s="381">
        <f>+F41/(F41-H41)</f>
        <v>1.0067512277399553</v>
      </c>
      <c r="M41" s="380">
        <f t="shared" si="9"/>
        <v>1.178131531494633</v>
      </c>
    </row>
    <row r="42" spans="1:18" x14ac:dyDescent="0.2">
      <c r="A42" s="486">
        <v>150</v>
      </c>
      <c r="B42" s="215">
        <f t="shared" si="10"/>
        <v>2037520741.8582935</v>
      </c>
      <c r="C42" s="215">
        <f t="shared" si="2"/>
        <v>1336379501.8692174</v>
      </c>
      <c r="D42" s="215">
        <f t="shared" si="3"/>
        <v>95193965.28079389</v>
      </c>
      <c r="E42" s="216">
        <f t="shared" si="11"/>
        <v>1431573467.1500113</v>
      </c>
      <c r="F42" s="216">
        <f t="shared" si="6"/>
        <v>605947274.70828223</v>
      </c>
      <c r="G42" s="217">
        <f t="shared" si="15"/>
        <v>1.1570994197913054</v>
      </c>
      <c r="H42" s="216">
        <f t="shared" si="5"/>
        <v>3750000</v>
      </c>
      <c r="I42" s="216">
        <f t="shared" si="7"/>
        <v>602197274.70828223</v>
      </c>
      <c r="J42" s="216">
        <f t="shared" si="8"/>
        <v>186681155.15956751</v>
      </c>
      <c r="K42" s="216">
        <f t="shared" si="12"/>
        <v>415516119.54871476</v>
      </c>
      <c r="L42" s="379">
        <f t="shared" si="14"/>
        <v>1.0062271952356752</v>
      </c>
      <c r="M42" s="380">
        <f t="shared" si="9"/>
        <v>1.1643049037854323</v>
      </c>
    </row>
    <row r="43" spans="1:18" x14ac:dyDescent="0.2">
      <c r="A43" s="486">
        <v>170</v>
      </c>
      <c r="B43" s="215">
        <f t="shared" si="10"/>
        <v>2309190174.1060662</v>
      </c>
      <c r="C43" s="215">
        <f t="shared" si="2"/>
        <v>1514563435.4517796</v>
      </c>
      <c r="D43" s="215">
        <f t="shared" si="3"/>
        <v>95193965.28079389</v>
      </c>
      <c r="E43" s="216">
        <f t="shared" si="11"/>
        <v>1609757400.7325735</v>
      </c>
      <c r="F43" s="216">
        <f t="shared" si="6"/>
        <v>699432773.37349272</v>
      </c>
      <c r="G43" s="217">
        <f t="shared" si="15"/>
        <v>1.1361016653847316</v>
      </c>
      <c r="H43" s="216">
        <f t="shared" si="5"/>
        <v>3750000</v>
      </c>
      <c r="I43" s="216">
        <f t="shared" si="7"/>
        <v>695682773.37349272</v>
      </c>
      <c r="J43" s="216">
        <f t="shared" si="8"/>
        <v>215661659.74578273</v>
      </c>
      <c r="K43" s="216">
        <f t="shared" si="12"/>
        <v>480021113.62770998</v>
      </c>
      <c r="L43" s="379">
        <f t="shared" si="14"/>
        <v>1.0053903878944932</v>
      </c>
      <c r="M43" s="380">
        <f t="shared" si="9"/>
        <v>1.142225694048735</v>
      </c>
    </row>
    <row r="44" spans="1:18" x14ac:dyDescent="0.2">
      <c r="A44" s="486">
        <v>200</v>
      </c>
      <c r="B44" s="215">
        <f t="shared" si="10"/>
        <v>2716694322.4777246</v>
      </c>
      <c r="C44" s="215">
        <f t="shared" si="2"/>
        <v>1781839335.8256233</v>
      </c>
      <c r="D44" s="215">
        <f t="shared" si="3"/>
        <v>95193965.28079389</v>
      </c>
      <c r="E44" s="216">
        <f t="shared" si="11"/>
        <v>1877033301.1064172</v>
      </c>
      <c r="F44" s="216">
        <f t="shared" si="6"/>
        <v>839661021.37130737</v>
      </c>
      <c r="G44" s="217">
        <f t="shared" si="15"/>
        <v>1.1133718999190008</v>
      </c>
      <c r="H44" s="216">
        <f t="shared" si="5"/>
        <v>3750000</v>
      </c>
      <c r="I44" s="216">
        <f t="shared" si="7"/>
        <v>835911021.37130737</v>
      </c>
      <c r="J44" s="216">
        <f t="shared" si="8"/>
        <v>259132416.62510529</v>
      </c>
      <c r="K44" s="216">
        <f t="shared" si="12"/>
        <v>576778604.74620211</v>
      </c>
      <c r="L44" s="379">
        <f t="shared" si="14"/>
        <v>1.0044861234080251</v>
      </c>
      <c r="M44" s="380">
        <f t="shared" si="9"/>
        <v>1.1183666236610648</v>
      </c>
    </row>
    <row r="45" spans="1:18" s="235" customFormat="1" x14ac:dyDescent="0.2">
      <c r="A45" s="486">
        <v>250</v>
      </c>
      <c r="B45" s="372">
        <f t="shared" si="10"/>
        <v>3395867903.097156</v>
      </c>
      <c r="C45" s="372">
        <f t="shared" si="2"/>
        <v>2227299169.7820292</v>
      </c>
      <c r="D45" s="372">
        <f t="shared" si="3"/>
        <v>95193965.28079389</v>
      </c>
      <c r="E45" s="219">
        <f t="shared" si="11"/>
        <v>2322493135.0628228</v>
      </c>
      <c r="F45" s="219">
        <f t="shared" si="6"/>
        <v>1073374768.0343332</v>
      </c>
      <c r="G45" s="373">
        <f t="shared" si="15"/>
        <v>1.0886866061283724</v>
      </c>
      <c r="H45" s="219">
        <f t="shared" si="5"/>
        <v>3750000</v>
      </c>
      <c r="I45" s="219">
        <f t="shared" si="7"/>
        <v>1069624768.0343332</v>
      </c>
      <c r="J45" s="219">
        <f t="shared" si="8"/>
        <v>331583678.09064329</v>
      </c>
      <c r="K45" s="219">
        <f t="shared" si="12"/>
        <v>738041089.94368994</v>
      </c>
      <c r="L45" s="381">
        <f t="shared" si="14"/>
        <v>1.0035059023613406</v>
      </c>
      <c r="M45" s="380">
        <f t="shared" si="9"/>
        <v>1.0925034350715579</v>
      </c>
    </row>
    <row r="46" spans="1:18" x14ac:dyDescent="0.2">
      <c r="A46" s="486">
        <f>+K90</f>
        <v>3649.7698011148823</v>
      </c>
      <c r="B46" s="215">
        <f t="shared" si="10"/>
        <v>49576544485.197281</v>
      </c>
      <c r="C46" s="215">
        <f t="shared" si="2"/>
        <v>32516516991.674793</v>
      </c>
      <c r="D46" s="215">
        <f t="shared" si="3"/>
        <v>95193965.28079389</v>
      </c>
      <c r="E46" s="216">
        <f>C46+D46</f>
        <v>32611710956.955585</v>
      </c>
      <c r="F46" s="216">
        <f>B46-E46</f>
        <v>16964833528.241695</v>
      </c>
      <c r="G46" s="217">
        <f t="shared" si="15"/>
        <v>1.0056112525432286</v>
      </c>
      <c r="H46" s="216">
        <f t="shared" si="5"/>
        <v>3750000</v>
      </c>
      <c r="I46" s="216">
        <f>F46-H46</f>
        <v>16961083528.241695</v>
      </c>
      <c r="J46" s="216">
        <f>IF(I46&gt;0,(I46*$B$136),0)</f>
        <v>5257935893.7549257</v>
      </c>
      <c r="K46" s="216">
        <f>I46-J46</f>
        <v>11703147634.486771</v>
      </c>
      <c r="L46" s="379">
        <f t="shared" si="14"/>
        <v>1.0002210943654488</v>
      </c>
      <c r="M46" s="380">
        <f t="shared" si="9"/>
        <v>1.0058335875249977</v>
      </c>
    </row>
    <row r="47" spans="1:18" x14ac:dyDescent="0.2">
      <c r="F47" s="259"/>
    </row>
    <row r="48" spans="1:18" x14ac:dyDescent="0.2">
      <c r="F48" s="283">
        <f>+'6. ESTADOS FINANCIEROS'!D47-'10. GAO.GAF'!F44</f>
        <v>-259339826.98183382</v>
      </c>
      <c r="G48" s="260">
        <f>+F48/12</f>
        <v>-21611652.24848615</v>
      </c>
      <c r="I48" s="301"/>
      <c r="K48">
        <f>+(K45/K41)-1</f>
        <v>0.92567477474578297</v>
      </c>
      <c r="O48" s="260">
        <f>+F41*2</f>
        <v>1118409050.7513547</v>
      </c>
    </row>
    <row r="49" spans="1:15" x14ac:dyDescent="0.2">
      <c r="A49" s="446" t="s">
        <v>485</v>
      </c>
      <c r="B49" s="443"/>
      <c r="C49" s="443"/>
      <c r="D49" s="443"/>
      <c r="E49" s="443"/>
      <c r="F49" s="443"/>
      <c r="G49" s="443"/>
      <c r="H49" s="443"/>
      <c r="I49" s="145">
        <f>+(F45/F41)-1</f>
        <v>0.91946724199564178</v>
      </c>
      <c r="K49" s="296">
        <f>+(K43/K40)-1</f>
        <v>0.50590782747325314</v>
      </c>
      <c r="O49" t="s">
        <v>531</v>
      </c>
    </row>
    <row r="50" spans="1:15" x14ac:dyDescent="0.2">
      <c r="K50" s="300">
        <f>+(K46/K41)-1</f>
        <v>29.535503364150646</v>
      </c>
      <c r="O50" t="s">
        <v>532</v>
      </c>
    </row>
    <row r="51" spans="1:15" x14ac:dyDescent="0.2">
      <c r="B51" s="292" t="s">
        <v>522</v>
      </c>
      <c r="F51" s="145"/>
    </row>
    <row r="52" spans="1:15" x14ac:dyDescent="0.2">
      <c r="A52" s="448" t="s">
        <v>424</v>
      </c>
      <c r="B52" s="448"/>
      <c r="C52" s="448"/>
      <c r="D52" s="448"/>
      <c r="E52" s="260" t="s">
        <v>523</v>
      </c>
    </row>
    <row r="53" spans="1:15" x14ac:dyDescent="0.2">
      <c r="A53" s="211"/>
      <c r="B53" s="211"/>
      <c r="C53" s="211"/>
      <c r="D53" s="211"/>
    </row>
    <row r="54" spans="1:15" x14ac:dyDescent="0.2">
      <c r="A54" s="49" t="s">
        <v>425</v>
      </c>
      <c r="B54" s="215">
        <f>$C$24</f>
        <v>13583471.612388624</v>
      </c>
      <c r="E54" t="s">
        <v>524</v>
      </c>
    </row>
    <row r="55" spans="1:15" x14ac:dyDescent="0.2">
      <c r="A55" s="49" t="s">
        <v>426</v>
      </c>
      <c r="B55" s="215">
        <f>50000000</f>
        <v>50000000</v>
      </c>
      <c r="E55" s="229">
        <f>+B55+B57</f>
        <v>145193965.28079391</v>
      </c>
      <c r="F55" s="258">
        <f>+B54-B56</f>
        <v>4674274.9332605079</v>
      </c>
      <c r="G55" t="s">
        <v>432</v>
      </c>
    </row>
    <row r="56" spans="1:15" x14ac:dyDescent="0.2">
      <c r="A56" s="49" t="s">
        <v>427</v>
      </c>
      <c r="B56" s="221">
        <f>$C$22</f>
        <v>8909196.679128116</v>
      </c>
    </row>
    <row r="57" spans="1:15" x14ac:dyDescent="0.2">
      <c r="A57" s="49" t="s">
        <v>428</v>
      </c>
      <c r="B57" s="215">
        <f>$C$23</f>
        <v>95193965.28079389</v>
      </c>
      <c r="E57" s="293" t="s">
        <v>525</v>
      </c>
      <c r="F57" s="294">
        <f>+E55/F55</f>
        <v>31.062350279750206</v>
      </c>
    </row>
    <row r="58" spans="1:15" x14ac:dyDescent="0.2">
      <c r="B58" s="222"/>
    </row>
    <row r="59" spans="1:15" x14ac:dyDescent="0.2">
      <c r="A59" s="200" t="s">
        <v>429</v>
      </c>
      <c r="B59" s="257">
        <f>+(B55+B57)/(B54-B56)</f>
        <v>31.062350279750206</v>
      </c>
    </row>
    <row r="60" spans="1:15" x14ac:dyDescent="0.2">
      <c r="B60" s="222"/>
    </row>
    <row r="62" spans="1:15" x14ac:dyDescent="0.2">
      <c r="A62" s="447" t="s">
        <v>653</v>
      </c>
      <c r="B62" s="446"/>
      <c r="C62" s="446"/>
      <c r="D62" s="446"/>
      <c r="E62" s="446"/>
      <c r="F62" s="446"/>
    </row>
    <row r="64" spans="1:15" x14ac:dyDescent="0.2">
      <c r="A64" s="223" t="s">
        <v>654</v>
      </c>
      <c r="B64" s="257">
        <f>+(B41-C41)/(B41-C41-D41)</f>
        <v>1.1702310352671805</v>
      </c>
      <c r="D64" s="295" t="s">
        <v>430</v>
      </c>
      <c r="E64" s="295"/>
    </row>
    <row r="65" spans="1:7" x14ac:dyDescent="0.2">
      <c r="D65" t="s">
        <v>431</v>
      </c>
    </row>
    <row r="67" spans="1:7" x14ac:dyDescent="0.2">
      <c r="A67" s="447" t="s">
        <v>656</v>
      </c>
      <c r="B67" s="443"/>
      <c r="C67" s="443"/>
      <c r="D67" s="443"/>
      <c r="E67" s="443"/>
      <c r="F67" s="443"/>
      <c r="G67" s="443"/>
    </row>
    <row r="68" spans="1:7" s="220" customFormat="1" x14ac:dyDescent="0.2">
      <c r="A68" s="447" t="s">
        <v>657</v>
      </c>
      <c r="B68" s="443"/>
      <c r="C68" s="443"/>
      <c r="D68" s="443"/>
      <c r="E68" s="443"/>
      <c r="F68" s="443"/>
      <c r="G68" s="443"/>
    </row>
    <row r="70" spans="1:7" x14ac:dyDescent="0.2">
      <c r="A70" s="224" t="s">
        <v>488</v>
      </c>
    </row>
    <row r="72" spans="1:7" x14ac:dyDescent="0.2">
      <c r="A72" s="441" t="s">
        <v>424</v>
      </c>
      <c r="B72" s="441"/>
      <c r="C72" s="441"/>
      <c r="D72" s="441"/>
    </row>
    <row r="74" spans="1:7" x14ac:dyDescent="0.2">
      <c r="A74" s="49" t="s">
        <v>425</v>
      </c>
      <c r="B74" s="215">
        <f>$C$24</f>
        <v>13583471.612388624</v>
      </c>
    </row>
    <row r="75" spans="1:7" x14ac:dyDescent="0.2">
      <c r="A75" s="49" t="s">
        <v>427</v>
      </c>
      <c r="B75" s="221">
        <f>$C$22</f>
        <v>8909196.679128116</v>
      </c>
    </row>
    <row r="76" spans="1:7" x14ac:dyDescent="0.2">
      <c r="A76" s="49" t="s">
        <v>428</v>
      </c>
      <c r="B76" s="215">
        <f>$C$23</f>
        <v>95193965.28079389</v>
      </c>
    </row>
    <row r="77" spans="1:7" x14ac:dyDescent="0.2">
      <c r="A77" s="210" t="s">
        <v>432</v>
      </c>
      <c r="B77" s="49">
        <v>154</v>
      </c>
    </row>
    <row r="79" spans="1:7" x14ac:dyDescent="0.2">
      <c r="A79" s="130" t="s">
        <v>655</v>
      </c>
      <c r="B79" s="225">
        <f>(B74*B77)-(B75*B77)-B76</f>
        <v>624644374.44132423</v>
      </c>
    </row>
    <row r="81" spans="1:13" ht="25.5" x14ac:dyDescent="0.2">
      <c r="A81" s="383" t="s">
        <v>433</v>
      </c>
      <c r="B81" s="384">
        <f>(B79-F41)/F41</f>
        <v>0.11702310352671763</v>
      </c>
    </row>
    <row r="85" spans="1:13" x14ac:dyDescent="0.2">
      <c r="A85" s="447" t="s">
        <v>652</v>
      </c>
      <c r="B85" s="443"/>
      <c r="C85" s="443"/>
      <c r="D85" s="443"/>
      <c r="E85" s="443"/>
      <c r="F85" s="443"/>
      <c r="G85" s="297" t="s">
        <v>434</v>
      </c>
      <c r="H85" s="297"/>
      <c r="J85" s="260">
        <f>+F41*2</f>
        <v>1118409050.7513547</v>
      </c>
      <c r="K85" t="s">
        <v>526</v>
      </c>
      <c r="L85" t="s">
        <v>527</v>
      </c>
      <c r="M85" t="s">
        <v>428</v>
      </c>
    </row>
    <row r="86" spans="1:13" x14ac:dyDescent="0.2">
      <c r="A86" s="446" t="s">
        <v>486</v>
      </c>
      <c r="B86" s="443"/>
      <c r="C86" s="220"/>
      <c r="D86" s="220"/>
      <c r="E86" s="220"/>
      <c r="F86" s="220"/>
    </row>
    <row r="87" spans="1:13" x14ac:dyDescent="0.2">
      <c r="J87" t="s">
        <v>528</v>
      </c>
      <c r="K87" t="s">
        <v>530</v>
      </c>
      <c r="L87" t="s">
        <v>529</v>
      </c>
      <c r="M87" s="260">
        <v>-488159358</v>
      </c>
    </row>
    <row r="88" spans="1:13" x14ac:dyDescent="0.2">
      <c r="A88" s="49" t="s">
        <v>435</v>
      </c>
      <c r="B88" s="215">
        <v>25000000</v>
      </c>
      <c r="C88" s="223" t="s">
        <v>489</v>
      </c>
      <c r="D88" s="223" t="s">
        <v>490</v>
      </c>
    </row>
    <row r="89" spans="1:13" x14ac:dyDescent="0.2">
      <c r="A89" s="49" t="s">
        <v>436</v>
      </c>
      <c r="B89" s="196">
        <v>0.15</v>
      </c>
      <c r="C89" s="177">
        <f>NOMINAL(B89,12)</f>
        <v>0.14057900303824056</v>
      </c>
      <c r="D89" s="226">
        <f>C89/12</f>
        <v>1.171491691985338E-2</v>
      </c>
      <c r="J89" t="s">
        <v>525</v>
      </c>
      <c r="K89" s="298">
        <f>+(J85-M87)</f>
        <v>1606568408.7513547</v>
      </c>
      <c r="L89">
        <f>+(1420703-980519.51)</f>
        <v>440183.49</v>
      </c>
    </row>
    <row r="90" spans="1:13" ht="25.5" x14ac:dyDescent="0.2">
      <c r="A90" s="193" t="s">
        <v>437</v>
      </c>
      <c r="B90">
        <f>+B88*B89</f>
        <v>3750000</v>
      </c>
      <c r="C90" s="260"/>
      <c r="D90" s="227">
        <f>B88*D89</f>
        <v>292872.9229963345</v>
      </c>
      <c r="J90" t="s">
        <v>525</v>
      </c>
      <c r="K90" s="299">
        <f>+K89/L89</f>
        <v>3649.7698011148823</v>
      </c>
    </row>
    <row r="91" spans="1:13" x14ac:dyDescent="0.2">
      <c r="A91" s="210" t="s">
        <v>421</v>
      </c>
      <c r="B91" s="196">
        <v>0.31</v>
      </c>
    </row>
    <row r="92" spans="1:13" x14ac:dyDescent="0.2">
      <c r="A92" s="129"/>
      <c r="B92" s="47"/>
    </row>
    <row r="93" spans="1:13" x14ac:dyDescent="0.2">
      <c r="A93" s="130" t="s">
        <v>487</v>
      </c>
      <c r="B93" s="228"/>
    </row>
    <row r="96" spans="1:13" x14ac:dyDescent="0.2">
      <c r="A96" s="261" t="s">
        <v>491</v>
      </c>
      <c r="B96" s="220"/>
      <c r="C96" s="220"/>
      <c r="D96" s="220"/>
      <c r="E96" s="220"/>
      <c r="F96" s="220"/>
    </row>
    <row r="98" spans="1:6" x14ac:dyDescent="0.2">
      <c r="A98" s="49" t="s">
        <v>438</v>
      </c>
      <c r="B98" s="215">
        <f>C23</f>
        <v>95193965.28079389</v>
      </c>
      <c r="D98" t="s">
        <v>439</v>
      </c>
      <c r="E98" s="146" t="s">
        <v>542</v>
      </c>
    </row>
    <row r="99" spans="1:6" x14ac:dyDescent="0.2">
      <c r="A99" s="49" t="s">
        <v>419</v>
      </c>
      <c r="B99" s="215">
        <f>B90</f>
        <v>3750000</v>
      </c>
      <c r="E99" s="146" t="s">
        <v>543</v>
      </c>
    </row>
    <row r="100" spans="1:6" x14ac:dyDescent="0.2">
      <c r="A100" s="49" t="s">
        <v>425</v>
      </c>
      <c r="B100" s="215">
        <f>C24</f>
        <v>13583471.612388624</v>
      </c>
    </row>
    <row r="101" spans="1:6" x14ac:dyDescent="0.2">
      <c r="A101" s="49" t="s">
        <v>440</v>
      </c>
      <c r="B101" s="221">
        <f>C22</f>
        <v>8909196.679128116</v>
      </c>
    </row>
    <row r="104" spans="1:6" x14ac:dyDescent="0.2">
      <c r="A104" s="128" t="s">
        <v>441</v>
      </c>
      <c r="B104" s="308">
        <f>+(B98+B99)/(B100-B101)</f>
        <v>21.167767556149339</v>
      </c>
    </row>
    <row r="107" spans="1:6" x14ac:dyDescent="0.2">
      <c r="A107" s="446" t="s">
        <v>492</v>
      </c>
      <c r="B107" s="443"/>
      <c r="C107" s="443"/>
      <c r="D107" s="443"/>
      <c r="E107" s="443"/>
      <c r="F107" s="443"/>
    </row>
    <row r="108" spans="1:6" x14ac:dyDescent="0.2">
      <c r="A108" s="443" t="s">
        <v>442</v>
      </c>
      <c r="B108" s="443"/>
      <c r="C108" s="443"/>
      <c r="D108" s="220"/>
      <c r="E108" s="220"/>
      <c r="F108" s="220"/>
    </row>
    <row r="110" spans="1:6" x14ac:dyDescent="0.2">
      <c r="A110" s="146" t="s">
        <v>493</v>
      </c>
      <c r="B110" s="229">
        <f>+F41</f>
        <v>559204525.37567735</v>
      </c>
    </row>
    <row r="111" spans="1:6" x14ac:dyDescent="0.2">
      <c r="A111" t="s">
        <v>443</v>
      </c>
      <c r="B111" s="229">
        <f>B110*2</f>
        <v>1118409050.7513547</v>
      </c>
    </row>
    <row r="113" spans="1:9" x14ac:dyDescent="0.2">
      <c r="A113" s="441" t="s">
        <v>424</v>
      </c>
      <c r="B113" s="441"/>
      <c r="C113" s="441"/>
      <c r="D113" s="441"/>
    </row>
    <row r="115" spans="1:9" x14ac:dyDescent="0.2">
      <c r="A115" t="s">
        <v>444</v>
      </c>
      <c r="B115" s="229">
        <f>B111</f>
        <v>1118409050.7513547</v>
      </c>
    </row>
    <row r="116" spans="1:9" x14ac:dyDescent="0.2">
      <c r="A116" t="s">
        <v>425</v>
      </c>
      <c r="B116" s="222">
        <f>C24</f>
        <v>13583471.612388624</v>
      </c>
    </row>
    <row r="117" spans="1:9" x14ac:dyDescent="0.2">
      <c r="A117" t="s">
        <v>440</v>
      </c>
      <c r="B117">
        <f>C22</f>
        <v>8909196.679128116</v>
      </c>
    </row>
    <row r="118" spans="1:9" x14ac:dyDescent="0.2">
      <c r="A118" t="s">
        <v>445</v>
      </c>
      <c r="B118" s="222">
        <f>C23</f>
        <v>95193965.28079389</v>
      </c>
    </row>
    <row r="120" spans="1:9" x14ac:dyDescent="0.2">
      <c r="A120" s="128" t="s">
        <v>446</v>
      </c>
      <c r="B120" s="228">
        <f>(B115+B118)/(B116-B117)</f>
        <v>259.63449590792646</v>
      </c>
    </row>
    <row r="123" spans="1:9" x14ac:dyDescent="0.2">
      <c r="A123" s="442" t="s">
        <v>494</v>
      </c>
      <c r="B123" s="443"/>
      <c r="C123" s="443"/>
      <c r="D123" s="443"/>
      <c r="E123" s="443"/>
      <c r="F123" s="443"/>
      <c r="G123" s="220"/>
    </row>
    <row r="124" spans="1:9" x14ac:dyDescent="0.2">
      <c r="A124" s="443" t="s">
        <v>447</v>
      </c>
      <c r="B124" s="443"/>
      <c r="C124" s="443"/>
      <c r="D124" s="443"/>
      <c r="E124" s="443"/>
      <c r="F124" s="443"/>
      <c r="G124" s="220"/>
    </row>
    <row r="125" spans="1:9" x14ac:dyDescent="0.2">
      <c r="A125" s="443" t="s">
        <v>448</v>
      </c>
      <c r="B125" s="443"/>
      <c r="C125" s="443"/>
      <c r="D125" s="443"/>
      <c r="E125" s="443"/>
      <c r="F125" s="443"/>
      <c r="G125" s="220"/>
      <c r="I125" s="260"/>
    </row>
    <row r="126" spans="1:9" x14ac:dyDescent="0.2">
      <c r="A126" s="443" t="s">
        <v>449</v>
      </c>
      <c r="B126" s="443"/>
      <c r="C126" s="443"/>
      <c r="D126" s="443"/>
      <c r="E126" s="443"/>
      <c r="F126" s="443"/>
      <c r="G126" s="443"/>
    </row>
    <row r="127" spans="1:9" x14ac:dyDescent="0.2">
      <c r="A127" s="443" t="s">
        <v>450</v>
      </c>
      <c r="B127" s="443"/>
      <c r="C127" s="443"/>
      <c r="D127" s="443"/>
      <c r="E127" s="443"/>
      <c r="F127" s="443"/>
      <c r="G127" s="443"/>
    </row>
    <row r="130" spans="1:11" x14ac:dyDescent="0.2">
      <c r="A130" s="211"/>
      <c r="B130" s="211"/>
      <c r="C130" s="211"/>
      <c r="D130" s="211"/>
      <c r="E130" s="211"/>
      <c r="F130" s="211"/>
    </row>
    <row r="131" spans="1:11" x14ac:dyDescent="0.2">
      <c r="A131" s="230" t="s">
        <v>533</v>
      </c>
      <c r="B131" s="231">
        <v>15000</v>
      </c>
      <c r="C131" s="211"/>
      <c r="D131" s="211"/>
      <c r="E131" s="211"/>
      <c r="F131" s="211"/>
    </row>
    <row r="132" spans="1:11" x14ac:dyDescent="0.2">
      <c r="A132" s="230" t="s">
        <v>451</v>
      </c>
      <c r="B132" s="231">
        <v>10000</v>
      </c>
      <c r="C132" s="211"/>
      <c r="D132" s="211"/>
      <c r="E132" s="211"/>
      <c r="F132" s="211"/>
    </row>
    <row r="133" spans="1:11" x14ac:dyDescent="0.2">
      <c r="A133" s="230" t="s">
        <v>435</v>
      </c>
      <c r="B133" s="231">
        <f>B88</f>
        <v>25000000</v>
      </c>
      <c r="C133" s="211"/>
      <c r="D133" s="211"/>
      <c r="E133" s="211"/>
      <c r="F133" s="211"/>
    </row>
    <row r="134" spans="1:11" x14ac:dyDescent="0.2">
      <c r="A134" s="230" t="s">
        <v>452</v>
      </c>
      <c r="B134" s="231">
        <f>B133/B132</f>
        <v>2500</v>
      </c>
      <c r="C134" s="302"/>
      <c r="D134" s="211"/>
      <c r="E134" s="211"/>
      <c r="F134" s="211"/>
    </row>
    <row r="135" spans="1:11" x14ac:dyDescent="0.2">
      <c r="A135" s="230" t="s">
        <v>534</v>
      </c>
      <c r="B135" s="231">
        <f>B131+B134</f>
        <v>17500</v>
      </c>
      <c r="C135" s="302"/>
      <c r="D135" s="211"/>
      <c r="E135" s="211"/>
      <c r="F135" s="211"/>
    </row>
    <row r="136" spans="1:11" x14ac:dyDescent="0.2">
      <c r="A136" s="232" t="s">
        <v>421</v>
      </c>
      <c r="B136" s="233">
        <f>B91</f>
        <v>0.31</v>
      </c>
      <c r="C136" s="211"/>
      <c r="D136" s="211" t="s">
        <v>535</v>
      </c>
      <c r="E136" s="211" t="s">
        <v>417</v>
      </c>
      <c r="F136" s="211"/>
    </row>
    <row r="137" spans="1:11" x14ac:dyDescent="0.2">
      <c r="A137" s="211"/>
      <c r="B137" s="211"/>
      <c r="C137" s="211"/>
      <c r="D137" s="211" t="s">
        <v>536</v>
      </c>
      <c r="E137" s="211" t="s">
        <v>420</v>
      </c>
      <c r="F137" s="211"/>
    </row>
    <row r="138" spans="1:11" x14ac:dyDescent="0.2">
      <c r="A138" s="211"/>
      <c r="B138" s="211"/>
      <c r="C138" s="211"/>
      <c r="D138" s="211" t="s">
        <v>537</v>
      </c>
      <c r="E138" s="211" t="s">
        <v>537</v>
      </c>
      <c r="F138" s="211"/>
    </row>
    <row r="139" spans="1:11" x14ac:dyDescent="0.2">
      <c r="A139" s="441" t="s">
        <v>453</v>
      </c>
      <c r="B139" s="441"/>
      <c r="C139" s="441"/>
      <c r="D139" s="441"/>
      <c r="E139" s="441"/>
      <c r="F139" s="441"/>
    </row>
    <row r="141" spans="1:11" x14ac:dyDescent="0.2">
      <c r="A141" s="199" t="s">
        <v>454</v>
      </c>
      <c r="B141" s="199" t="s">
        <v>455</v>
      </c>
      <c r="C141" s="199" t="s">
        <v>414</v>
      </c>
      <c r="D141" s="199" t="s">
        <v>415</v>
      </c>
      <c r="E141" s="199" t="s">
        <v>416</v>
      </c>
      <c r="F141" s="213" t="s">
        <v>417</v>
      </c>
      <c r="G141" s="214" t="s">
        <v>419</v>
      </c>
      <c r="H141" s="214" t="s">
        <v>420</v>
      </c>
      <c r="I141" s="214" t="s">
        <v>421</v>
      </c>
      <c r="J141" s="214" t="s">
        <v>422</v>
      </c>
      <c r="K141" s="214" t="s">
        <v>456</v>
      </c>
    </row>
    <row r="142" spans="1:11" x14ac:dyDescent="0.2">
      <c r="A142" s="199">
        <v>0</v>
      </c>
      <c r="B142" s="215">
        <f t="shared" ref="B142:B158" si="16">A142*$C$24</f>
        <v>0</v>
      </c>
      <c r="C142" s="215">
        <f t="shared" ref="C142:C158" si="17">$C$22*A142</f>
        <v>0</v>
      </c>
      <c r="D142" s="215">
        <f t="shared" ref="D142:D158" si="18">$C$23</f>
        <v>95193965.28079389</v>
      </c>
      <c r="E142" s="216">
        <f>C142+D142</f>
        <v>95193965.28079389</v>
      </c>
      <c r="F142" s="216">
        <f>B142-E142</f>
        <v>-95193965.28079389</v>
      </c>
      <c r="G142" s="216">
        <f>0</f>
        <v>0</v>
      </c>
      <c r="H142" s="216">
        <f>F142-G142</f>
        <v>-95193965.28079389</v>
      </c>
      <c r="I142" s="216">
        <f t="shared" ref="I142:I155" si="19">IF(H142&lt;0,0,(H142*$B$136))</f>
        <v>0</v>
      </c>
      <c r="J142" s="216">
        <f>H142-I142</f>
        <v>-95193965.28079389</v>
      </c>
      <c r="K142" s="234">
        <f>((F142-G142)*(1-$B$136)/$B$135)</f>
        <v>-3753.3620596427304</v>
      </c>
    </row>
    <row r="143" spans="1:11" x14ac:dyDescent="0.2">
      <c r="A143" s="49">
        <v>150</v>
      </c>
      <c r="B143" s="215">
        <f t="shared" si="16"/>
        <v>2037520741.8582935</v>
      </c>
      <c r="C143" s="215">
        <f t="shared" si="17"/>
        <v>1336379501.8692174</v>
      </c>
      <c r="D143" s="215">
        <f t="shared" si="18"/>
        <v>95193965.28079389</v>
      </c>
      <c r="E143" s="216">
        <f t="shared" ref="E143:E158" si="20">C143+D143</f>
        <v>1431573467.1500113</v>
      </c>
      <c r="F143" s="216">
        <f t="shared" ref="F143:F158" si="21">B143-E143</f>
        <v>605947274.70828223</v>
      </c>
      <c r="G143" s="216">
        <f>0</f>
        <v>0</v>
      </c>
      <c r="H143" s="216">
        <f t="shared" ref="H143:H158" si="22">F143-G143</f>
        <v>605947274.70828223</v>
      </c>
      <c r="I143" s="216">
        <f t="shared" si="19"/>
        <v>187843655.15956751</v>
      </c>
      <c r="J143" s="216">
        <f t="shared" ref="J143:J158" si="23">H143-I143</f>
        <v>418103619.54871476</v>
      </c>
      <c r="K143" s="234">
        <f t="shared" ref="K143:K158" si="24">((F143-G143)*(1-$B$136)/$B$135)</f>
        <v>23891.635402783697</v>
      </c>
    </row>
    <row r="144" spans="1:11" x14ac:dyDescent="0.2">
      <c r="A144" s="49">
        <v>200</v>
      </c>
      <c r="B144" s="215">
        <f t="shared" si="16"/>
        <v>2716694322.4777246</v>
      </c>
      <c r="C144" s="215">
        <f t="shared" si="17"/>
        <v>1781839335.8256233</v>
      </c>
      <c r="D144" s="215">
        <f t="shared" si="18"/>
        <v>95193965.28079389</v>
      </c>
      <c r="E144" s="216">
        <f t="shared" si="20"/>
        <v>1877033301.1064172</v>
      </c>
      <c r="F144" s="216">
        <f t="shared" si="21"/>
        <v>839661021.37130737</v>
      </c>
      <c r="G144" s="216">
        <f>0</f>
        <v>0</v>
      </c>
      <c r="H144" s="216">
        <f t="shared" si="22"/>
        <v>839661021.37130737</v>
      </c>
      <c r="I144" s="216">
        <f t="shared" si="19"/>
        <v>260294916.62510529</v>
      </c>
      <c r="J144" s="216">
        <f t="shared" si="23"/>
        <v>579366104.74620211</v>
      </c>
      <c r="K144" s="234">
        <f t="shared" si="24"/>
        <v>33106.634556925826</v>
      </c>
    </row>
    <row r="145" spans="1:23" x14ac:dyDescent="0.2">
      <c r="A145" s="49">
        <v>250</v>
      </c>
      <c r="B145" s="215">
        <f t="shared" si="16"/>
        <v>3395867903.097156</v>
      </c>
      <c r="C145" s="215">
        <f t="shared" si="17"/>
        <v>2227299169.7820292</v>
      </c>
      <c r="D145" s="215">
        <f t="shared" si="18"/>
        <v>95193965.28079389</v>
      </c>
      <c r="E145" s="216">
        <f t="shared" si="20"/>
        <v>2322493135.0628228</v>
      </c>
      <c r="F145" s="216">
        <f t="shared" si="21"/>
        <v>1073374768.0343332</v>
      </c>
      <c r="G145" s="216">
        <f>0</f>
        <v>0</v>
      </c>
      <c r="H145" s="216">
        <f t="shared" si="22"/>
        <v>1073374768.0343332</v>
      </c>
      <c r="I145" s="216">
        <f t="shared" si="19"/>
        <v>332746178.09064329</v>
      </c>
      <c r="J145" s="216">
        <f t="shared" si="23"/>
        <v>740628589.94368994</v>
      </c>
      <c r="K145" s="234">
        <f t="shared" si="24"/>
        <v>42321.633711067989</v>
      </c>
    </row>
    <row r="146" spans="1:23" x14ac:dyDescent="0.2">
      <c r="A146" s="49">
        <v>300</v>
      </c>
      <c r="B146" s="215">
        <f t="shared" si="16"/>
        <v>4075041483.7165871</v>
      </c>
      <c r="C146" s="215">
        <f t="shared" si="17"/>
        <v>2672759003.7384348</v>
      </c>
      <c r="D146" s="215">
        <f t="shared" si="18"/>
        <v>95193965.28079389</v>
      </c>
      <c r="E146" s="216">
        <f t="shared" si="20"/>
        <v>2767952969.0192285</v>
      </c>
      <c r="F146" s="216">
        <f t="shared" si="21"/>
        <v>1307088514.6973586</v>
      </c>
      <c r="G146" s="216">
        <f>0</f>
        <v>0</v>
      </c>
      <c r="H146" s="216">
        <f t="shared" si="22"/>
        <v>1307088514.6973586</v>
      </c>
      <c r="I146" s="216">
        <f t="shared" si="19"/>
        <v>405197439.55618119</v>
      </c>
      <c r="J146" s="216">
        <f t="shared" si="23"/>
        <v>901891075.14117742</v>
      </c>
      <c r="K146" s="234">
        <f t="shared" si="24"/>
        <v>51536.632865210137</v>
      </c>
    </row>
    <row r="147" spans="1:23" x14ac:dyDescent="0.2">
      <c r="A147" s="49">
        <v>350</v>
      </c>
      <c r="B147" s="215">
        <f t="shared" si="16"/>
        <v>4754215064.3360186</v>
      </c>
      <c r="C147" s="215">
        <f t="shared" si="17"/>
        <v>3118218837.6948404</v>
      </c>
      <c r="D147" s="215">
        <f t="shared" si="18"/>
        <v>95193965.28079389</v>
      </c>
      <c r="E147" s="216">
        <f t="shared" si="20"/>
        <v>3213412802.9756341</v>
      </c>
      <c r="F147" s="216">
        <f t="shared" si="21"/>
        <v>1540802261.3603845</v>
      </c>
      <c r="G147" s="216">
        <f>0</f>
        <v>0</v>
      </c>
      <c r="H147" s="216">
        <f t="shared" si="22"/>
        <v>1540802261.3603845</v>
      </c>
      <c r="I147" s="216">
        <f t="shared" si="19"/>
        <v>477648701.02171916</v>
      </c>
      <c r="J147" s="216">
        <f t="shared" si="23"/>
        <v>1063153560.3386652</v>
      </c>
      <c r="K147" s="234">
        <f t="shared" si="24"/>
        <v>60751.632019352299</v>
      </c>
    </row>
    <row r="148" spans="1:23" x14ac:dyDescent="0.2">
      <c r="A148" s="49">
        <v>400</v>
      </c>
      <c r="B148" s="215">
        <f t="shared" si="16"/>
        <v>5433388644.9554491</v>
      </c>
      <c r="C148" s="215">
        <f t="shared" si="17"/>
        <v>3563678671.6512465</v>
      </c>
      <c r="D148" s="215">
        <f t="shared" si="18"/>
        <v>95193965.28079389</v>
      </c>
      <c r="E148" s="216">
        <f t="shared" si="20"/>
        <v>3658872636.9320402</v>
      </c>
      <c r="F148" s="216">
        <f t="shared" si="21"/>
        <v>1774516008.0234089</v>
      </c>
      <c r="G148" s="216">
        <f>0</f>
        <v>0</v>
      </c>
      <c r="H148" s="216">
        <f t="shared" si="22"/>
        <v>1774516008.0234089</v>
      </c>
      <c r="I148" s="216">
        <f t="shared" si="19"/>
        <v>550099962.48725677</v>
      </c>
      <c r="J148" s="216">
        <f t="shared" si="23"/>
        <v>1224416045.5361521</v>
      </c>
      <c r="K148" s="234">
        <f t="shared" si="24"/>
        <v>69966.631173494403</v>
      </c>
    </row>
    <row r="149" spans="1:23" x14ac:dyDescent="0.2">
      <c r="A149" s="49">
        <v>450</v>
      </c>
      <c r="B149" s="215">
        <f t="shared" si="16"/>
        <v>6112562225.5748806</v>
      </c>
      <c r="C149" s="215">
        <f t="shared" si="17"/>
        <v>4009138505.6076522</v>
      </c>
      <c r="D149" s="215">
        <f t="shared" si="18"/>
        <v>95193965.28079389</v>
      </c>
      <c r="E149" s="216">
        <f t="shared" si="20"/>
        <v>4104332470.8884459</v>
      </c>
      <c r="F149" s="216">
        <f t="shared" si="21"/>
        <v>2008229754.6864347</v>
      </c>
      <c r="G149" s="216">
        <f>0</f>
        <v>0</v>
      </c>
      <c r="H149" s="216">
        <f t="shared" si="22"/>
        <v>2008229754.6864347</v>
      </c>
      <c r="I149" s="216">
        <f t="shared" si="19"/>
        <v>622551223.95279479</v>
      </c>
      <c r="J149" s="216">
        <f t="shared" si="23"/>
        <v>1385678530.73364</v>
      </c>
      <c r="K149" s="234">
        <f t="shared" si="24"/>
        <v>79181.630327636565</v>
      </c>
    </row>
    <row r="150" spans="1:23" x14ac:dyDescent="0.2">
      <c r="A150" s="49">
        <v>600</v>
      </c>
      <c r="B150" s="215">
        <f t="shared" si="16"/>
        <v>8150082967.4331741</v>
      </c>
      <c r="C150" s="215">
        <f t="shared" si="17"/>
        <v>5345518007.4768696</v>
      </c>
      <c r="D150" s="215">
        <f t="shared" si="18"/>
        <v>95193965.28079389</v>
      </c>
      <c r="E150" s="216">
        <f t="shared" si="20"/>
        <v>5440711972.7576637</v>
      </c>
      <c r="F150" s="216">
        <f t="shared" si="21"/>
        <v>2709370994.6755104</v>
      </c>
      <c r="G150" s="216">
        <f>0</f>
        <v>0</v>
      </c>
      <c r="H150" s="216">
        <f t="shared" si="22"/>
        <v>2709370994.6755104</v>
      </c>
      <c r="I150" s="216">
        <f t="shared" si="19"/>
        <v>839905008.34940827</v>
      </c>
      <c r="J150" s="216">
        <f t="shared" si="23"/>
        <v>1869465986.3261023</v>
      </c>
      <c r="K150" s="234">
        <f t="shared" si="24"/>
        <v>106826.62779006298</v>
      </c>
    </row>
    <row r="151" spans="1:23" s="178" customFormat="1" x14ac:dyDescent="0.2">
      <c r="A151" s="303">
        <f>+C20</f>
        <v>20.365504092073593</v>
      </c>
      <c r="B151" s="304">
        <f t="shared" si="16"/>
        <v>276634246.70666599</v>
      </c>
      <c r="C151" s="304">
        <f t="shared" si="17"/>
        <v>181440281.42587212</v>
      </c>
      <c r="D151" s="304">
        <f t="shared" si="18"/>
        <v>95193965.28079389</v>
      </c>
      <c r="E151" s="305">
        <f t="shared" si="20"/>
        <v>276634246.70666599</v>
      </c>
      <c r="F151" s="305">
        <f t="shared" si="21"/>
        <v>0</v>
      </c>
      <c r="G151" s="305">
        <f>0</f>
        <v>0</v>
      </c>
      <c r="H151" s="305">
        <f t="shared" si="22"/>
        <v>0</v>
      </c>
      <c r="I151" s="216">
        <f t="shared" si="19"/>
        <v>0</v>
      </c>
      <c r="J151" s="305">
        <f t="shared" si="23"/>
        <v>0</v>
      </c>
      <c r="K151" s="306">
        <f t="shared" si="24"/>
        <v>0</v>
      </c>
    </row>
    <row r="152" spans="1:23" x14ac:dyDescent="0.2">
      <c r="A152" s="49">
        <v>1600</v>
      </c>
      <c r="B152" s="215">
        <f t="shared" si="16"/>
        <v>21733554579.821796</v>
      </c>
      <c r="C152" s="215">
        <f t="shared" si="17"/>
        <v>14254714686.604986</v>
      </c>
      <c r="D152" s="215">
        <f t="shared" si="18"/>
        <v>95193965.28079389</v>
      </c>
      <c r="E152" s="216">
        <f t="shared" si="20"/>
        <v>14349908651.88578</v>
      </c>
      <c r="F152" s="216">
        <f t="shared" si="21"/>
        <v>7383645927.9360161</v>
      </c>
      <c r="G152" s="216">
        <f>0</f>
        <v>0</v>
      </c>
      <c r="H152" s="216">
        <f t="shared" si="22"/>
        <v>7383645927.9360161</v>
      </c>
      <c r="I152" s="216">
        <f t="shared" si="19"/>
        <v>2288930237.6601648</v>
      </c>
      <c r="J152" s="216">
        <f t="shared" si="23"/>
        <v>5094715690.2758512</v>
      </c>
      <c r="K152" s="234">
        <f>((F152-G152)*(1-$B$136)/$B$135)</f>
        <v>291126.61087290576</v>
      </c>
      <c r="L152" s="258">
        <f>+J152/$B$135</f>
        <v>291126.61087290576</v>
      </c>
      <c r="M152" s="258">
        <f>+K152-L152</f>
        <v>0</v>
      </c>
    </row>
    <row r="153" spans="1:23" x14ac:dyDescent="0.2">
      <c r="A153" s="263">
        <v>1800</v>
      </c>
      <c r="B153" s="218">
        <f t="shared" si="16"/>
        <v>24450248902.299522</v>
      </c>
      <c r="C153" s="218">
        <f t="shared" si="17"/>
        <v>16036554022.430609</v>
      </c>
      <c r="D153" s="218">
        <f t="shared" si="18"/>
        <v>95193965.28079389</v>
      </c>
      <c r="E153" s="219">
        <f t="shared" si="20"/>
        <v>16131747987.711403</v>
      </c>
      <c r="F153" s="219">
        <f t="shared" si="21"/>
        <v>8318500914.5881195</v>
      </c>
      <c r="G153" s="216">
        <f>0</f>
        <v>0</v>
      </c>
      <c r="H153" s="219">
        <f t="shared" si="22"/>
        <v>8318500914.5881195</v>
      </c>
      <c r="I153" s="216">
        <f t="shared" si="19"/>
        <v>2578735283.5223169</v>
      </c>
      <c r="J153" s="219">
        <f t="shared" si="23"/>
        <v>5739765631.0658026</v>
      </c>
      <c r="K153" s="234">
        <f t="shared" si="24"/>
        <v>327986.60748947435</v>
      </c>
      <c r="L153" s="258">
        <f t="shared" ref="L153:L158" si="25">+J153/$B$135</f>
        <v>327986.60748947441</v>
      </c>
      <c r="M153" s="258">
        <f t="shared" ref="M153:M158" si="26">+K153-L153</f>
        <v>0</v>
      </c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</row>
    <row r="154" spans="1:23" x14ac:dyDescent="0.2">
      <c r="A154" s="49">
        <v>2000</v>
      </c>
      <c r="B154" s="215">
        <f t="shared" si="16"/>
        <v>27166943224.777248</v>
      </c>
      <c r="C154" s="215">
        <f t="shared" si="17"/>
        <v>17818393358.256233</v>
      </c>
      <c r="D154" s="215">
        <f t="shared" si="18"/>
        <v>95193965.28079389</v>
      </c>
      <c r="E154" s="216">
        <f t="shared" si="20"/>
        <v>17913587323.537025</v>
      </c>
      <c r="F154" s="216">
        <f t="shared" si="21"/>
        <v>9253355901.2402229</v>
      </c>
      <c r="G154" s="216">
        <f>0</f>
        <v>0</v>
      </c>
      <c r="H154" s="216">
        <f t="shared" si="22"/>
        <v>9253355901.2402229</v>
      </c>
      <c r="I154" s="216">
        <f t="shared" si="19"/>
        <v>2868540329.384469</v>
      </c>
      <c r="J154" s="216">
        <f t="shared" si="23"/>
        <v>6384815571.8557539</v>
      </c>
      <c r="K154" s="234">
        <f t="shared" si="24"/>
        <v>364846.604106043</v>
      </c>
      <c r="L154" s="258">
        <f t="shared" si="25"/>
        <v>364846.60410604306</v>
      </c>
      <c r="M154" s="258">
        <f t="shared" si="26"/>
        <v>0</v>
      </c>
    </row>
    <row r="155" spans="1:23" x14ac:dyDescent="0.2">
      <c r="A155" s="49">
        <v>2010</v>
      </c>
      <c r="B155" s="215">
        <f t="shared" si="16"/>
        <v>27302777940.901134</v>
      </c>
      <c r="C155" s="215">
        <f t="shared" si="17"/>
        <v>17907485325.047512</v>
      </c>
      <c r="D155" s="215">
        <f t="shared" si="18"/>
        <v>95193965.28079389</v>
      </c>
      <c r="E155" s="216">
        <f t="shared" si="20"/>
        <v>18002679290.328304</v>
      </c>
      <c r="F155" s="216">
        <f t="shared" si="21"/>
        <v>9300098650.5728302</v>
      </c>
      <c r="G155" s="216">
        <f>0</f>
        <v>0</v>
      </c>
      <c r="H155" s="216">
        <f t="shared" si="22"/>
        <v>9300098650.5728302</v>
      </c>
      <c r="I155" s="216">
        <f t="shared" si="19"/>
        <v>2883030581.6775775</v>
      </c>
      <c r="J155" s="216">
        <f t="shared" si="23"/>
        <v>6417068068.8952522</v>
      </c>
      <c r="K155" s="234">
        <f t="shared" si="24"/>
        <v>366689.60393687157</v>
      </c>
      <c r="L155" s="258">
        <f t="shared" si="25"/>
        <v>366689.60393687157</v>
      </c>
      <c r="M155" s="258">
        <f t="shared" si="26"/>
        <v>0</v>
      </c>
    </row>
    <row r="156" spans="1:23" x14ac:dyDescent="0.2">
      <c r="A156" s="49">
        <v>2200</v>
      </c>
      <c r="B156" s="215">
        <f t="shared" si="16"/>
        <v>29883637547.254974</v>
      </c>
      <c r="C156" s="215">
        <f t="shared" si="17"/>
        <v>19600232694.081856</v>
      </c>
      <c r="D156" s="215">
        <f t="shared" si="18"/>
        <v>95193965.28079389</v>
      </c>
      <c r="E156" s="216">
        <f t="shared" si="20"/>
        <v>19695426659.362648</v>
      </c>
      <c r="F156" s="216">
        <f t="shared" si="21"/>
        <v>10188210887.892326</v>
      </c>
      <c r="G156" s="216">
        <f>0</f>
        <v>0</v>
      </c>
      <c r="H156" s="307">
        <f>F156-G156</f>
        <v>10188210887.892326</v>
      </c>
      <c r="I156" s="216">
        <f>IF(H156&lt;0,0,(H156*$B$136))</f>
        <v>3158345375.2466211</v>
      </c>
      <c r="J156" s="216">
        <f t="shared" si="23"/>
        <v>7029865512.6457052</v>
      </c>
      <c r="K156" s="234">
        <f t="shared" si="24"/>
        <v>401706.60072261165</v>
      </c>
      <c r="L156" s="258">
        <f t="shared" si="25"/>
        <v>401706.60072261171</v>
      </c>
      <c r="M156" s="258">
        <f t="shared" si="26"/>
        <v>0</v>
      </c>
    </row>
    <row r="157" spans="1:23" x14ac:dyDescent="0.2">
      <c r="A157" s="49">
        <v>2500</v>
      </c>
      <c r="B157" s="215">
        <f t="shared" si="16"/>
        <v>33958679030.971561</v>
      </c>
      <c r="C157" s="215">
        <f t="shared" si="17"/>
        <v>22272991697.82029</v>
      </c>
      <c r="D157" s="215">
        <f t="shared" si="18"/>
        <v>95193965.28079389</v>
      </c>
      <c r="E157" s="216">
        <f t="shared" si="20"/>
        <v>22368185663.101082</v>
      </c>
      <c r="F157" s="216">
        <f t="shared" si="21"/>
        <v>11590493367.87048</v>
      </c>
      <c r="G157" s="216">
        <f>0</f>
        <v>0</v>
      </c>
      <c r="H157" s="216">
        <f t="shared" si="22"/>
        <v>11590493367.87048</v>
      </c>
      <c r="I157" s="216">
        <f>IF(H157&lt;0,0,(H157*$B$136))</f>
        <v>3593052944.0398488</v>
      </c>
      <c r="J157" s="216">
        <f t="shared" si="23"/>
        <v>7997440423.8306313</v>
      </c>
      <c r="K157" s="234">
        <f t="shared" si="24"/>
        <v>456996.59564746456</v>
      </c>
      <c r="L157" s="258">
        <f t="shared" si="25"/>
        <v>456996.59564746462</v>
      </c>
      <c r="M157" s="258">
        <f t="shared" si="26"/>
        <v>0</v>
      </c>
    </row>
    <row r="158" spans="1:23" x14ac:dyDescent="0.2">
      <c r="A158" s="49">
        <v>4000</v>
      </c>
      <c r="B158" s="218">
        <f t="shared" si="16"/>
        <v>54333886449.554497</v>
      </c>
      <c r="C158" s="218">
        <f t="shared" si="17"/>
        <v>35636786716.512466</v>
      </c>
      <c r="D158" s="218">
        <f t="shared" si="18"/>
        <v>95193965.28079389</v>
      </c>
      <c r="E158" s="219">
        <f t="shared" si="20"/>
        <v>35731980681.793259</v>
      </c>
      <c r="F158" s="219">
        <f t="shared" si="21"/>
        <v>18601905767.761238</v>
      </c>
      <c r="G158" s="216">
        <f>0</f>
        <v>0</v>
      </c>
      <c r="H158" s="219">
        <f t="shared" si="22"/>
        <v>18601905767.761238</v>
      </c>
      <c r="I158" s="216">
        <f>IF(H158&lt;0,0,(H158*$B$136))</f>
        <v>5766590788.0059834</v>
      </c>
      <c r="J158" s="219">
        <f t="shared" si="23"/>
        <v>12835314979.755255</v>
      </c>
      <c r="K158" s="234">
        <f t="shared" si="24"/>
        <v>733446.57027172868</v>
      </c>
      <c r="L158" s="258">
        <f t="shared" si="25"/>
        <v>733446.57027172879</v>
      </c>
      <c r="M158" s="258">
        <f t="shared" si="26"/>
        <v>0</v>
      </c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</row>
    <row r="159" spans="1:23" x14ac:dyDescent="0.2">
      <c r="A159" s="237"/>
      <c r="B159" s="215"/>
      <c r="C159" s="215"/>
      <c r="D159" s="215"/>
      <c r="E159" s="216"/>
      <c r="F159" s="216"/>
      <c r="G159" s="216"/>
      <c r="H159" s="216"/>
      <c r="I159" s="216"/>
      <c r="J159" s="216"/>
      <c r="K159" s="234"/>
    </row>
    <row r="161" spans="1:11" x14ac:dyDescent="0.2">
      <c r="I161" s="146"/>
    </row>
    <row r="162" spans="1:11" x14ac:dyDescent="0.2">
      <c r="A162" s="441" t="s">
        <v>457</v>
      </c>
      <c r="B162" s="441"/>
      <c r="C162" s="441"/>
      <c r="D162" s="441"/>
      <c r="E162" s="441"/>
      <c r="F162" s="441"/>
    </row>
    <row r="164" spans="1:11" x14ac:dyDescent="0.2">
      <c r="A164" s="199" t="s">
        <v>454</v>
      </c>
      <c r="B164" s="199" t="s">
        <v>455</v>
      </c>
      <c r="C164" s="199" t="s">
        <v>414</v>
      </c>
      <c r="D164" s="199" t="s">
        <v>415</v>
      </c>
      <c r="E164" s="199" t="s">
        <v>416</v>
      </c>
      <c r="F164" s="213" t="s">
        <v>417</v>
      </c>
      <c r="G164" s="214" t="s">
        <v>419</v>
      </c>
      <c r="H164" s="214" t="s">
        <v>420</v>
      </c>
      <c r="I164" s="214" t="s">
        <v>421</v>
      </c>
      <c r="J164" s="214" t="s">
        <v>422</v>
      </c>
      <c r="K164" s="214" t="s">
        <v>456</v>
      </c>
    </row>
    <row r="165" spans="1:11" x14ac:dyDescent="0.2">
      <c r="A165" s="199">
        <v>0</v>
      </c>
      <c r="B165" s="215">
        <f t="shared" ref="B165:B181" si="27">A165*$C$24</f>
        <v>0</v>
      </c>
      <c r="C165" s="215">
        <f t="shared" ref="C165:C181" si="28">$C$22*A165</f>
        <v>0</v>
      </c>
      <c r="D165" s="215">
        <f t="shared" ref="D165:D181" si="29">$C$23</f>
        <v>95193965.28079389</v>
      </c>
      <c r="E165" s="216">
        <f>C165+D165</f>
        <v>95193965.28079389</v>
      </c>
      <c r="F165" s="216">
        <f>B165-E165</f>
        <v>-95193965.28079389</v>
      </c>
      <c r="G165" s="216">
        <f>$B$90</f>
        <v>3750000</v>
      </c>
      <c r="H165" s="216">
        <f>F165-G165</f>
        <v>-98943965.28079389</v>
      </c>
      <c r="I165" s="216">
        <f>IF(H165&lt;0,0,(H165*$B$136))</f>
        <v>0</v>
      </c>
      <c r="J165" s="216">
        <f>H165-I165</f>
        <v>-98943965.28079389</v>
      </c>
      <c r="K165" s="234">
        <f>+J165/$B$131</f>
        <v>-6596.2643520529264</v>
      </c>
    </row>
    <row r="166" spans="1:11" x14ac:dyDescent="0.2">
      <c r="A166" s="49">
        <v>150</v>
      </c>
      <c r="B166" s="215">
        <f t="shared" si="27"/>
        <v>2037520741.8582935</v>
      </c>
      <c r="C166" s="215">
        <f t="shared" si="28"/>
        <v>1336379501.8692174</v>
      </c>
      <c r="D166" s="215">
        <f t="shared" si="29"/>
        <v>95193965.28079389</v>
      </c>
      <c r="E166" s="216">
        <f t="shared" ref="E166:E181" si="30">C166+D166</f>
        <v>1431573467.1500113</v>
      </c>
      <c r="F166" s="216">
        <f t="shared" ref="F166:F181" si="31">B166-E166</f>
        <v>605947274.70828223</v>
      </c>
      <c r="G166" s="216">
        <f t="shared" ref="G166:G181" si="32">$B$90</f>
        <v>3750000</v>
      </c>
      <c r="H166" s="216">
        <f t="shared" ref="H166:H181" si="33">F166-G166</f>
        <v>602197274.70828223</v>
      </c>
      <c r="I166" s="216">
        <f t="shared" ref="I166:I181" si="34">IF(H166&lt;0,0,(H166*$B$136))</f>
        <v>186681155.15956751</v>
      </c>
      <c r="J166" s="216">
        <f>H166-I166</f>
        <v>415516119.54871476</v>
      </c>
      <c r="K166" s="234">
        <f>+J166/$B$131</f>
        <v>27701.074636580983</v>
      </c>
    </row>
    <row r="167" spans="1:11" x14ac:dyDescent="0.2">
      <c r="A167" s="49">
        <v>200</v>
      </c>
      <c r="B167" s="215">
        <f t="shared" si="27"/>
        <v>2716694322.4777246</v>
      </c>
      <c r="C167" s="215">
        <f t="shared" si="28"/>
        <v>1781839335.8256233</v>
      </c>
      <c r="D167" s="215">
        <f t="shared" si="29"/>
        <v>95193965.28079389</v>
      </c>
      <c r="E167" s="216">
        <f t="shared" si="30"/>
        <v>1877033301.1064172</v>
      </c>
      <c r="F167" s="216">
        <f t="shared" si="31"/>
        <v>839661021.37130737</v>
      </c>
      <c r="G167" s="216">
        <f t="shared" si="32"/>
        <v>3750000</v>
      </c>
      <c r="H167" s="216">
        <f t="shared" si="33"/>
        <v>835911021.37130737</v>
      </c>
      <c r="I167" s="216">
        <f t="shared" si="34"/>
        <v>259132416.62510529</v>
      </c>
      <c r="J167" s="216">
        <f t="shared" ref="J167:J181" si="35">H167-I167</f>
        <v>576778604.74620211</v>
      </c>
      <c r="K167" s="234">
        <f>+J167/$B$131</f>
        <v>38451.906983080138</v>
      </c>
    </row>
    <row r="168" spans="1:11" x14ac:dyDescent="0.2">
      <c r="A168" s="49">
        <v>250</v>
      </c>
      <c r="B168" s="215">
        <f t="shared" si="27"/>
        <v>3395867903.097156</v>
      </c>
      <c r="C168" s="215">
        <f t="shared" si="28"/>
        <v>2227299169.7820292</v>
      </c>
      <c r="D168" s="215">
        <f t="shared" si="29"/>
        <v>95193965.28079389</v>
      </c>
      <c r="E168" s="216">
        <f t="shared" si="30"/>
        <v>2322493135.0628228</v>
      </c>
      <c r="F168" s="216">
        <f t="shared" si="31"/>
        <v>1073374768.0343332</v>
      </c>
      <c r="G168" s="216">
        <f t="shared" si="32"/>
        <v>3750000</v>
      </c>
      <c r="H168" s="216">
        <f t="shared" si="33"/>
        <v>1069624768.0343332</v>
      </c>
      <c r="I168" s="216">
        <f t="shared" si="34"/>
        <v>331583678.09064329</v>
      </c>
      <c r="J168" s="216">
        <f t="shared" si="35"/>
        <v>738041089.94368994</v>
      </c>
      <c r="K168" s="234">
        <f t="shared" ref="K168:K181" si="36">+J168/$B$131</f>
        <v>49202.73932957933</v>
      </c>
    </row>
    <row r="169" spans="1:11" x14ac:dyDescent="0.2">
      <c r="A169" s="49">
        <v>300</v>
      </c>
      <c r="B169" s="215">
        <f t="shared" si="27"/>
        <v>4075041483.7165871</v>
      </c>
      <c r="C169" s="215">
        <f t="shared" si="28"/>
        <v>2672759003.7384348</v>
      </c>
      <c r="D169" s="215">
        <f t="shared" si="29"/>
        <v>95193965.28079389</v>
      </c>
      <c r="E169" s="216">
        <f t="shared" si="30"/>
        <v>2767952969.0192285</v>
      </c>
      <c r="F169" s="216">
        <f t="shared" si="31"/>
        <v>1307088514.6973586</v>
      </c>
      <c r="G169" s="216">
        <f t="shared" si="32"/>
        <v>3750000</v>
      </c>
      <c r="H169" s="216">
        <f t="shared" si="33"/>
        <v>1303338514.6973586</v>
      </c>
      <c r="I169" s="216">
        <f t="shared" si="34"/>
        <v>404034939.55618119</v>
      </c>
      <c r="J169" s="216">
        <f t="shared" si="35"/>
        <v>899303575.14117742</v>
      </c>
      <c r="K169" s="234">
        <f t="shared" si="36"/>
        <v>59953.571676078493</v>
      </c>
    </row>
    <row r="170" spans="1:11" x14ac:dyDescent="0.2">
      <c r="A170" s="49">
        <v>350</v>
      </c>
      <c r="B170" s="215">
        <f t="shared" si="27"/>
        <v>4754215064.3360186</v>
      </c>
      <c r="C170" s="215">
        <f t="shared" si="28"/>
        <v>3118218837.6948404</v>
      </c>
      <c r="D170" s="215">
        <f t="shared" si="29"/>
        <v>95193965.28079389</v>
      </c>
      <c r="E170" s="216">
        <f t="shared" si="30"/>
        <v>3213412802.9756341</v>
      </c>
      <c r="F170" s="216">
        <f t="shared" si="31"/>
        <v>1540802261.3603845</v>
      </c>
      <c r="G170" s="216">
        <f t="shared" si="32"/>
        <v>3750000</v>
      </c>
      <c r="H170" s="216">
        <f t="shared" si="33"/>
        <v>1537052261.3603845</v>
      </c>
      <c r="I170" s="216">
        <f t="shared" si="34"/>
        <v>476486201.02171916</v>
      </c>
      <c r="J170" s="216">
        <f t="shared" si="35"/>
        <v>1060566060.3386652</v>
      </c>
      <c r="K170" s="234">
        <f t="shared" si="36"/>
        <v>70704.404022577684</v>
      </c>
    </row>
    <row r="171" spans="1:11" x14ac:dyDescent="0.2">
      <c r="A171" s="49">
        <v>400</v>
      </c>
      <c r="B171" s="215">
        <f t="shared" si="27"/>
        <v>5433388644.9554491</v>
      </c>
      <c r="C171" s="215">
        <f t="shared" si="28"/>
        <v>3563678671.6512465</v>
      </c>
      <c r="D171" s="215">
        <f t="shared" si="29"/>
        <v>95193965.28079389</v>
      </c>
      <c r="E171" s="216">
        <f t="shared" si="30"/>
        <v>3658872636.9320402</v>
      </c>
      <c r="F171" s="216">
        <f t="shared" si="31"/>
        <v>1774516008.0234089</v>
      </c>
      <c r="G171" s="216">
        <f t="shared" si="32"/>
        <v>3750000</v>
      </c>
      <c r="H171" s="216">
        <f t="shared" si="33"/>
        <v>1770766008.0234089</v>
      </c>
      <c r="I171" s="216">
        <f t="shared" si="34"/>
        <v>548937462.48725677</v>
      </c>
      <c r="J171" s="216">
        <f t="shared" si="35"/>
        <v>1221828545.5361521</v>
      </c>
      <c r="K171" s="234">
        <f t="shared" si="36"/>
        <v>81455.236369076811</v>
      </c>
    </row>
    <row r="172" spans="1:11" x14ac:dyDescent="0.2">
      <c r="A172" s="49">
        <v>450</v>
      </c>
      <c r="B172" s="215">
        <f t="shared" si="27"/>
        <v>6112562225.5748806</v>
      </c>
      <c r="C172" s="215">
        <f t="shared" si="28"/>
        <v>4009138505.6076522</v>
      </c>
      <c r="D172" s="215">
        <f t="shared" si="29"/>
        <v>95193965.28079389</v>
      </c>
      <c r="E172" s="216">
        <f t="shared" si="30"/>
        <v>4104332470.8884459</v>
      </c>
      <c r="F172" s="216">
        <f t="shared" si="31"/>
        <v>2008229754.6864347</v>
      </c>
      <c r="G172" s="216">
        <f t="shared" si="32"/>
        <v>3750000</v>
      </c>
      <c r="H172" s="216">
        <f t="shared" si="33"/>
        <v>2004479754.6864347</v>
      </c>
      <c r="I172" s="216">
        <f t="shared" si="34"/>
        <v>621388723.95279479</v>
      </c>
      <c r="J172" s="216">
        <f t="shared" si="35"/>
        <v>1383091030.73364</v>
      </c>
      <c r="K172" s="234">
        <f t="shared" si="36"/>
        <v>92206.068715575995</v>
      </c>
    </row>
    <row r="173" spans="1:11" x14ac:dyDescent="0.2">
      <c r="A173" s="49">
        <v>600</v>
      </c>
      <c r="B173" s="215">
        <f t="shared" si="27"/>
        <v>8150082967.4331741</v>
      </c>
      <c r="C173" s="215">
        <f t="shared" si="28"/>
        <v>5345518007.4768696</v>
      </c>
      <c r="D173" s="215">
        <f t="shared" si="29"/>
        <v>95193965.28079389</v>
      </c>
      <c r="E173" s="216">
        <f t="shared" si="30"/>
        <v>5440711972.7576637</v>
      </c>
      <c r="F173" s="216">
        <f t="shared" si="31"/>
        <v>2709370994.6755104</v>
      </c>
      <c r="G173" s="216">
        <f t="shared" si="32"/>
        <v>3750000</v>
      </c>
      <c r="H173" s="216">
        <f t="shared" si="33"/>
        <v>2705620994.6755104</v>
      </c>
      <c r="I173" s="216">
        <f t="shared" si="34"/>
        <v>838742508.34940827</v>
      </c>
      <c r="J173" s="216">
        <f t="shared" si="35"/>
        <v>1866878486.3261023</v>
      </c>
      <c r="K173" s="234">
        <f t="shared" si="36"/>
        <v>124458.56575507349</v>
      </c>
    </row>
    <row r="174" spans="1:11" x14ac:dyDescent="0.2">
      <c r="A174" s="262">
        <f>+C20</f>
        <v>20.365504092073593</v>
      </c>
      <c r="B174" s="215">
        <f t="shared" si="27"/>
        <v>276634246.70666599</v>
      </c>
      <c r="C174" s="215">
        <f t="shared" si="28"/>
        <v>181440281.42587212</v>
      </c>
      <c r="D174" s="215">
        <f t="shared" si="29"/>
        <v>95193965.28079389</v>
      </c>
      <c r="E174" s="216">
        <f t="shared" si="30"/>
        <v>276634246.70666599</v>
      </c>
      <c r="F174" s="216">
        <f t="shared" si="31"/>
        <v>0</v>
      </c>
      <c r="G174" s="216">
        <f t="shared" si="32"/>
        <v>3750000</v>
      </c>
      <c r="H174" s="216">
        <f t="shared" si="33"/>
        <v>-3750000</v>
      </c>
      <c r="I174" s="216">
        <f t="shared" si="34"/>
        <v>0</v>
      </c>
      <c r="J174" s="216">
        <f t="shared" si="35"/>
        <v>-3750000</v>
      </c>
      <c r="K174" s="234">
        <f t="shared" si="36"/>
        <v>-250</v>
      </c>
    </row>
    <row r="175" spans="1:11" x14ac:dyDescent="0.2">
      <c r="A175" s="49">
        <v>1600</v>
      </c>
      <c r="B175" s="215">
        <f t="shared" si="27"/>
        <v>21733554579.821796</v>
      </c>
      <c r="C175" s="215">
        <f t="shared" si="28"/>
        <v>14254714686.604986</v>
      </c>
      <c r="D175" s="215">
        <f t="shared" si="29"/>
        <v>95193965.28079389</v>
      </c>
      <c r="E175" s="216">
        <f t="shared" si="30"/>
        <v>14349908651.88578</v>
      </c>
      <c r="F175" s="216">
        <f t="shared" si="31"/>
        <v>7383645927.9360161</v>
      </c>
      <c r="G175" s="216">
        <f t="shared" si="32"/>
        <v>3750000</v>
      </c>
      <c r="H175" s="216">
        <f t="shared" si="33"/>
        <v>7379895927.9360161</v>
      </c>
      <c r="I175" s="216">
        <f t="shared" si="34"/>
        <v>2287767737.6601648</v>
      </c>
      <c r="J175" s="216">
        <f>H175-I175</f>
        <v>5092128190.2758512</v>
      </c>
      <c r="K175" s="234">
        <f>+J175/$B$131</f>
        <v>339475.21268505673</v>
      </c>
    </row>
    <row r="176" spans="1:11" x14ac:dyDescent="0.2">
      <c r="A176" s="263">
        <v>1800</v>
      </c>
      <c r="B176" s="215">
        <f t="shared" si="27"/>
        <v>24450248902.299522</v>
      </c>
      <c r="C176" s="215">
        <f t="shared" si="28"/>
        <v>16036554022.430609</v>
      </c>
      <c r="D176" s="215">
        <f t="shared" si="29"/>
        <v>95193965.28079389</v>
      </c>
      <c r="E176" s="216">
        <f t="shared" si="30"/>
        <v>16131747987.711403</v>
      </c>
      <c r="F176" s="216">
        <f t="shared" si="31"/>
        <v>8318500914.5881195</v>
      </c>
      <c r="G176" s="216">
        <f t="shared" si="32"/>
        <v>3750000</v>
      </c>
      <c r="H176" s="216">
        <f t="shared" si="33"/>
        <v>8314750914.5881195</v>
      </c>
      <c r="I176" s="216">
        <f t="shared" si="34"/>
        <v>2577572783.5223169</v>
      </c>
      <c r="J176" s="216">
        <f t="shared" si="35"/>
        <v>5737178131.0658026</v>
      </c>
      <c r="K176" s="234">
        <f t="shared" si="36"/>
        <v>382478.54207105353</v>
      </c>
    </row>
    <row r="177" spans="1:11" x14ac:dyDescent="0.2">
      <c r="A177" s="49">
        <v>2000</v>
      </c>
      <c r="B177" s="218">
        <f t="shared" si="27"/>
        <v>27166943224.777248</v>
      </c>
      <c r="C177" s="218">
        <f t="shared" si="28"/>
        <v>17818393358.256233</v>
      </c>
      <c r="D177" s="218">
        <f t="shared" si="29"/>
        <v>95193965.28079389</v>
      </c>
      <c r="E177" s="219">
        <f t="shared" si="30"/>
        <v>17913587323.537025</v>
      </c>
      <c r="F177" s="219">
        <f t="shared" si="31"/>
        <v>9253355901.2402229</v>
      </c>
      <c r="G177" s="216">
        <f t="shared" si="32"/>
        <v>3750000</v>
      </c>
      <c r="H177" s="219">
        <f t="shared" si="33"/>
        <v>9249605901.2402229</v>
      </c>
      <c r="I177" s="216">
        <f t="shared" si="34"/>
        <v>2867377829.384469</v>
      </c>
      <c r="J177" s="219">
        <f t="shared" si="35"/>
        <v>6382228071.8557539</v>
      </c>
      <c r="K177" s="234">
        <f t="shared" si="36"/>
        <v>425481.87145705026</v>
      </c>
    </row>
    <row r="178" spans="1:11" x14ac:dyDescent="0.2">
      <c r="A178" s="49">
        <v>2010</v>
      </c>
      <c r="B178" s="215">
        <f t="shared" si="27"/>
        <v>27302777940.901134</v>
      </c>
      <c r="C178" s="215">
        <f t="shared" si="28"/>
        <v>17907485325.047512</v>
      </c>
      <c r="D178" s="215">
        <f t="shared" si="29"/>
        <v>95193965.28079389</v>
      </c>
      <c r="E178" s="216">
        <f t="shared" si="30"/>
        <v>18002679290.328304</v>
      </c>
      <c r="F178" s="216">
        <f t="shared" si="31"/>
        <v>9300098650.5728302</v>
      </c>
      <c r="G178" s="216">
        <f t="shared" si="32"/>
        <v>3750000</v>
      </c>
      <c r="H178" s="216">
        <f t="shared" si="33"/>
        <v>9296348650.5728302</v>
      </c>
      <c r="I178" s="216">
        <f t="shared" si="34"/>
        <v>2881868081.6775775</v>
      </c>
      <c r="J178" s="216">
        <f t="shared" si="35"/>
        <v>6414480568.8952522</v>
      </c>
      <c r="K178" s="234">
        <f t="shared" si="36"/>
        <v>427632.03792635014</v>
      </c>
    </row>
    <row r="179" spans="1:11" x14ac:dyDescent="0.2">
      <c r="A179" s="49">
        <v>2200</v>
      </c>
      <c r="B179" s="215">
        <f t="shared" si="27"/>
        <v>29883637547.254974</v>
      </c>
      <c r="C179" s="215">
        <f t="shared" si="28"/>
        <v>19600232694.081856</v>
      </c>
      <c r="D179" s="215">
        <f t="shared" si="29"/>
        <v>95193965.28079389</v>
      </c>
      <c r="E179" s="216">
        <f t="shared" si="30"/>
        <v>19695426659.362648</v>
      </c>
      <c r="F179" s="216">
        <f t="shared" si="31"/>
        <v>10188210887.892326</v>
      </c>
      <c r="G179" s="216">
        <f t="shared" si="32"/>
        <v>3750000</v>
      </c>
      <c r="H179" s="216">
        <f t="shared" si="33"/>
        <v>10184460887.892326</v>
      </c>
      <c r="I179" s="216">
        <f t="shared" si="34"/>
        <v>3157182875.2466211</v>
      </c>
      <c r="J179" s="216">
        <f t="shared" si="35"/>
        <v>7027278012.6457052</v>
      </c>
      <c r="K179" s="234">
        <f t="shared" si="36"/>
        <v>468485.200843047</v>
      </c>
    </row>
    <row r="180" spans="1:11" x14ac:dyDescent="0.2">
      <c r="A180" s="49">
        <v>2500</v>
      </c>
      <c r="B180" s="215">
        <f t="shared" si="27"/>
        <v>33958679030.971561</v>
      </c>
      <c r="C180" s="215">
        <f t="shared" si="28"/>
        <v>22272991697.82029</v>
      </c>
      <c r="D180" s="215">
        <f t="shared" si="29"/>
        <v>95193965.28079389</v>
      </c>
      <c r="E180" s="216">
        <f t="shared" si="30"/>
        <v>22368185663.101082</v>
      </c>
      <c r="F180" s="216">
        <f t="shared" si="31"/>
        <v>11590493367.87048</v>
      </c>
      <c r="G180" s="216">
        <f t="shared" si="32"/>
        <v>3750000</v>
      </c>
      <c r="H180" s="216">
        <f t="shared" si="33"/>
        <v>11586743367.87048</v>
      </c>
      <c r="I180" s="216">
        <f t="shared" si="34"/>
        <v>3591890444.0398488</v>
      </c>
      <c r="J180" s="216">
        <f t="shared" si="35"/>
        <v>7994852923.8306313</v>
      </c>
      <c r="K180" s="234">
        <f t="shared" si="36"/>
        <v>532990.19492204208</v>
      </c>
    </row>
    <row r="181" spans="1:11" x14ac:dyDescent="0.2">
      <c r="A181" s="49">
        <v>4000</v>
      </c>
      <c r="B181" s="215">
        <f t="shared" si="27"/>
        <v>54333886449.554497</v>
      </c>
      <c r="C181" s="215">
        <f t="shared" si="28"/>
        <v>35636786716.512466</v>
      </c>
      <c r="D181" s="215">
        <f t="shared" si="29"/>
        <v>95193965.28079389</v>
      </c>
      <c r="E181" s="216">
        <f t="shared" si="30"/>
        <v>35731980681.793259</v>
      </c>
      <c r="F181" s="216">
        <f t="shared" si="31"/>
        <v>18601905767.761238</v>
      </c>
      <c r="G181" s="216">
        <f t="shared" si="32"/>
        <v>3750000</v>
      </c>
      <c r="H181" s="216">
        <f t="shared" si="33"/>
        <v>18598155767.761238</v>
      </c>
      <c r="I181" s="216">
        <f t="shared" si="34"/>
        <v>5765428288.0059834</v>
      </c>
      <c r="J181" s="216">
        <f t="shared" si="35"/>
        <v>12832727479.755255</v>
      </c>
      <c r="K181" s="234">
        <f t="shared" si="36"/>
        <v>855515.165317017</v>
      </c>
    </row>
    <row r="182" spans="1:11" x14ac:dyDescent="0.2">
      <c r="A182" s="236"/>
      <c r="B182" s="218"/>
      <c r="C182" s="218"/>
      <c r="D182" s="218"/>
      <c r="E182" s="219"/>
      <c r="F182" s="219"/>
      <c r="G182" s="216"/>
      <c r="H182" s="219"/>
      <c r="I182" s="216"/>
      <c r="J182" s="219"/>
      <c r="K182" s="234"/>
    </row>
    <row r="183" spans="1:11" x14ac:dyDescent="0.2">
      <c r="A183" s="236"/>
      <c r="B183" s="215"/>
      <c r="C183" s="215"/>
      <c r="D183" s="215"/>
      <c r="E183" s="216"/>
      <c r="F183" s="216"/>
      <c r="G183" s="216"/>
      <c r="H183" s="216"/>
      <c r="I183" s="216"/>
      <c r="J183" s="216"/>
      <c r="K183" s="234"/>
    </row>
    <row r="186" spans="1:11" x14ac:dyDescent="0.2">
      <c r="A186" s="224" t="s">
        <v>458</v>
      </c>
      <c r="B186" s="224" t="s">
        <v>459</v>
      </c>
      <c r="C186" s="224"/>
    </row>
    <row r="187" spans="1:11" x14ac:dyDescent="0.2">
      <c r="I187" s="26"/>
    </row>
    <row r="189" spans="1:11" x14ac:dyDescent="0.2">
      <c r="A189" s="224" t="s">
        <v>460</v>
      </c>
      <c r="B189" s="441" t="s">
        <v>461</v>
      </c>
      <c r="C189" s="441"/>
      <c r="D189" s="441"/>
    </row>
    <row r="190" spans="1:11" x14ac:dyDescent="0.2">
      <c r="A190" t="s">
        <v>462</v>
      </c>
      <c r="B190" s="444" t="s">
        <v>495</v>
      </c>
      <c r="C190" s="445"/>
      <c r="D190" s="445"/>
    </row>
    <row r="191" spans="1:11" x14ac:dyDescent="0.2">
      <c r="A191" t="s">
        <v>463</v>
      </c>
      <c r="B191" s="444" t="s">
        <v>496</v>
      </c>
      <c r="C191" s="445"/>
      <c r="D191" s="445"/>
      <c r="F191" s="178" t="s">
        <v>495</v>
      </c>
      <c r="G191" s="178"/>
      <c r="H191" s="179" t="s">
        <v>538</v>
      </c>
      <c r="I191" s="178" t="s">
        <v>496</v>
      </c>
      <c r="J191" s="178"/>
    </row>
    <row r="192" spans="1:11" x14ac:dyDescent="0.2">
      <c r="F192" s="146" t="s">
        <v>539</v>
      </c>
    </row>
    <row r="193" spans="1:9" x14ac:dyDescent="0.2">
      <c r="A193" s="200" t="s">
        <v>464</v>
      </c>
      <c r="B193" s="265">
        <v>26250000</v>
      </c>
      <c r="C193" s="146" t="s">
        <v>504</v>
      </c>
      <c r="F193" s="146" t="s">
        <v>540</v>
      </c>
    </row>
    <row r="194" spans="1:9" x14ac:dyDescent="0.2">
      <c r="F194" s="146" t="s">
        <v>541</v>
      </c>
    </row>
    <row r="197" spans="1:9" x14ac:dyDescent="0.2">
      <c r="A197" s="261" t="s">
        <v>499</v>
      </c>
      <c r="B197" s="220"/>
      <c r="C197" s="220"/>
      <c r="D197" s="220"/>
      <c r="E197" s="220"/>
    </row>
    <row r="199" spans="1:9" x14ac:dyDescent="0.2">
      <c r="A199" s="441" t="s">
        <v>424</v>
      </c>
      <c r="B199" s="441"/>
      <c r="C199" s="441"/>
      <c r="D199" s="441"/>
    </row>
    <row r="201" spans="1:9" x14ac:dyDescent="0.2">
      <c r="A201" s="49" t="s">
        <v>465</v>
      </c>
      <c r="B201" s="216">
        <f>+B193</f>
        <v>26250000</v>
      </c>
      <c r="E201">
        <f>17500/(15000)</f>
        <v>1.1666666666666667</v>
      </c>
      <c r="F201">
        <v>3750000</v>
      </c>
      <c r="G201">
        <f>+E201*F201</f>
        <v>4375000</v>
      </c>
      <c r="H201">
        <v>0.16</v>
      </c>
      <c r="I201" s="260">
        <f>+G201/H201</f>
        <v>27343750</v>
      </c>
    </row>
    <row r="202" spans="1:9" x14ac:dyDescent="0.2">
      <c r="A202" s="49" t="s">
        <v>466</v>
      </c>
      <c r="B202" s="215">
        <f>C24</f>
        <v>13583471.612388624</v>
      </c>
    </row>
    <row r="203" spans="1:9" x14ac:dyDescent="0.2">
      <c r="A203" s="49" t="s">
        <v>467</v>
      </c>
      <c r="B203" s="238">
        <f>C22</f>
        <v>8909196.679128116</v>
      </c>
    </row>
    <row r="204" spans="1:9" x14ac:dyDescent="0.2">
      <c r="A204" s="49" t="s">
        <v>468</v>
      </c>
      <c r="B204" s="215">
        <f>C23</f>
        <v>95193965.28079389</v>
      </c>
    </row>
    <row r="206" spans="1:9" x14ac:dyDescent="0.2">
      <c r="A206" s="128" t="s">
        <v>469</v>
      </c>
      <c r="B206" s="239">
        <f>(B201+B204)/(B202-B203)</f>
        <v>25.981348340603812</v>
      </c>
    </row>
    <row r="209" spans="1:11" x14ac:dyDescent="0.2">
      <c r="A209" s="261" t="s">
        <v>500</v>
      </c>
      <c r="B209" s="220"/>
      <c r="C209" s="220"/>
      <c r="D209" s="220"/>
      <c r="E209" s="220"/>
    </row>
    <row r="210" spans="1:11" x14ac:dyDescent="0.2">
      <c r="A210" s="220" t="s">
        <v>470</v>
      </c>
      <c r="B210" s="220"/>
      <c r="C210" s="220"/>
      <c r="D210" s="220"/>
      <c r="E210" s="220"/>
    </row>
    <row r="212" spans="1:11" x14ac:dyDescent="0.2">
      <c r="A212" s="146" t="s">
        <v>497</v>
      </c>
      <c r="C212" s="264">
        <f>+B206</f>
        <v>25.981348340603812</v>
      </c>
      <c r="D212" s="146" t="s">
        <v>498</v>
      </c>
    </row>
    <row r="214" spans="1:11" s="220" customFormat="1" x14ac:dyDescent="0.2">
      <c r="A214" s="261" t="s">
        <v>501</v>
      </c>
    </row>
    <row r="215" spans="1:11" s="220" customFormat="1" x14ac:dyDescent="0.2">
      <c r="A215" s="220" t="s">
        <v>471</v>
      </c>
    </row>
    <row r="217" spans="1:11" x14ac:dyDescent="0.2">
      <c r="A217" s="146" t="s">
        <v>502</v>
      </c>
      <c r="C217" s="264">
        <f>+B206</f>
        <v>25.981348340603812</v>
      </c>
      <c r="D217" s="146" t="s">
        <v>503</v>
      </c>
    </row>
    <row r="222" spans="1:11" x14ac:dyDescent="0.2">
      <c r="K222" s="146"/>
    </row>
  </sheetData>
  <mergeCells count="27">
    <mergeCell ref="A52:D52"/>
    <mergeCell ref="A26:E26"/>
    <mergeCell ref="A3:F3"/>
    <mergeCell ref="A4:F4"/>
    <mergeCell ref="B18:D18"/>
    <mergeCell ref="A49:H49"/>
    <mergeCell ref="A199:D199"/>
    <mergeCell ref="A162:F162"/>
    <mergeCell ref="A19:H19"/>
    <mergeCell ref="A124:F124"/>
    <mergeCell ref="A125:F125"/>
    <mergeCell ref="A126:G126"/>
    <mergeCell ref="A127:G127"/>
    <mergeCell ref="A62:F62"/>
    <mergeCell ref="A67:G67"/>
    <mergeCell ref="A68:G68"/>
    <mergeCell ref="A72:D72"/>
    <mergeCell ref="A85:F85"/>
    <mergeCell ref="A86:B86"/>
    <mergeCell ref="A107:F107"/>
    <mergeCell ref="A108:C108"/>
    <mergeCell ref="A113:D113"/>
    <mergeCell ref="A139:F139"/>
    <mergeCell ref="A123:F123"/>
    <mergeCell ref="B189:D189"/>
    <mergeCell ref="B190:D190"/>
    <mergeCell ref="B191:D19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16</vt:i4>
      </vt:variant>
    </vt:vector>
  </HeadingPairs>
  <TitlesOfParts>
    <vt:vector size="26" baseType="lpstr">
      <vt:lpstr>1. PERSONAL</vt:lpstr>
      <vt:lpstr>2. INVERSION</vt:lpstr>
      <vt:lpstr>3, INVENTARIO</vt:lpstr>
      <vt:lpstr>4. COSTOS</vt:lpstr>
      <vt:lpstr>5. EVALUACIÓN</vt:lpstr>
      <vt:lpstr>6. ESTADOS FINANCIEROS</vt:lpstr>
      <vt:lpstr>7. EJERCICIO DE ESTIMACIÓN</vt:lpstr>
      <vt:lpstr>8. PUNTO EQ</vt:lpstr>
      <vt:lpstr>9. PRESTAMO</vt:lpstr>
      <vt:lpstr>10. GAO.GAF</vt:lpstr>
      <vt:lpstr>'1. PERSONAL'!Área_de_impresión</vt:lpstr>
      <vt:lpstr>'2. INVERSION'!Área_de_impresión</vt:lpstr>
      <vt:lpstr>'3, INVENTARIO'!Área_de_impresión</vt:lpstr>
      <vt:lpstr>'4. COSTOS'!Área_de_impresión</vt:lpstr>
      <vt:lpstr>'6. ESTADOS FINANCIEROS'!Área_de_impresión</vt:lpstr>
      <vt:lpstr>BALANCE</vt:lpstr>
      <vt:lpstr>COMPUTADOR_A</vt:lpstr>
      <vt:lpstr>FACTORES</vt:lpstr>
      <vt:lpstr>FLUJO</vt:lpstr>
      <vt:lpstr>INGRESOS</vt:lpstr>
      <vt:lpstr>INVERSION</vt:lpstr>
      <vt:lpstr>LIBRE</vt:lpstr>
      <vt:lpstr>PERSONAL</vt:lpstr>
      <vt:lpstr>PYG</vt:lpstr>
      <vt:lpstr>'3, INVENTARIO'!Títulos_a_imprimir</vt:lpstr>
      <vt:lpstr>'4. COSTOS'!Títulos_a_imprimir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Cal_Raf</dc:title>
  <dc:creator>DEMOSTRACION</dc:creator>
  <cp:lastModifiedBy>HP</cp:lastModifiedBy>
  <dcterms:created xsi:type="dcterms:W3CDTF">2003-10-07T19:35:08Z</dcterms:created>
  <dcterms:modified xsi:type="dcterms:W3CDTF">2025-09-16T03:04:25Z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1313507095</vt:i4>
  </property>
  <property fmtid="{D5CDD505-2E9C-101B-9397-08002B2CF9AE}" pid="3" name="_EmailSubject">
    <vt:lpwstr>TALLER EST_FIN.XLS</vt:lpwstr>
  </property>
  <property fmtid="{D5CDD505-2E9C-101B-9397-08002B2CF9AE}" pid="4" name="_AuthorEmail">
    <vt:lpwstr>crodriguez@petrotesting.com.co</vt:lpwstr>
  </property>
  <property fmtid="{D5CDD505-2E9C-101B-9397-08002B2CF9AE}" pid="5" name="_AuthorEmailDisplayName">
    <vt:lpwstr>Carlos W. Rodriguez</vt:lpwstr>
  </property>
  <property fmtid="{D5CDD505-2E9C-101B-9397-08002B2CF9AE}" pid="6" name="_ReviewingToolsShownOnce">
    <vt:lpwstr/>
  </property>
</Properties>
</file>