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3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24ea81bcbbd437c/Documentos/Estudios/TALLER INTERNACIONAL/"/>
    </mc:Choice>
  </mc:AlternateContent>
  <xr:revisionPtr revIDLastSave="817" documentId="8_{1EF58010-558F-4986-9E18-73A82E44BF15}" xr6:coauthVersionLast="47" xr6:coauthVersionMax="47" xr10:uidLastSave="{6E85A135-30D6-4DAE-B2F4-14DF855B33EC}"/>
  <bookViews>
    <workbookView xWindow="-110" yWindow="-110" windowWidth="19420" windowHeight="10300" xr2:uid="{F9A3AC19-E25C-4454-8825-18E811933C39}"/>
  </bookViews>
  <sheets>
    <sheet name="GASTOS X EVENTO" sheetId="1" r:id="rId1"/>
    <sheet name="VENTAS" sheetId="2" r:id="rId2"/>
    <sheet name="VENTAS VS GASTO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5" i="2" l="1"/>
  <c r="J45" i="2" s="1"/>
  <c r="B44" i="2"/>
  <c r="J44" i="2" s="1"/>
  <c r="B43" i="2"/>
  <c r="J43" i="2" s="1"/>
  <c r="B42" i="2"/>
  <c r="J42" i="2" s="1"/>
  <c r="B41" i="2"/>
  <c r="J41" i="2" s="1"/>
  <c r="B40" i="2"/>
  <c r="J40" i="2" s="1"/>
  <c r="B39" i="2"/>
  <c r="J39" i="2" s="1"/>
  <c r="B35" i="2"/>
  <c r="J35" i="2" s="1"/>
  <c r="B34" i="2"/>
  <c r="J34" i="2" s="1"/>
  <c r="B33" i="2"/>
  <c r="J33" i="2" s="1"/>
  <c r="B32" i="2"/>
  <c r="J32" i="2" s="1"/>
  <c r="B31" i="2"/>
  <c r="J31" i="2" s="1"/>
  <c r="B30" i="2"/>
  <c r="J30" i="2" s="1"/>
  <c r="B29" i="2"/>
  <c r="J29" i="2" s="1"/>
  <c r="B25" i="2"/>
  <c r="J25" i="2" s="1"/>
  <c r="B24" i="2"/>
  <c r="J24" i="2" s="1"/>
  <c r="B23" i="2"/>
  <c r="J23" i="2" s="1"/>
  <c r="B22" i="2"/>
  <c r="J22" i="2" s="1"/>
  <c r="B21" i="2"/>
  <c r="J21" i="2" s="1"/>
  <c r="B20" i="2"/>
  <c r="J20" i="2" s="1"/>
  <c r="B19" i="2"/>
  <c r="F19" i="2" s="1"/>
  <c r="C91" i="1"/>
  <c r="C90" i="1"/>
  <c r="B92" i="1"/>
  <c r="B91" i="1"/>
  <c r="B90" i="1"/>
  <c r="B89" i="1"/>
  <c r="C76" i="1"/>
  <c r="D99" i="1" s="1"/>
  <c r="C72" i="1"/>
  <c r="C73" i="1"/>
  <c r="C70" i="1"/>
  <c r="C69" i="1"/>
  <c r="C66" i="1"/>
  <c r="D92" i="1" s="1"/>
  <c r="C65" i="1"/>
  <c r="D91" i="1" s="1"/>
  <c r="C64" i="1"/>
  <c r="D90" i="1" s="1"/>
  <c r="C63" i="1"/>
  <c r="D89" i="1" s="1"/>
  <c r="C52" i="1"/>
  <c r="C51" i="1"/>
  <c r="C50" i="1"/>
  <c r="C49" i="1"/>
  <c r="C53" i="1" s="1"/>
  <c r="C100" i="1" s="1"/>
  <c r="C45" i="1"/>
  <c r="C44" i="1"/>
  <c r="C42" i="1"/>
  <c r="C41" i="1"/>
  <c r="C38" i="1"/>
  <c r="C92" i="1" s="1"/>
  <c r="C35" i="1"/>
  <c r="C89" i="1" s="1"/>
  <c r="B13" i="2"/>
  <c r="C45" i="2" s="1"/>
  <c r="I45" i="2" s="1"/>
  <c r="B12" i="2"/>
  <c r="C44" i="2" s="1"/>
  <c r="I44" i="2" s="1"/>
  <c r="B11" i="2"/>
  <c r="C33" i="2" s="1"/>
  <c r="B10" i="2"/>
  <c r="C32" i="2" s="1"/>
  <c r="B9" i="2"/>
  <c r="C41" i="2" s="1"/>
  <c r="I41" i="2" s="1"/>
  <c r="B8" i="2"/>
  <c r="C20" i="2" s="1"/>
  <c r="I20" i="2" s="1"/>
  <c r="B7" i="2"/>
  <c r="D7" i="2" s="1"/>
  <c r="B93" i="1" l="1"/>
  <c r="C42" i="2"/>
  <c r="I42" i="2" s="1"/>
  <c r="C29" i="2"/>
  <c r="E29" i="2" s="1"/>
  <c r="C34" i="2"/>
  <c r="C35" i="2"/>
  <c r="I35" i="2" s="1"/>
  <c r="K35" i="2" s="1"/>
  <c r="C39" i="2"/>
  <c r="I39" i="2" s="1"/>
  <c r="K39" i="2" s="1"/>
  <c r="C43" i="2"/>
  <c r="I43" i="2" s="1"/>
  <c r="K43" i="2" s="1"/>
  <c r="K44" i="2"/>
  <c r="C31" i="2"/>
  <c r="E31" i="2" s="1"/>
  <c r="K41" i="2"/>
  <c r="K45" i="2"/>
  <c r="C30" i="2"/>
  <c r="E30" i="2" s="1"/>
  <c r="C40" i="2"/>
  <c r="I40" i="2" s="1"/>
  <c r="K40" i="2" s="1"/>
  <c r="K42" i="2"/>
  <c r="E41" i="2"/>
  <c r="E42" i="2"/>
  <c r="E44" i="2"/>
  <c r="E45" i="2"/>
  <c r="F43" i="2"/>
  <c r="F39" i="2"/>
  <c r="F41" i="2"/>
  <c r="F45" i="2"/>
  <c r="F40" i="2"/>
  <c r="F42" i="2"/>
  <c r="G42" i="2" s="1"/>
  <c r="D53" i="2" s="1"/>
  <c r="F44" i="2"/>
  <c r="I34" i="2"/>
  <c r="K34" i="2" s="1"/>
  <c r="I33" i="2"/>
  <c r="K33" i="2" s="1"/>
  <c r="C22" i="2"/>
  <c r="I22" i="2" s="1"/>
  <c r="I32" i="2"/>
  <c r="K32" i="2" s="1"/>
  <c r="C23" i="2"/>
  <c r="I23" i="2" s="1"/>
  <c r="C24" i="2"/>
  <c r="I24" i="2" s="1"/>
  <c r="C25" i="2"/>
  <c r="I25" i="2" s="1"/>
  <c r="C21" i="2"/>
  <c r="I21" i="2" s="1"/>
  <c r="C19" i="2"/>
  <c r="E32" i="2"/>
  <c r="E33" i="2"/>
  <c r="E34" i="2"/>
  <c r="E35" i="2"/>
  <c r="F35" i="2"/>
  <c r="F29" i="2"/>
  <c r="F31" i="2"/>
  <c r="F32" i="2"/>
  <c r="F33" i="2"/>
  <c r="F30" i="2"/>
  <c r="F34" i="2"/>
  <c r="J19" i="2"/>
  <c r="I29" i="2" l="1"/>
  <c r="K29" i="2" s="1"/>
  <c r="E40" i="2"/>
  <c r="E39" i="2"/>
  <c r="G29" i="2"/>
  <c r="C50" i="2" s="1"/>
  <c r="E43" i="2"/>
  <c r="G43" i="2" s="1"/>
  <c r="D54" i="2" s="1"/>
  <c r="G39" i="2"/>
  <c r="D50" i="2" s="1"/>
  <c r="G40" i="2"/>
  <c r="D51" i="2" s="1"/>
  <c r="I31" i="2"/>
  <c r="K31" i="2" s="1"/>
  <c r="I30" i="2"/>
  <c r="K30" i="2" s="1"/>
  <c r="G44" i="2"/>
  <c r="D55" i="2" s="1"/>
  <c r="G45" i="2"/>
  <c r="D56" i="2" s="1"/>
  <c r="G41" i="2"/>
  <c r="D52" i="2" s="1"/>
  <c r="I19" i="2"/>
  <c r="E19" i="2"/>
  <c r="G19" i="2" s="1"/>
  <c r="B50" i="2" s="1"/>
  <c r="G30" i="2"/>
  <c r="C51" i="2" s="1"/>
  <c r="G34" i="2"/>
  <c r="C55" i="2" s="1"/>
  <c r="G33" i="2"/>
  <c r="C54" i="2" s="1"/>
  <c r="G32" i="2"/>
  <c r="C53" i="2" s="1"/>
  <c r="G31" i="2"/>
  <c r="C52" i="2" s="1"/>
  <c r="G35" i="2"/>
  <c r="C56" i="2" s="1"/>
  <c r="D58" i="2" l="1"/>
  <c r="D4" i="3" s="1"/>
  <c r="C58" i="2"/>
  <c r="C4" i="3" s="1"/>
  <c r="F25" i="2"/>
  <c r="E25" i="2"/>
  <c r="F24" i="2"/>
  <c r="E24" i="2"/>
  <c r="F23" i="2"/>
  <c r="E23" i="2"/>
  <c r="F22" i="2"/>
  <c r="E22" i="2"/>
  <c r="F21" i="2"/>
  <c r="E21" i="2"/>
  <c r="F20" i="2"/>
  <c r="E20" i="2"/>
  <c r="D13" i="2"/>
  <c r="D12" i="2"/>
  <c r="D11" i="2"/>
  <c r="D10" i="2"/>
  <c r="D9" i="2"/>
  <c r="D8" i="2"/>
  <c r="G22" i="2" l="1"/>
  <c r="B53" i="2" s="1"/>
  <c r="G23" i="2"/>
  <c r="B54" i="2" s="1"/>
  <c r="G21" i="2"/>
  <c r="K23" i="2"/>
  <c r="G24" i="2"/>
  <c r="B55" i="2" s="1"/>
  <c r="G25" i="2"/>
  <c r="B56" i="2" s="1"/>
  <c r="K19" i="2"/>
  <c r="K22" i="2"/>
  <c r="K24" i="2"/>
  <c r="G20" i="2"/>
  <c r="K21" i="2" l="1"/>
  <c r="B52" i="2"/>
  <c r="K20" i="2"/>
  <c r="B51" i="2"/>
  <c r="B58" i="2" s="1"/>
  <c r="B4" i="3" s="1"/>
  <c r="K25" i="2"/>
  <c r="C93" i="1" l="1"/>
  <c r="D93" i="1"/>
  <c r="C48" i="1"/>
  <c r="C99" i="1" s="1"/>
  <c r="C101" i="1" s="1"/>
  <c r="C39" i="1"/>
  <c r="C24" i="1"/>
  <c r="C80" i="1" s="1"/>
  <c r="C23" i="1"/>
  <c r="C22" i="1"/>
  <c r="C78" i="1" s="1"/>
  <c r="C21" i="1"/>
  <c r="C77" i="1" s="1"/>
  <c r="C20" i="1"/>
  <c r="B99" i="1" s="1"/>
  <c r="C15" i="1"/>
  <c r="B95" i="1" s="1"/>
  <c r="C18" i="1"/>
  <c r="B96" i="1" s="1"/>
  <c r="C11" i="1"/>
  <c r="B97" i="1" l="1"/>
  <c r="C74" i="1"/>
  <c r="D96" i="1" s="1"/>
  <c r="C67" i="1"/>
  <c r="C54" i="1"/>
  <c r="C71" i="1"/>
  <c r="D95" i="1" s="1"/>
  <c r="C25" i="1"/>
  <c r="C43" i="1"/>
  <c r="C95" i="1" s="1"/>
  <c r="C79" i="1"/>
  <c r="C81" i="1" s="1"/>
  <c r="C46" i="1"/>
  <c r="C96" i="1" s="1"/>
  <c r="C97" i="1" l="1"/>
  <c r="C103" i="1" s="1"/>
  <c r="C5" i="3" s="1"/>
  <c r="C6" i="3" s="1"/>
  <c r="D97" i="1"/>
  <c r="C82" i="1"/>
  <c r="D100" i="1"/>
  <c r="D101" i="1" s="1"/>
  <c r="D103" i="1" s="1"/>
  <c r="D5" i="3" s="1"/>
  <c r="D6" i="3" s="1"/>
  <c r="C26" i="1"/>
  <c r="B100" i="1"/>
  <c r="B101" i="1" s="1"/>
  <c r="B103" i="1" s="1"/>
  <c r="B5" i="3" s="1"/>
  <c r="B6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Santiago Galindo</author>
  </authors>
  <commentList>
    <comment ref="A7" authorId="0" shapeId="0" xr:uid="{84D94267-E86F-4A4C-99C2-D64F18BAABEE}">
      <text>
        <r>
          <rPr>
            <b/>
            <sz val="9"/>
            <color indexed="81"/>
            <rFont val="Tahoma"/>
            <family val="2"/>
          </rPr>
          <t>Santiago Galindo:</t>
        </r>
        <r>
          <rPr>
            <sz val="9"/>
            <color indexed="81"/>
            <rFont val="Tahoma"/>
            <family val="2"/>
          </rPr>
          <t xml:space="preserve">
Aproximadamente 55$, investigado en https://degerencia.com/articulo/cuanto_cobrar_por_mis_servicios_como_consultor_independiente/#google_vignette</t>
        </r>
      </text>
    </comment>
    <comment ref="A8" authorId="0" shapeId="0" xr:uid="{1245E966-6861-4536-8809-E50E8219DCA6}">
      <text>
        <r>
          <rPr>
            <b/>
            <sz val="9"/>
            <color indexed="81"/>
            <rFont val="Tahoma"/>
            <family val="2"/>
          </rPr>
          <t>Santiago Galindo:</t>
        </r>
        <r>
          <rPr>
            <sz val="9"/>
            <color indexed="81"/>
            <rFont val="Tahoma"/>
            <family val="2"/>
          </rPr>
          <t xml:space="preserve">
Investigación propia, consulta con Diseñadora de Espacios y Diseñador Gráfico</t>
        </r>
      </text>
    </comment>
    <comment ref="A9" authorId="0" shapeId="0" xr:uid="{7755C13B-C32A-4972-B961-CC138B6324D8}">
      <text>
        <r>
          <rPr>
            <b/>
            <sz val="9"/>
            <color indexed="81"/>
            <rFont val="Tahoma"/>
            <family val="2"/>
          </rPr>
          <t>Santiago Galindo:</t>
        </r>
        <r>
          <rPr>
            <sz val="9"/>
            <color indexed="81"/>
            <rFont val="Tahoma"/>
            <family val="2"/>
          </rPr>
          <t xml:space="preserve">
Investigado en https://expoartesanias.com/pdf/MANUAL-DE-PARTICIPACION-EXPOARTESANIAS-2025.pdf</t>
        </r>
      </text>
    </comment>
    <comment ref="A10" authorId="0" shapeId="0" xr:uid="{FCA9C989-0806-42D8-843E-3C7F7C6FB2D8}">
      <text>
        <r>
          <rPr>
            <b/>
            <sz val="9"/>
            <color indexed="81"/>
            <rFont val="Tahoma"/>
            <family val="2"/>
          </rPr>
          <t>Santiago Galindo:</t>
        </r>
        <r>
          <rPr>
            <sz val="9"/>
            <color indexed="81"/>
            <rFont val="Tahoma"/>
            <family val="2"/>
          </rPr>
          <t xml:space="preserve">
Investigado por cuenta propia en papeleria</t>
        </r>
      </text>
    </comment>
    <comment ref="A13" authorId="0" shapeId="0" xr:uid="{0E65A3FE-32A0-4132-84B1-11D66D05F426}">
      <text>
        <r>
          <rPr>
            <b/>
            <sz val="9"/>
            <color indexed="81"/>
            <rFont val="Tahoma"/>
            <family val="2"/>
          </rPr>
          <t>Santiago Galindo:</t>
        </r>
        <r>
          <rPr>
            <sz val="9"/>
            <color indexed="81"/>
            <rFont val="Tahoma"/>
            <family val="2"/>
          </rPr>
          <t xml:space="preserve">
Investigado con la calculadora en Colombiapeajes.com</t>
        </r>
      </text>
    </comment>
    <comment ref="A20" authorId="0" shapeId="0" xr:uid="{8023C55E-6A0F-47FE-83E3-E76AF772F287}">
      <text>
        <r>
          <rPr>
            <b/>
            <sz val="9"/>
            <color indexed="81"/>
            <rFont val="Tahoma"/>
            <family val="2"/>
          </rPr>
          <t>Santiago Galindo:</t>
        </r>
        <r>
          <rPr>
            <sz val="9"/>
            <color indexed="81"/>
            <rFont val="Tahoma"/>
            <family val="2"/>
          </rPr>
          <t xml:space="preserve">
Investigado en Booking.com</t>
        </r>
      </text>
    </comment>
    <comment ref="A31" authorId="0" shapeId="0" xr:uid="{380544F7-3630-48C4-98D9-63A5C8277309}">
      <text>
        <r>
          <rPr>
            <b/>
            <sz val="9"/>
            <color indexed="81"/>
            <rFont val="Tahoma"/>
            <family val="2"/>
          </rPr>
          <t>Santiago Galindo:</t>
        </r>
        <r>
          <rPr>
            <sz val="9"/>
            <color indexed="81"/>
            <rFont val="Tahoma"/>
            <family val="2"/>
          </rPr>
          <t xml:space="preserve">
Investigada en https://es.tradingeconomics.com/colombia/forecast</t>
        </r>
      </text>
    </comment>
    <comment ref="A37" authorId="0" shapeId="0" xr:uid="{26CF7D70-090C-455B-A42B-61650DA1AEC0}">
      <text>
        <r>
          <rPr>
            <b/>
            <sz val="9"/>
            <color indexed="81"/>
            <rFont val="Tahoma"/>
            <family val="2"/>
          </rPr>
          <t>Santiago Galindo:</t>
        </r>
        <r>
          <rPr>
            <sz val="9"/>
            <color indexed="81"/>
            <rFont val="Tahoma"/>
            <family val="2"/>
          </rPr>
          <t xml:space="preserve">
Investigado en https://www.cpdcaldas.org/wp-content/uploads/2025/04/Manual-de-convocatoria-FAM-2026.pdf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Santiago Galindo</author>
  </authors>
  <commentList>
    <comment ref="B6" authorId="0" shapeId="0" xr:uid="{DE1E156B-10B8-48F0-B148-EF33499B2D16}">
      <text>
        <r>
          <rPr>
            <b/>
            <sz val="9"/>
            <color indexed="81"/>
            <rFont val="Tahoma"/>
            <family val="2"/>
          </rPr>
          <t>Santiago Galindo:</t>
        </r>
        <r>
          <rPr>
            <sz val="9"/>
            <color indexed="81"/>
            <rFont val="Tahoma"/>
            <family val="2"/>
          </rPr>
          <t xml:space="preserve">
Calculado teniendo en cuenta un margen de utilidad del 50% https://modelosdeplandenegocios.com/blogs/news/artesanias-que-rentabilidad</t>
        </r>
      </text>
    </comment>
    <comment ref="C6" authorId="0" shapeId="0" xr:uid="{78434D1A-7D23-4475-8EA5-F67E85949D23}">
      <text>
        <r>
          <rPr>
            <b/>
            <sz val="9"/>
            <color indexed="81"/>
            <rFont val="Tahoma"/>
            <family val="2"/>
          </rPr>
          <t>Santiago Galindo:</t>
        </r>
        <r>
          <rPr>
            <sz val="9"/>
            <color indexed="81"/>
            <rFont val="Tahoma"/>
            <family val="2"/>
          </rPr>
          <t xml:space="preserve">
Precios de venta promedio, buscados en mercadolibre</t>
        </r>
      </text>
    </comment>
  </commentList>
</comments>
</file>

<file path=xl/sharedStrings.xml><?xml version="1.0" encoding="utf-8"?>
<sst xmlns="http://schemas.openxmlformats.org/spreadsheetml/2006/main" count="213" uniqueCount="77">
  <si>
    <t>GASTOS</t>
  </si>
  <si>
    <t>VALOR</t>
  </si>
  <si>
    <t>Peajes (8)</t>
  </si>
  <si>
    <t>Combustible</t>
  </si>
  <si>
    <t xml:space="preserve">Estadia en Hotel </t>
  </si>
  <si>
    <t>Alimentación</t>
  </si>
  <si>
    <t>Precio por noche y por persona 75.000</t>
  </si>
  <si>
    <t>Desayunos: 12.000 por persona</t>
  </si>
  <si>
    <t>Almuerzos: 20.000 por persona</t>
  </si>
  <si>
    <t>Total alimentación</t>
  </si>
  <si>
    <t>PREPARACIÓN PARA EL EVENTO</t>
  </si>
  <si>
    <t>Asesor comercial o de ventas</t>
  </si>
  <si>
    <t>Publicista</t>
  </si>
  <si>
    <t>Por diseño del stand y poster</t>
  </si>
  <si>
    <t>Arriendo stand</t>
  </si>
  <si>
    <t>Arriendo evento completo</t>
  </si>
  <si>
    <t>Tarjetas de presentación</t>
  </si>
  <si>
    <t>Paquetes de 100 tarjetas</t>
  </si>
  <si>
    <t>Cenas: 10.000 por persona</t>
  </si>
  <si>
    <t>Comidas extras: 20.000 por persona</t>
  </si>
  <si>
    <t>Producto</t>
  </si>
  <si>
    <t>Aretes (par)</t>
  </si>
  <si>
    <t>Bolso pequeño</t>
  </si>
  <si>
    <t>Bolso tipo baul</t>
  </si>
  <si>
    <t>Cartera manos libres</t>
  </si>
  <si>
    <t>Sombrero premium (27 fibras)</t>
  </si>
  <si>
    <t>Total preparación para el evento</t>
  </si>
  <si>
    <t>Total Estadia</t>
  </si>
  <si>
    <t>Total traslado</t>
  </si>
  <si>
    <t>EXPOARTESANIAS EN BOGOTÁ - 05/12 AL 18/12</t>
  </si>
  <si>
    <t>TRASLADO (724,2 km  por carretera)</t>
  </si>
  <si>
    <t>Viaje de ida en carro grande para transporte de mercancia(15H)</t>
  </si>
  <si>
    <t>Viaje de vuelta en carro grande para transporte de mercancia(15H)</t>
  </si>
  <si>
    <t>ESTADIA EN BOGOTÁ (15 días - 14 noches)</t>
  </si>
  <si>
    <t>EXPOARTESANIAS BOGOTÁ 2026</t>
  </si>
  <si>
    <t>VALOR PROYECTADO</t>
  </si>
  <si>
    <t>INFLACIÓN PROYECTADA 2026</t>
  </si>
  <si>
    <t>Precio por noche y por persona 80.000</t>
  </si>
  <si>
    <t>FERIA ARTESANAL DE MANIZALES 2026 - 02/01 AL 12/01</t>
  </si>
  <si>
    <t>TRASLADO (683,47 km  por carretera)</t>
  </si>
  <si>
    <t>Viaje de ida en carro grande para transporte de mercancia (14H)</t>
  </si>
  <si>
    <t>Viaje de vuelta en carro grande para transporte de mercancia(14H)</t>
  </si>
  <si>
    <t>Peajes (11)</t>
  </si>
  <si>
    <t>ESTADIA EN MANIZALES (12 días - 11 noches)</t>
  </si>
  <si>
    <t>RECOPILACIÓN DE GASTOS</t>
  </si>
  <si>
    <t>EVENTO</t>
  </si>
  <si>
    <t>BOGOTÁ - 05/12 AL 18/12</t>
  </si>
  <si>
    <t>BOGOTÁ - 2026</t>
  </si>
  <si>
    <t>MANIZALES 2026 - 02/01 AL 12/01</t>
  </si>
  <si>
    <t>Viaje de ida en carro grande para transporte de mercancia</t>
  </si>
  <si>
    <t>Viaje de vuelta en carro grande para transporte de mercancia</t>
  </si>
  <si>
    <t xml:space="preserve">TRASLADO </t>
  </si>
  <si>
    <t>Total traslados</t>
  </si>
  <si>
    <t>ESTADIA</t>
  </si>
  <si>
    <t>Total gastos asistencia a evento</t>
  </si>
  <si>
    <t>Diseñador</t>
  </si>
  <si>
    <t xml:space="preserve">INGRESOS </t>
  </si>
  <si>
    <t>VENTAS POR EVENTO</t>
  </si>
  <si>
    <t>Pulsera de caña flecha</t>
  </si>
  <si>
    <t>Sombrero estándar (21 fibras)</t>
  </si>
  <si>
    <t>Precio unitario</t>
  </si>
  <si>
    <t>Ventas totales</t>
  </si>
  <si>
    <t>Elaboración minima sugerida</t>
  </si>
  <si>
    <t>Costo unitario</t>
  </si>
  <si>
    <t>Costos totales</t>
  </si>
  <si>
    <t>Ventas netas por evento</t>
  </si>
  <si>
    <t>TABLA 1: Precios sugeridos por productos</t>
  </si>
  <si>
    <t>Asesoria para evento (2H)</t>
  </si>
  <si>
    <t>Elaboración Final</t>
  </si>
  <si>
    <t>Utilidad bruta final</t>
  </si>
  <si>
    <t>Utilidad bruta minima</t>
  </si>
  <si>
    <t>RECOPILACIÓN DE VENTAS</t>
  </si>
  <si>
    <t>Costo_unitario (COP)</t>
  </si>
  <si>
    <t>Precio_venta (COP)</t>
  </si>
  <si>
    <t>Utilidad Bruta (COP)</t>
  </si>
  <si>
    <t>UTILIDAD NETA</t>
  </si>
  <si>
    <r>
      <rPr>
        <b/>
        <u/>
        <sz val="11"/>
        <color theme="1"/>
        <rFont val="Aptos Narrow"/>
        <family val="2"/>
        <scheme val="minor"/>
      </rPr>
      <t>Realizado por:</t>
    </r>
    <r>
      <rPr>
        <sz val="11"/>
        <color theme="1"/>
        <rFont val="Aptos Narrow"/>
        <family val="2"/>
        <scheme val="minor"/>
      </rPr>
      <t xml:space="preserve"> Santiago Esteban Galindo Neira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</si>
</sst>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11"/>
      <color theme="1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9">
    <xf numFmtId="0" fontId="0" fillId="0" borderId="0" xfId="0"/>
    <xf numFmtId="44" fontId="0" fillId="0" borderId="0" xfId="1" applyFont="1"/>
    <xf numFmtId="0" fontId="0" fillId="0" borderId="0" xfId="0" applyAlignment="1">
      <alignment horizontal="left"/>
    </xf>
    <xf numFmtId="0" fontId="3" fillId="0" borderId="0" xfId="0" applyFont="1"/>
    <xf numFmtId="44" fontId="3" fillId="0" borderId="0" xfId="1" applyFont="1"/>
    <xf numFmtId="0" fontId="0" fillId="0" borderId="3" xfId="0" applyBorder="1"/>
    <xf numFmtId="44" fontId="0" fillId="0" borderId="4" xfId="1" applyFont="1" applyBorder="1"/>
    <xf numFmtId="44" fontId="0" fillId="0" borderId="6" xfId="1" applyFont="1" applyBorder="1"/>
    <xf numFmtId="0" fontId="3" fillId="0" borderId="8" xfId="0" applyFont="1" applyBorder="1"/>
    <xf numFmtId="44" fontId="3" fillId="0" borderId="9" xfId="1" applyFont="1" applyBorder="1"/>
    <xf numFmtId="0" fontId="0" fillId="0" borderId="10" xfId="0" applyBorder="1" applyAlignment="1">
      <alignment horizontal="left"/>
    </xf>
    <xf numFmtId="0" fontId="0" fillId="0" borderId="11" xfId="0" applyBorder="1"/>
    <xf numFmtId="44" fontId="0" fillId="0" borderId="12" xfId="1" applyFont="1" applyBorder="1"/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/>
    <xf numFmtId="44" fontId="1" fillId="0" borderId="9" xfId="1" applyFont="1" applyBorder="1"/>
    <xf numFmtId="0" fontId="3" fillId="0" borderId="11" xfId="0" applyFont="1" applyBorder="1"/>
    <xf numFmtId="44" fontId="3" fillId="0" borderId="12" xfId="1" applyFont="1" applyBorder="1"/>
    <xf numFmtId="0" fontId="3" fillId="0" borderId="0" xfId="0" applyFont="1" applyAlignment="1">
      <alignment horizontal="left"/>
    </xf>
    <xf numFmtId="0" fontId="0" fillId="0" borderId="13" xfId="0" applyBorder="1" applyAlignment="1">
      <alignment horizontal="left"/>
    </xf>
    <xf numFmtId="0" fontId="0" fillId="0" borderId="13" xfId="0" applyBorder="1"/>
    <xf numFmtId="44" fontId="0" fillId="0" borderId="13" xfId="1" applyFont="1" applyBorder="1"/>
    <xf numFmtId="0" fontId="6" fillId="0" borderId="0" xfId="0" applyFont="1" applyAlignment="1">
      <alignment horizontal="left"/>
    </xf>
    <xf numFmtId="10" fontId="6" fillId="0" borderId="0" xfId="0" applyNumberFormat="1" applyFont="1"/>
    <xf numFmtId="0" fontId="3" fillId="2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0" fontId="3" fillId="4" borderId="0" xfId="0" applyFont="1" applyFill="1" applyAlignment="1">
      <alignment horizontal="left"/>
    </xf>
    <xf numFmtId="11" fontId="0" fillId="0" borderId="0" xfId="0" applyNumberFormat="1"/>
    <xf numFmtId="0" fontId="2" fillId="6" borderId="0" xfId="0" applyFont="1" applyFill="1" applyAlignment="1">
      <alignment horizontal="left"/>
    </xf>
    <xf numFmtId="44" fontId="2" fillId="6" borderId="0" xfId="0" applyNumberFormat="1" applyFont="1" applyFill="1"/>
    <xf numFmtId="0" fontId="3" fillId="5" borderId="1" xfId="0" applyFont="1" applyFill="1" applyBorder="1" applyAlignment="1">
      <alignment horizontal="center"/>
    </xf>
    <xf numFmtId="44" fontId="0" fillId="0" borderId="3" xfId="1" applyFont="1" applyBorder="1"/>
    <xf numFmtId="44" fontId="0" fillId="0" borderId="0" xfId="1" applyFont="1" applyBorder="1"/>
    <xf numFmtId="44" fontId="0" fillId="7" borderId="8" xfId="0" applyNumberFormat="1" applyFill="1" applyBorder="1"/>
    <xf numFmtId="44" fontId="0" fillId="7" borderId="9" xfId="0" applyNumberFormat="1" applyFill="1" applyBorder="1"/>
    <xf numFmtId="44" fontId="0" fillId="0" borderId="8" xfId="1" applyFont="1" applyBorder="1"/>
    <xf numFmtId="44" fontId="0" fillId="0" borderId="9" xfId="1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44" fontId="3" fillId="0" borderId="11" xfId="1" applyFon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3" fillId="0" borderId="1" xfId="0" applyFont="1" applyBorder="1" applyAlignment="1">
      <alignment horizontal="center"/>
    </xf>
    <xf numFmtId="9" fontId="0" fillId="0" borderId="0" xfId="2" applyFont="1"/>
    <xf numFmtId="44" fontId="0" fillId="0" borderId="0" xfId="2" applyNumberFormat="1" applyFont="1"/>
    <xf numFmtId="44" fontId="0" fillId="0" borderId="6" xfId="2" applyNumberFormat="1" applyFont="1" applyBorder="1"/>
    <xf numFmtId="44" fontId="0" fillId="0" borderId="9" xfId="2" applyNumberFormat="1" applyFont="1" applyBorder="1"/>
    <xf numFmtId="44" fontId="0" fillId="0" borderId="6" xfId="0" applyNumberFormat="1" applyBorder="1"/>
    <xf numFmtId="44" fontId="0" fillId="0" borderId="9" xfId="0" applyNumberForma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2" fillId="6" borderId="0" xfId="0" applyFont="1" applyFill="1"/>
    <xf numFmtId="0" fontId="2" fillId="0" borderId="0" xfId="0" applyFont="1"/>
    <xf numFmtId="44" fontId="3" fillId="0" borderId="12" xfId="1" applyFont="1" applyBorder="1" applyAlignment="1">
      <alignment horizontal="center"/>
    </xf>
    <xf numFmtId="44" fontId="0" fillId="0" borderId="2" xfId="1" applyFont="1" applyBorder="1"/>
    <xf numFmtId="44" fontId="0" fillId="0" borderId="4" xfId="2" applyNumberFormat="1" applyFont="1" applyBorder="1"/>
    <xf numFmtId="44" fontId="0" fillId="0" borderId="5" xfId="1" applyFont="1" applyBorder="1"/>
    <xf numFmtId="44" fontId="0" fillId="0" borderId="7" xfId="1" applyFont="1" applyBorder="1"/>
    <xf numFmtId="0" fontId="0" fillId="0" borderId="5" xfId="0" applyBorder="1"/>
    <xf numFmtId="0" fontId="0" fillId="0" borderId="7" xfId="0" applyBorder="1"/>
    <xf numFmtId="0" fontId="3" fillId="0" borderId="2" xfId="0" applyFont="1" applyBorder="1" applyAlignment="1">
      <alignment horizontal="left"/>
    </xf>
    <xf numFmtId="0" fontId="3" fillId="7" borderId="7" xfId="0" applyFont="1" applyFill="1" applyBorder="1" applyAlignment="1">
      <alignment horizontal="left"/>
    </xf>
    <xf numFmtId="44" fontId="3" fillId="8" borderId="16" xfId="1" applyFont="1" applyFill="1" applyBorder="1" applyAlignment="1">
      <alignment horizontal="center"/>
    </xf>
    <xf numFmtId="0" fontId="3" fillId="8" borderId="16" xfId="0" applyFont="1" applyFill="1" applyBorder="1" applyAlignment="1">
      <alignment horizontal="center"/>
    </xf>
    <xf numFmtId="44" fontId="0" fillId="7" borderId="0" xfId="1" applyFont="1" applyFill="1" applyBorder="1"/>
    <xf numFmtId="44" fontId="0" fillId="7" borderId="5" xfId="1" applyFont="1" applyFill="1" applyBorder="1"/>
    <xf numFmtId="44" fontId="0" fillId="7" borderId="6" xfId="1" applyFont="1" applyFill="1" applyBorder="1"/>
    <xf numFmtId="44" fontId="0" fillId="7" borderId="7" xfId="0" applyNumberFormat="1" applyFill="1" applyBorder="1"/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164" fontId="0" fillId="0" borderId="0" xfId="1" applyNumberFormat="1" applyFont="1"/>
    <xf numFmtId="0" fontId="3" fillId="7" borderId="0" xfId="0" applyFont="1" applyFill="1"/>
    <xf numFmtId="164" fontId="3" fillId="7" borderId="0" xfId="0" applyNumberFormat="1" applyFont="1" applyFill="1"/>
    <xf numFmtId="0" fontId="0" fillId="0" borderId="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'GASTOS X EVENTO'!$A$89</c:f>
              <c:strCache>
                <c:ptCount val="1"/>
                <c:pt idx="0">
                  <c:v>Asesor comercial o de ventas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'GASTOS X EVENTO'!$B$87:$D$87</c:f>
              <c:strCache>
                <c:ptCount val="3"/>
                <c:pt idx="0">
                  <c:v> BOGOTÁ - 05/12 AL 18/12 </c:v>
                </c:pt>
                <c:pt idx="1">
                  <c:v>MANIZALES 2026 - 02/01 AL 12/01</c:v>
                </c:pt>
                <c:pt idx="2">
                  <c:v> BOGOTÁ - 2026 </c:v>
                </c:pt>
              </c:strCache>
            </c:strRef>
          </c:cat>
          <c:val>
            <c:numRef>
              <c:f>'GASTOS X EVENTO'!$B$89:$D$89</c:f>
              <c:numCache>
                <c:formatCode>_("$"* #,##0.00_);_("$"* \(#,##0.00\);_("$"* "-"??_);_(@_)</c:formatCode>
                <c:ptCount val="3"/>
                <c:pt idx="0">
                  <c:v>440000</c:v>
                </c:pt>
                <c:pt idx="1">
                  <c:v>461120</c:v>
                </c:pt>
                <c:pt idx="2">
                  <c:v>461120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76-4025-B603-E03CD480E091}"/>
            </c:ext>
          </c:extLst>
        </c:ser>
        <c:ser>
          <c:idx val="1"/>
          <c:order val="1"/>
          <c:tx>
            <c:strRef>
              <c:f>'GASTOS X EVENTO'!$A$90</c:f>
              <c:strCache>
                <c:ptCount val="1"/>
                <c:pt idx="0">
                  <c:v>Diseñador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'GASTOS X EVENTO'!$B$87:$D$87</c:f>
              <c:strCache>
                <c:ptCount val="3"/>
                <c:pt idx="0">
                  <c:v> BOGOTÁ - 05/12 AL 18/12 </c:v>
                </c:pt>
                <c:pt idx="1">
                  <c:v>MANIZALES 2026 - 02/01 AL 12/01</c:v>
                </c:pt>
                <c:pt idx="2">
                  <c:v> BOGOTÁ - 2026 </c:v>
                </c:pt>
              </c:strCache>
            </c:strRef>
          </c:cat>
          <c:val>
            <c:numRef>
              <c:f>'GASTOS X EVENTO'!$B$90:$D$90</c:f>
              <c:numCache>
                <c:formatCode>_("$"* #,##0.00_);_("$"* \(#,##0.00\);_("$"* "-"??_);_(@_)</c:formatCode>
                <c:ptCount val="3"/>
                <c:pt idx="0">
                  <c:v>3000000</c:v>
                </c:pt>
                <c:pt idx="1">
                  <c:v>1000000</c:v>
                </c:pt>
                <c:pt idx="2">
                  <c:v>3144000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76-4025-B603-E03CD480E091}"/>
            </c:ext>
          </c:extLst>
        </c:ser>
        <c:ser>
          <c:idx val="2"/>
          <c:order val="2"/>
          <c:tx>
            <c:strRef>
              <c:f>'GASTOS X EVENTO'!$A$91</c:f>
              <c:strCache>
                <c:ptCount val="1"/>
                <c:pt idx="0">
                  <c:v>Arriendo stand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'GASTOS X EVENTO'!$B$87:$D$87</c:f>
              <c:strCache>
                <c:ptCount val="3"/>
                <c:pt idx="0">
                  <c:v> BOGOTÁ - 05/12 AL 18/12 </c:v>
                </c:pt>
                <c:pt idx="1">
                  <c:v>MANIZALES 2026 - 02/01 AL 12/01</c:v>
                </c:pt>
                <c:pt idx="2">
                  <c:v> BOGOTÁ - 2026 </c:v>
                </c:pt>
              </c:strCache>
            </c:strRef>
          </c:cat>
          <c:val>
            <c:numRef>
              <c:f>'GASTOS X EVENTO'!$B$91:$D$91</c:f>
              <c:numCache>
                <c:formatCode>_("$"* #,##0.00_);_("$"* \(#,##0.00\);_("$"* "-"??_);_(@_)</c:formatCode>
                <c:ptCount val="3"/>
                <c:pt idx="0">
                  <c:v>1800000</c:v>
                </c:pt>
                <c:pt idx="1">
                  <c:v>3000000</c:v>
                </c:pt>
                <c:pt idx="2">
                  <c:v>1886400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76-4025-B603-E03CD480E091}"/>
            </c:ext>
          </c:extLst>
        </c:ser>
        <c:ser>
          <c:idx val="3"/>
          <c:order val="3"/>
          <c:tx>
            <c:strRef>
              <c:f>'GASTOS X EVENTO'!$A$92</c:f>
              <c:strCache>
                <c:ptCount val="1"/>
                <c:pt idx="0">
                  <c:v>Tarjetas de presentación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'GASTOS X EVENTO'!$B$87:$D$87</c:f>
              <c:strCache>
                <c:ptCount val="3"/>
                <c:pt idx="0">
                  <c:v> BOGOTÁ - 05/12 AL 18/12 </c:v>
                </c:pt>
                <c:pt idx="1">
                  <c:v>MANIZALES 2026 - 02/01 AL 12/01</c:v>
                </c:pt>
                <c:pt idx="2">
                  <c:v> BOGOTÁ - 2026 </c:v>
                </c:pt>
              </c:strCache>
            </c:strRef>
          </c:cat>
          <c:val>
            <c:numRef>
              <c:f>'GASTOS X EVENTO'!$B$92:$D$92</c:f>
              <c:numCache>
                <c:formatCode>_("$"* #,##0.00_);_("$"* \(#,##0.00\);_("$"* "-"??_);_(@_)</c:formatCode>
                <c:ptCount val="3"/>
                <c:pt idx="0">
                  <c:v>100000</c:v>
                </c:pt>
                <c:pt idx="1">
                  <c:v>104800</c:v>
                </c:pt>
                <c:pt idx="2">
                  <c:v>104800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76-4025-B603-E03CD480E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1816998047"/>
        <c:axId val="1816999007"/>
      </c:barChart>
      <c:catAx>
        <c:axId val="18169980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16999007"/>
        <c:crosses val="autoZero"/>
        <c:auto val="1"/>
        <c:lblAlgn val="ctr"/>
        <c:lblOffset val="100"/>
        <c:noMultiLvlLbl val="0"/>
      </c:catAx>
      <c:valAx>
        <c:axId val="18169990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169980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'VENTAS VS GASTOS'!$A$4</c:f>
              <c:strCache>
                <c:ptCount val="1"/>
                <c:pt idx="0">
                  <c:v> Ventas netas por evento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'VENTAS VS GASTOS'!$B$3:$D$3</c:f>
              <c:strCache>
                <c:ptCount val="3"/>
                <c:pt idx="0">
                  <c:v> BOGOTÁ - 05/12 AL 18/12 </c:v>
                </c:pt>
                <c:pt idx="1">
                  <c:v>MANIZALES 2026 - 02/01 AL 12/01</c:v>
                </c:pt>
                <c:pt idx="2">
                  <c:v> BOGOTÁ - 2026 </c:v>
                </c:pt>
              </c:strCache>
            </c:strRef>
          </c:cat>
          <c:val>
            <c:numRef>
              <c:f>'VENTAS VS GASTOS'!$B$4:$D$4</c:f>
              <c:numCache>
                <c:formatCode>_-"$"\ * #,##0_-;\-"$"\ * #,##0_-;_-"$"\ * "-"??_-;_-@_-</c:formatCode>
                <c:ptCount val="3"/>
                <c:pt idx="0">
                  <c:v>10090000</c:v>
                </c:pt>
                <c:pt idx="1">
                  <c:v>8837260</c:v>
                </c:pt>
                <c:pt idx="2">
                  <c:v>10574320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F0-4BA7-B851-17030CDC7025}"/>
            </c:ext>
          </c:extLst>
        </c:ser>
        <c:ser>
          <c:idx val="1"/>
          <c:order val="1"/>
          <c:tx>
            <c:strRef>
              <c:f>'VENTAS VS GASTOS'!$A$5</c:f>
              <c:strCache>
                <c:ptCount val="1"/>
                <c:pt idx="0">
                  <c:v> Total gastos asistencia a evento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'VENTAS VS GASTOS'!$B$3:$D$3</c:f>
              <c:strCache>
                <c:ptCount val="3"/>
                <c:pt idx="0">
                  <c:v> BOGOTÁ - 05/12 AL 18/12 </c:v>
                </c:pt>
                <c:pt idx="1">
                  <c:v>MANIZALES 2026 - 02/01 AL 12/01</c:v>
                </c:pt>
                <c:pt idx="2">
                  <c:v> BOGOTÁ - 2026 </c:v>
                </c:pt>
              </c:strCache>
            </c:strRef>
          </c:cat>
          <c:val>
            <c:numRef>
              <c:f>'VENTAS VS GASTOS'!$B$5:$D$5</c:f>
              <c:numCache>
                <c:formatCode>_-"$"\ * #,##0_-;\-"$"\ * #,##0_-;_-"$"\ * "-"??_-;_-@_-</c:formatCode>
                <c:ptCount val="3"/>
                <c:pt idx="0">
                  <c:v>10019900</c:v>
                </c:pt>
                <c:pt idx="1">
                  <c:v>8779670.4000000004</c:v>
                </c:pt>
                <c:pt idx="2">
                  <c:v>10520455.199999999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F0-4BA7-B851-17030CDC70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325138416"/>
        <c:axId val="325138896"/>
      </c:barChart>
      <c:catAx>
        <c:axId val="3251384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5138896"/>
        <c:crosses val="autoZero"/>
        <c:auto val="1"/>
        <c:lblAlgn val="ctr"/>
        <c:lblOffset val="100"/>
        <c:noMultiLvlLbl val="0"/>
      </c:catAx>
      <c:valAx>
        <c:axId val="32513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-&quot;$&quot;\ * #,##0_-;\-&quot;$&quot;\ * #,##0_-;_-&quot;$&quot;\ 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25138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'GASTOS X EVENTO'!$A$95</c:f>
              <c:strCache>
                <c:ptCount val="1"/>
                <c:pt idx="0">
                  <c:v>Viaje de ida en carro grande para transporte de mercancia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'GASTOS X EVENTO'!$B$87:$D$87</c:f>
              <c:strCache>
                <c:ptCount val="3"/>
                <c:pt idx="0">
                  <c:v> BOGOTÁ - 05/12 AL 18/12 </c:v>
                </c:pt>
                <c:pt idx="1">
                  <c:v>MANIZALES 2026 - 02/01 AL 12/01</c:v>
                </c:pt>
                <c:pt idx="2">
                  <c:v> BOGOTÁ - 2026 </c:v>
                </c:pt>
              </c:strCache>
            </c:strRef>
          </c:cat>
          <c:val>
            <c:numRef>
              <c:f>'GASTOS X EVENTO'!$B$95:$D$95</c:f>
              <c:numCache>
                <c:formatCode>_("$"* #,##0.00_);_("$"* \(#,##0.00\);_("$"* "-"??_);_(@_)</c:formatCode>
                <c:ptCount val="3"/>
                <c:pt idx="0">
                  <c:v>1349200</c:v>
                </c:pt>
                <c:pt idx="1">
                  <c:v>1254875.2</c:v>
                </c:pt>
                <c:pt idx="2">
                  <c:v>1413961.6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A1-4D67-A1AA-2BD6918DE01F}"/>
            </c:ext>
          </c:extLst>
        </c:ser>
        <c:ser>
          <c:idx val="1"/>
          <c:order val="1"/>
          <c:tx>
            <c:strRef>
              <c:f>'GASTOS X EVENTO'!$A$96</c:f>
              <c:strCache>
                <c:ptCount val="1"/>
                <c:pt idx="0">
                  <c:v>Viaje de vuelta en carro grande para transporte de mercancia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'GASTOS X EVENTO'!$B$87:$D$87</c:f>
              <c:strCache>
                <c:ptCount val="3"/>
                <c:pt idx="0">
                  <c:v> BOGOTÁ - 05/12 AL 18/12 </c:v>
                </c:pt>
                <c:pt idx="1">
                  <c:v>MANIZALES 2026 - 02/01 AL 12/01</c:v>
                </c:pt>
                <c:pt idx="2">
                  <c:v> BOGOTÁ - 2026 </c:v>
                </c:pt>
              </c:strCache>
            </c:strRef>
          </c:cat>
          <c:val>
            <c:numRef>
              <c:f>'GASTOS X EVENTO'!$B$96:$D$96</c:f>
              <c:numCache>
                <c:formatCode>_("$"* #,##0.00_);_("$"* \(#,##0.00\);_("$"* "-"??_);_(@_)</c:formatCode>
                <c:ptCount val="3"/>
                <c:pt idx="0">
                  <c:v>1350700</c:v>
                </c:pt>
                <c:pt idx="1">
                  <c:v>1254875.2</c:v>
                </c:pt>
                <c:pt idx="2">
                  <c:v>1415533.6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A1-4D67-A1AA-2BD6918DE0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818237311"/>
        <c:axId val="1818237791"/>
        <c:axId val="0"/>
      </c:bar3DChart>
      <c:catAx>
        <c:axId val="1818237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18237791"/>
        <c:crosses val="autoZero"/>
        <c:auto val="1"/>
        <c:lblAlgn val="ctr"/>
        <c:lblOffset val="100"/>
        <c:noMultiLvlLbl val="0"/>
      </c:catAx>
      <c:valAx>
        <c:axId val="18182377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1823731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'GASTOS X EVENTO'!$A$99</c:f>
              <c:strCache>
                <c:ptCount val="1"/>
                <c:pt idx="0">
                  <c:v>Estadia en Hotel </c:v>
                </c:pt>
              </c:strCache>
            </c:strRef>
          </c:tx>
          <c:spPr>
            <a:solidFill>
              <a:schemeClr val="accent3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'GASTOS X EVENTO'!$B$87:$D$87</c:f>
              <c:strCache>
                <c:ptCount val="3"/>
                <c:pt idx="0">
                  <c:v> BOGOTÁ - 05/12 AL 18/12 </c:v>
                </c:pt>
                <c:pt idx="1">
                  <c:v>MANIZALES 2026 - 02/01 AL 12/01</c:v>
                </c:pt>
                <c:pt idx="2">
                  <c:v> BOGOTÁ - 2026 </c:v>
                </c:pt>
              </c:strCache>
            </c:strRef>
          </c:cat>
          <c:val>
            <c:numRef>
              <c:f>'GASTOS X EVENTO'!$B$99:$D$99</c:f>
              <c:numCache>
                <c:formatCode>_("$"* #,##0.00_);_("$"* \(#,##0.00\);_("$"* "-"??_);_(@_)</c:formatCode>
                <c:ptCount val="3"/>
                <c:pt idx="0">
                  <c:v>1050000</c:v>
                </c:pt>
                <c:pt idx="1">
                  <c:v>960000</c:v>
                </c:pt>
                <c:pt idx="2">
                  <c:v>1120000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B2-43BB-BA29-52086117300A}"/>
            </c:ext>
          </c:extLst>
        </c:ser>
        <c:ser>
          <c:idx val="1"/>
          <c:order val="1"/>
          <c:tx>
            <c:strRef>
              <c:f>'GASTOS X EVENTO'!$A$100</c:f>
              <c:strCache>
                <c:ptCount val="1"/>
                <c:pt idx="0">
                  <c:v>Alimentación</c:v>
                </c:pt>
              </c:strCache>
            </c:strRef>
          </c:tx>
          <c:spPr>
            <a:solidFill>
              <a:schemeClr val="accent3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'GASTOS X EVENTO'!$B$87:$D$87</c:f>
              <c:strCache>
                <c:ptCount val="3"/>
                <c:pt idx="0">
                  <c:v> BOGOTÁ - 05/12 AL 18/12 </c:v>
                </c:pt>
                <c:pt idx="1">
                  <c:v>MANIZALES 2026 - 02/01 AL 12/01</c:v>
                </c:pt>
                <c:pt idx="2">
                  <c:v> BOGOTÁ - 2026 </c:v>
                </c:pt>
              </c:strCache>
            </c:strRef>
          </c:cat>
          <c:val>
            <c:numRef>
              <c:f>'GASTOS X EVENTO'!$B$100:$D$100</c:f>
              <c:numCache>
                <c:formatCode>_("$"* #,##0.00_);_("$"* \(#,##0.00\);_("$"* "-"??_);_(@_)</c:formatCode>
                <c:ptCount val="3"/>
                <c:pt idx="0">
                  <c:v>930000</c:v>
                </c:pt>
                <c:pt idx="1">
                  <c:v>744000</c:v>
                </c:pt>
                <c:pt idx="2">
                  <c:v>974640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B2-43BB-BA29-5208611730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1801996095"/>
        <c:axId val="44440447"/>
      </c:barChart>
      <c:catAx>
        <c:axId val="18019960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4440447"/>
        <c:crosses val="autoZero"/>
        <c:auto val="1"/>
        <c:lblAlgn val="ctr"/>
        <c:lblOffset val="100"/>
        <c:noMultiLvlLbl val="0"/>
      </c:catAx>
      <c:valAx>
        <c:axId val="44440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01996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strRef>
              <c:f>'GASTOS X EVENTO'!$A$103</c:f>
              <c:strCache>
                <c:ptCount val="1"/>
                <c:pt idx="0">
                  <c:v>Total gastos asistencia a evento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788-49CE-A8D5-37ABF909B8B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788-49CE-A8D5-37ABF909B8B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AE46-4063-B860-AEC8554DFC2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'GASTOS X EVENTO'!$B$87:$D$87</c:f>
              <c:strCache>
                <c:ptCount val="3"/>
                <c:pt idx="0">
                  <c:v> BOGOTÁ - 05/12 AL 18/12 </c:v>
                </c:pt>
                <c:pt idx="1">
                  <c:v>MANIZALES 2026 - 02/01 AL 12/01</c:v>
                </c:pt>
                <c:pt idx="2">
                  <c:v> BOGOTÁ - 2026 </c:v>
                </c:pt>
              </c:strCache>
            </c:strRef>
          </c:cat>
          <c:val>
            <c:numRef>
              <c:f>'GASTOS X EVENTO'!$B$103:$D$103</c:f>
              <c:numCache>
                <c:formatCode>_("$"* #,##0.00_);_("$"* \(#,##0.00\);_("$"* "-"??_);_(@_)</c:formatCode>
                <c:ptCount val="3"/>
                <c:pt idx="0">
                  <c:v>10019900</c:v>
                </c:pt>
                <c:pt idx="1">
                  <c:v>8779670.4000000004</c:v>
                </c:pt>
                <c:pt idx="2">
                  <c:v>10520455.199999999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BAC-4A12-B938-201AB553880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3006-4B2C-BCFB-74AEB929578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3006-4B2C-BCFB-74AEB929578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3006-4B2C-BCFB-74AEB929578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3006-4B2C-BCFB-74AEB929578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3006-4B2C-BCFB-74AEB9295787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3006-4B2C-BCFB-74AEB9295787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3006-4B2C-BCFB-74AEB9295787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VENTAS!$A$50:$A$56</c:f>
              <c:strCache>
                <c:ptCount val="7"/>
                <c:pt idx="0">
                  <c:v>Pulsera de caña flecha</c:v>
                </c:pt>
                <c:pt idx="1">
                  <c:v>Aretes (par)</c:v>
                </c:pt>
                <c:pt idx="2">
                  <c:v>Bolso pequeño</c:v>
                </c:pt>
                <c:pt idx="3">
                  <c:v>Bolso tipo baul</c:v>
                </c:pt>
                <c:pt idx="4">
                  <c:v>Cartera manos libres</c:v>
                </c:pt>
                <c:pt idx="5">
                  <c:v>Sombrero estándar (21 fibras)</c:v>
                </c:pt>
                <c:pt idx="6">
                  <c:v>Sombrero premium (27 fibras)</c:v>
                </c:pt>
              </c:strCache>
            </c:strRef>
          </c:cat>
          <c:val>
            <c:numRef>
              <c:f>VENTAS!$B$50:$B$56</c:f>
              <c:numCache>
                <c:formatCode>_("$"* #,##0.00_);_("$"* \(#,##0.00\);_("$"* "-"??_);_(@_)</c:formatCode>
                <c:ptCount val="7"/>
                <c:pt idx="0">
                  <c:v>500000</c:v>
                </c:pt>
                <c:pt idx="1">
                  <c:v>1100000</c:v>
                </c:pt>
                <c:pt idx="2">
                  <c:v>1000000</c:v>
                </c:pt>
                <c:pt idx="3">
                  <c:v>1160000</c:v>
                </c:pt>
                <c:pt idx="4">
                  <c:v>1690000</c:v>
                </c:pt>
                <c:pt idx="5">
                  <c:v>2000000</c:v>
                </c:pt>
                <c:pt idx="6">
                  <c:v>2640000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A1-4C75-8300-3EE260A50F2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112A-45A8-BBD1-E65892A0BA6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112A-45A8-BBD1-E65892A0BA6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112A-45A8-BBD1-E65892A0BA6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112A-45A8-BBD1-E65892A0BA64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112A-45A8-BBD1-E65892A0BA64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112A-45A8-BBD1-E65892A0BA64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112A-45A8-BBD1-E65892A0BA64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VENTAS!$A$50:$A$56</c:f>
              <c:strCache>
                <c:ptCount val="7"/>
                <c:pt idx="0">
                  <c:v>Pulsera de caña flecha</c:v>
                </c:pt>
                <c:pt idx="1">
                  <c:v>Aretes (par)</c:v>
                </c:pt>
                <c:pt idx="2">
                  <c:v>Bolso pequeño</c:v>
                </c:pt>
                <c:pt idx="3">
                  <c:v>Bolso tipo baul</c:v>
                </c:pt>
                <c:pt idx="4">
                  <c:v>Cartera manos libres</c:v>
                </c:pt>
                <c:pt idx="5">
                  <c:v>Sombrero estándar (21 fibras)</c:v>
                </c:pt>
                <c:pt idx="6">
                  <c:v>Sombrero premium (27 fibras)</c:v>
                </c:pt>
              </c:strCache>
            </c:strRef>
          </c:cat>
          <c:val>
            <c:numRef>
              <c:f>VENTAS!$D$50:$D$56</c:f>
              <c:numCache>
                <c:formatCode>_("$"* #,##0.00_);_("$"* \(#,##0.00\);_("$"* "-"??_);_(@_)</c:formatCode>
                <c:ptCount val="7"/>
                <c:pt idx="0">
                  <c:v>524000</c:v>
                </c:pt>
                <c:pt idx="1">
                  <c:v>1152800</c:v>
                </c:pt>
                <c:pt idx="2">
                  <c:v>1048000</c:v>
                </c:pt>
                <c:pt idx="3">
                  <c:v>1215680</c:v>
                </c:pt>
                <c:pt idx="4">
                  <c:v>1771120</c:v>
                </c:pt>
                <c:pt idx="5">
                  <c:v>2096000</c:v>
                </c:pt>
                <c:pt idx="6">
                  <c:v>2766720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0D-4B77-BD45-ADEB8211C811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B80C-44FE-9B95-FCE2DD10C83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80C-44FE-9B95-FCE2DD10C83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B80C-44FE-9B95-FCE2DD10C83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B80C-44FE-9B95-FCE2DD10C83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B80C-44FE-9B95-FCE2DD10C83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B80C-44FE-9B95-FCE2DD10C83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B80C-44FE-9B95-FCE2DD10C838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VENTAS!$A$50:$A$56</c:f>
              <c:strCache>
                <c:ptCount val="7"/>
                <c:pt idx="0">
                  <c:v>Pulsera de caña flecha</c:v>
                </c:pt>
                <c:pt idx="1">
                  <c:v>Aretes (par)</c:v>
                </c:pt>
                <c:pt idx="2">
                  <c:v>Bolso pequeño</c:v>
                </c:pt>
                <c:pt idx="3">
                  <c:v>Bolso tipo baul</c:v>
                </c:pt>
                <c:pt idx="4">
                  <c:v>Cartera manos libres</c:v>
                </c:pt>
                <c:pt idx="5">
                  <c:v>Sombrero estándar (21 fibras)</c:v>
                </c:pt>
                <c:pt idx="6">
                  <c:v>Sombrero premium (27 fibras)</c:v>
                </c:pt>
              </c:strCache>
            </c:strRef>
          </c:cat>
          <c:val>
            <c:numRef>
              <c:f>VENTAS!$C$50:$C$56</c:f>
              <c:numCache>
                <c:formatCode>_("$"* #,##0.00_);_("$"* \(#,##0.00\);_("$"* "-"??_);_(@_)</c:formatCode>
                <c:ptCount val="7"/>
                <c:pt idx="0">
                  <c:v>366800</c:v>
                </c:pt>
                <c:pt idx="1">
                  <c:v>806960</c:v>
                </c:pt>
                <c:pt idx="2">
                  <c:v>786000</c:v>
                </c:pt>
                <c:pt idx="3">
                  <c:v>1139700</c:v>
                </c:pt>
                <c:pt idx="4">
                  <c:v>1362400</c:v>
                </c:pt>
                <c:pt idx="5">
                  <c:v>1781600</c:v>
                </c:pt>
                <c:pt idx="6">
                  <c:v>2593800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FD-497D-93D2-5A249D675C1C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VENTAS!$A$58</c:f>
              <c:strCache>
                <c:ptCount val="1"/>
                <c:pt idx="0">
                  <c:v>Ventas netas por evento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VENTAS!$B$49:$D$49</c:f>
              <c:strCache>
                <c:ptCount val="3"/>
                <c:pt idx="0">
                  <c:v>BOGOTÁ - 05/12 AL 18/12</c:v>
                </c:pt>
                <c:pt idx="1">
                  <c:v>MANIZALES 2026 - 02/01 AL 12/01</c:v>
                </c:pt>
                <c:pt idx="2">
                  <c:v>BOGOTÁ - 2026</c:v>
                </c:pt>
              </c:strCache>
            </c:strRef>
          </c:cat>
          <c:val>
            <c:numRef>
              <c:f>VENTAS!$B$58:$D$58</c:f>
              <c:numCache>
                <c:formatCode>_("$"* #,##0.00_);_("$"* \(#,##0.00\);_("$"* "-"??_);_(@_)</c:formatCode>
                <c:ptCount val="3"/>
                <c:pt idx="0">
                  <c:v>10090000</c:v>
                </c:pt>
                <c:pt idx="1">
                  <c:v>8837260</c:v>
                </c:pt>
                <c:pt idx="2">
                  <c:v>10574320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5A-4AE8-9731-D079CC3DD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0248623"/>
        <c:axId val="50249103"/>
        <c:axId val="0"/>
      </c:bar3DChart>
      <c:catAx>
        <c:axId val="502486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49103"/>
        <c:crosses val="autoZero"/>
        <c:auto val="1"/>
        <c:lblAlgn val="ctr"/>
        <c:lblOffset val="100"/>
        <c:noMultiLvlLbl val="0"/>
      </c:catAx>
      <c:valAx>
        <c:axId val="50249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024862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VENTAS!$B$49</c:f>
              <c:strCache>
                <c:ptCount val="1"/>
                <c:pt idx="0">
                  <c:v>BOGOTÁ - 05/12 AL 18/12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VENTAS!$A$50:$A$56</c:f>
              <c:strCache>
                <c:ptCount val="7"/>
                <c:pt idx="0">
                  <c:v>Pulsera de caña flecha</c:v>
                </c:pt>
                <c:pt idx="1">
                  <c:v>Aretes (par)</c:v>
                </c:pt>
                <c:pt idx="2">
                  <c:v>Bolso pequeño</c:v>
                </c:pt>
                <c:pt idx="3">
                  <c:v>Bolso tipo baul</c:v>
                </c:pt>
                <c:pt idx="4">
                  <c:v>Cartera manos libres</c:v>
                </c:pt>
                <c:pt idx="5">
                  <c:v>Sombrero estándar (21 fibras)</c:v>
                </c:pt>
                <c:pt idx="6">
                  <c:v>Sombrero premium (27 fibras)</c:v>
                </c:pt>
              </c:strCache>
            </c:strRef>
          </c:cat>
          <c:val>
            <c:numRef>
              <c:f>VENTAS!$B$50:$B$56</c:f>
              <c:numCache>
                <c:formatCode>_("$"* #,##0.00_);_("$"* \(#,##0.00\);_("$"* "-"??_);_(@_)</c:formatCode>
                <c:ptCount val="7"/>
                <c:pt idx="0">
                  <c:v>500000</c:v>
                </c:pt>
                <c:pt idx="1">
                  <c:v>1100000</c:v>
                </c:pt>
                <c:pt idx="2">
                  <c:v>1000000</c:v>
                </c:pt>
                <c:pt idx="3">
                  <c:v>1160000</c:v>
                </c:pt>
                <c:pt idx="4">
                  <c:v>1690000</c:v>
                </c:pt>
                <c:pt idx="5">
                  <c:v>2000000</c:v>
                </c:pt>
                <c:pt idx="6">
                  <c:v>2640000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EC-4579-A1F9-FE84FC46A038}"/>
            </c:ext>
          </c:extLst>
        </c:ser>
        <c:ser>
          <c:idx val="1"/>
          <c:order val="1"/>
          <c:tx>
            <c:strRef>
              <c:f>VENTAS!$C$49</c:f>
              <c:strCache>
                <c:ptCount val="1"/>
                <c:pt idx="0">
                  <c:v>MANIZALES 2026 - 02/01 AL 12/01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VENTAS!$A$50:$A$56</c:f>
              <c:strCache>
                <c:ptCount val="7"/>
                <c:pt idx="0">
                  <c:v>Pulsera de caña flecha</c:v>
                </c:pt>
                <c:pt idx="1">
                  <c:v>Aretes (par)</c:v>
                </c:pt>
                <c:pt idx="2">
                  <c:v>Bolso pequeño</c:v>
                </c:pt>
                <c:pt idx="3">
                  <c:v>Bolso tipo baul</c:v>
                </c:pt>
                <c:pt idx="4">
                  <c:v>Cartera manos libres</c:v>
                </c:pt>
                <c:pt idx="5">
                  <c:v>Sombrero estándar (21 fibras)</c:v>
                </c:pt>
                <c:pt idx="6">
                  <c:v>Sombrero premium (27 fibras)</c:v>
                </c:pt>
              </c:strCache>
            </c:strRef>
          </c:cat>
          <c:val>
            <c:numRef>
              <c:f>VENTAS!$C$50:$C$56</c:f>
              <c:numCache>
                <c:formatCode>_("$"* #,##0.00_);_("$"* \(#,##0.00\);_("$"* "-"??_);_(@_)</c:formatCode>
                <c:ptCount val="7"/>
                <c:pt idx="0">
                  <c:v>366800</c:v>
                </c:pt>
                <c:pt idx="1">
                  <c:v>806960</c:v>
                </c:pt>
                <c:pt idx="2">
                  <c:v>786000</c:v>
                </c:pt>
                <c:pt idx="3">
                  <c:v>1139700</c:v>
                </c:pt>
                <c:pt idx="4">
                  <c:v>1362400</c:v>
                </c:pt>
                <c:pt idx="5">
                  <c:v>1781600</c:v>
                </c:pt>
                <c:pt idx="6">
                  <c:v>2593800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EC-4579-A1F9-FE84FC46A038}"/>
            </c:ext>
          </c:extLst>
        </c:ser>
        <c:ser>
          <c:idx val="2"/>
          <c:order val="2"/>
          <c:tx>
            <c:strRef>
              <c:f>VENTAS!$D$49</c:f>
              <c:strCache>
                <c:ptCount val="1"/>
                <c:pt idx="0">
                  <c:v>BOGOTÁ - 2026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VENTAS!$A$50:$A$56</c:f>
              <c:strCache>
                <c:ptCount val="7"/>
                <c:pt idx="0">
                  <c:v>Pulsera de caña flecha</c:v>
                </c:pt>
                <c:pt idx="1">
                  <c:v>Aretes (par)</c:v>
                </c:pt>
                <c:pt idx="2">
                  <c:v>Bolso pequeño</c:v>
                </c:pt>
                <c:pt idx="3">
                  <c:v>Bolso tipo baul</c:v>
                </c:pt>
                <c:pt idx="4">
                  <c:v>Cartera manos libres</c:v>
                </c:pt>
                <c:pt idx="5">
                  <c:v>Sombrero estándar (21 fibras)</c:v>
                </c:pt>
                <c:pt idx="6">
                  <c:v>Sombrero premium (27 fibras)</c:v>
                </c:pt>
              </c:strCache>
            </c:strRef>
          </c:cat>
          <c:val>
            <c:numRef>
              <c:f>VENTAS!$D$50:$D$56</c:f>
              <c:numCache>
                <c:formatCode>_("$"* #,##0.00_);_("$"* \(#,##0.00\);_("$"* "-"??_);_(@_)</c:formatCode>
                <c:ptCount val="7"/>
                <c:pt idx="0">
                  <c:v>524000</c:v>
                </c:pt>
                <c:pt idx="1">
                  <c:v>1152800</c:v>
                </c:pt>
                <c:pt idx="2">
                  <c:v>1048000</c:v>
                </c:pt>
                <c:pt idx="3">
                  <c:v>1215680</c:v>
                </c:pt>
                <c:pt idx="4">
                  <c:v>1771120</c:v>
                </c:pt>
                <c:pt idx="5">
                  <c:v>2096000</c:v>
                </c:pt>
                <c:pt idx="6">
                  <c:v>2766720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EC-4579-A1F9-FE84FC46A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99"/>
        <c:axId val="211105856"/>
        <c:axId val="211107776"/>
      </c:barChart>
      <c:catAx>
        <c:axId val="2111058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7776"/>
        <c:crosses val="autoZero"/>
        <c:auto val="1"/>
        <c:lblAlgn val="ctr"/>
        <c:lblOffset val="100"/>
        <c:noMultiLvlLbl val="0"/>
      </c:catAx>
      <c:valAx>
        <c:axId val="211107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11105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206374</xdr:colOff>
      <xdr:row>104</xdr:row>
      <xdr:rowOff>76200</xdr:rowOff>
    </xdr:from>
    <xdr:to>
      <xdr:col>1</xdr:col>
      <xdr:colOff>3251200</xdr:colOff>
      <xdr:row>118</xdr:row>
      <xdr:rowOff>57150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579AFBF-AB01-D144-FDF6-4E234D367C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231774</xdr:colOff>
      <xdr:row>119</xdr:row>
      <xdr:rowOff>44450</xdr:rowOff>
    </xdr:from>
    <xdr:to>
      <xdr:col>1</xdr:col>
      <xdr:colOff>3263900</xdr:colOff>
      <xdr:row>133</xdr:row>
      <xdr:rowOff>19050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14D94BE-E3D4-D5DE-AE0E-02B559A143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231774</xdr:colOff>
      <xdr:row>134</xdr:row>
      <xdr:rowOff>63500</xdr:rowOff>
    </xdr:from>
    <xdr:to>
      <xdr:col>1</xdr:col>
      <xdr:colOff>3257549</xdr:colOff>
      <xdr:row>148</xdr:row>
      <xdr:rowOff>25400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70C20F8-4652-9D62-8A18-C4D4E6D576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231774</xdr:colOff>
      <xdr:row>149</xdr:row>
      <xdr:rowOff>31750</xdr:rowOff>
    </xdr:from>
    <xdr:to>
      <xdr:col>1</xdr:col>
      <xdr:colOff>3263899</xdr:colOff>
      <xdr:row>162</xdr:row>
      <xdr:rowOff>152400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8E844D0C-08D4-B99D-AFE8-30512D7BBF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1317624</xdr:colOff>
      <xdr:row>73</xdr:row>
      <xdr:rowOff>57150</xdr:rowOff>
    </xdr:from>
    <xdr:to>
      <xdr:col>4</xdr:col>
      <xdr:colOff>1822449</xdr:colOff>
      <xdr:row>87</xdr:row>
      <xdr:rowOff>88900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935D5A1C-4C9A-A88D-58DA-03F0D578A6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282574</xdr:colOff>
      <xdr:row>88</xdr:row>
      <xdr:rowOff>57150</xdr:rowOff>
    </xdr:from>
    <xdr:to>
      <xdr:col>2</xdr:col>
      <xdr:colOff>971549</xdr:colOff>
      <xdr:row>102</xdr:row>
      <xdr:rowOff>95250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08C38493-F965-B7CB-8CF2-B82047CF89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1317624</xdr:colOff>
      <xdr:row>88</xdr:row>
      <xdr:rowOff>57150</xdr:rowOff>
    </xdr:from>
    <xdr:to>
      <xdr:col>4</xdr:col>
      <xdr:colOff>1841499</xdr:colOff>
      <xdr:row>102</xdr:row>
      <xdr:rowOff>107950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CC17EFAC-F529-DA08-2C78-93776A61A6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276224</xdr:colOff>
      <xdr:row>103</xdr:row>
      <xdr:rowOff>69850</xdr:rowOff>
    </xdr:from>
    <xdr:to>
      <xdr:col>3</xdr:col>
      <xdr:colOff>2095499</xdr:colOff>
      <xdr:row>116</xdr:row>
      <xdr:rowOff>120650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E02A1FF-7E67-A029-5FDA-61D23D1C31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123030</xdr:colOff>
      <xdr:row>58</xdr:row>
      <xdr:rowOff>172244</xdr:rowOff>
    </xdr:from>
    <xdr:to>
      <xdr:col>3</xdr:col>
      <xdr:colOff>1047750</xdr:colOff>
      <xdr:row>72</xdr:row>
      <xdr:rowOff>55563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C7E5769-7288-A021-9BC0-11F9DFB08B8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352424</xdr:colOff>
      <xdr:row>7</xdr:row>
      <xdr:rowOff>12700</xdr:rowOff>
    </xdr:from>
    <xdr:to>
      <xdr:col>3</xdr:col>
      <xdr:colOff>609599</xdr:colOff>
      <xdr:row>19</xdr:row>
      <xdr:rowOff>50800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15ADDD0-DC29-896C-413A-F23BF55BE2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B8DA2-3109-4C79-9B34-9F548BBB843D}">
  <dimension ref="A1:D103"/>
  <sheetViews>
    <sheetView showGridLines="0" tabSelected="1" zoomScale="80" zoomScaleNormal="70" workbookViewId="0">
      <selection sqref="A1:XFD1"/>
    </sheetView>
  </sheetViews>
  <sheetFormatPr baseColWidth="10" defaultRowHeight="14.5" x14ac:dyDescent="0.35"/>
  <cols>
    <col min="1" max="1" width="54.81640625" style="2" bestFit="1" customWidth="1"/>
    <col min="2" max="2" width="47.08984375" bestFit="1" customWidth="1"/>
    <col min="3" max="3" width="29.1796875" style="1" bestFit="1" customWidth="1"/>
    <col min="4" max="4" width="28.90625" customWidth="1"/>
    <col min="5" max="5" width="52.453125" customWidth="1"/>
    <col min="6" max="6" width="24.26953125" bestFit="1" customWidth="1"/>
  </cols>
  <sheetData>
    <row r="1" spans="1:4" x14ac:dyDescent="0.35">
      <c r="A1" s="2" t="s">
        <v>76</v>
      </c>
    </row>
    <row r="3" spans="1:4" x14ac:dyDescent="0.35">
      <c r="A3" s="26" t="s">
        <v>29</v>
      </c>
      <c r="D3" s="1"/>
    </row>
    <row r="4" spans="1:4" x14ac:dyDescent="0.35">
      <c r="D4" s="1"/>
    </row>
    <row r="5" spans="1:4" x14ac:dyDescent="0.35">
      <c r="A5" s="20" t="s">
        <v>0</v>
      </c>
      <c r="B5" s="3"/>
      <c r="C5" s="3" t="s">
        <v>1</v>
      </c>
      <c r="D5" s="1"/>
    </row>
    <row r="6" spans="1:4" x14ac:dyDescent="0.35">
      <c r="A6" s="20" t="s">
        <v>10</v>
      </c>
      <c r="B6" s="3"/>
      <c r="C6" s="4"/>
      <c r="D6" s="1"/>
    </row>
    <row r="7" spans="1:4" x14ac:dyDescent="0.35">
      <c r="A7" s="13" t="s">
        <v>11</v>
      </c>
      <c r="B7" s="5" t="s">
        <v>67</v>
      </c>
      <c r="C7" s="6">
        <v>440000</v>
      </c>
      <c r="D7" s="1"/>
    </row>
    <row r="8" spans="1:4" x14ac:dyDescent="0.35">
      <c r="A8" s="14" t="s">
        <v>12</v>
      </c>
      <c r="B8" t="s">
        <v>13</v>
      </c>
      <c r="C8" s="7">
        <v>3000000</v>
      </c>
      <c r="D8" s="1"/>
    </row>
    <row r="9" spans="1:4" x14ac:dyDescent="0.35">
      <c r="A9" s="14" t="s">
        <v>14</v>
      </c>
      <c r="B9" t="s">
        <v>15</v>
      </c>
      <c r="C9" s="7">
        <v>1800000</v>
      </c>
      <c r="D9" s="1"/>
    </row>
    <row r="10" spans="1:4" x14ac:dyDescent="0.35">
      <c r="A10" s="14" t="s">
        <v>16</v>
      </c>
      <c r="B10" t="s">
        <v>17</v>
      </c>
      <c r="C10" s="7">
        <v>100000</v>
      </c>
    </row>
    <row r="11" spans="1:4" x14ac:dyDescent="0.35">
      <c r="A11" s="15"/>
      <c r="B11" s="8" t="s">
        <v>26</v>
      </c>
      <c r="C11" s="9">
        <f>+SUM(C7:C10)</f>
        <v>5340000</v>
      </c>
    </row>
    <row r="12" spans="1:4" x14ac:dyDescent="0.35">
      <c r="A12" s="20" t="s">
        <v>30</v>
      </c>
    </row>
    <row r="13" spans="1:4" x14ac:dyDescent="0.35">
      <c r="A13" s="80" t="s">
        <v>31</v>
      </c>
      <c r="B13" s="5" t="s">
        <v>2</v>
      </c>
      <c r="C13" s="6">
        <v>153700</v>
      </c>
    </row>
    <row r="14" spans="1:4" x14ac:dyDescent="0.35">
      <c r="A14" s="81"/>
      <c r="B14" t="s">
        <v>3</v>
      </c>
      <c r="C14" s="7">
        <v>1195500</v>
      </c>
    </row>
    <row r="15" spans="1:4" x14ac:dyDescent="0.35">
      <c r="A15" s="82"/>
      <c r="B15" s="8" t="s">
        <v>28</v>
      </c>
      <c r="C15" s="9">
        <f>+C13+C14</f>
        <v>1349200</v>
      </c>
    </row>
    <row r="16" spans="1:4" x14ac:dyDescent="0.35">
      <c r="A16" s="80" t="s">
        <v>32</v>
      </c>
      <c r="B16" s="5" t="s">
        <v>2</v>
      </c>
      <c r="C16" s="6">
        <v>153700</v>
      </c>
    </row>
    <row r="17" spans="1:4" x14ac:dyDescent="0.35">
      <c r="A17" s="81"/>
      <c r="B17" t="s">
        <v>3</v>
      </c>
      <c r="C17" s="7">
        <v>1197000</v>
      </c>
    </row>
    <row r="18" spans="1:4" x14ac:dyDescent="0.35">
      <c r="A18" s="82"/>
      <c r="B18" s="8" t="s">
        <v>28</v>
      </c>
      <c r="C18" s="9">
        <f>+C16+C17</f>
        <v>1350700</v>
      </c>
    </row>
    <row r="19" spans="1:4" x14ac:dyDescent="0.35">
      <c r="A19" s="20" t="s">
        <v>33</v>
      </c>
    </row>
    <row r="20" spans="1:4" x14ac:dyDescent="0.35">
      <c r="A20" s="10" t="s">
        <v>4</v>
      </c>
      <c r="B20" s="11" t="s">
        <v>6</v>
      </c>
      <c r="C20" s="12">
        <f>75000*14</f>
        <v>1050000</v>
      </c>
    </row>
    <row r="21" spans="1:4" x14ac:dyDescent="0.35">
      <c r="A21" s="77" t="s">
        <v>5</v>
      </c>
      <c r="B21" s="5" t="s">
        <v>7</v>
      </c>
      <c r="C21" s="6">
        <f>15*12000</f>
        <v>180000</v>
      </c>
    </row>
    <row r="22" spans="1:4" x14ac:dyDescent="0.35">
      <c r="A22" s="78"/>
      <c r="B22" t="s">
        <v>8</v>
      </c>
      <c r="C22" s="7">
        <f>15*20000</f>
        <v>300000</v>
      </c>
    </row>
    <row r="23" spans="1:4" x14ac:dyDescent="0.35">
      <c r="A23" s="78"/>
      <c r="B23" t="s">
        <v>18</v>
      </c>
      <c r="C23" s="7">
        <f>15*10000</f>
        <v>150000</v>
      </c>
    </row>
    <row r="24" spans="1:4" x14ac:dyDescent="0.35">
      <c r="A24" s="78"/>
      <c r="B24" t="s">
        <v>19</v>
      </c>
      <c r="C24" s="7">
        <f>15*20000</f>
        <v>300000</v>
      </c>
    </row>
    <row r="25" spans="1:4" x14ac:dyDescent="0.35">
      <c r="A25" s="79"/>
      <c r="B25" s="16" t="s">
        <v>9</v>
      </c>
      <c r="C25" s="17">
        <f>+SUM(C21:C24)</f>
        <v>930000</v>
      </c>
    </row>
    <row r="26" spans="1:4" x14ac:dyDescent="0.35">
      <c r="A26" s="10"/>
      <c r="B26" s="18" t="s">
        <v>27</v>
      </c>
      <c r="C26" s="19">
        <f>+C25+C20</f>
        <v>1980000</v>
      </c>
    </row>
    <row r="27" spans="1:4" ht="15" thickBot="1" x14ac:dyDescent="0.4">
      <c r="A27" s="21"/>
      <c r="B27" s="22"/>
      <c r="C27" s="23"/>
      <c r="D27" s="22"/>
    </row>
    <row r="28" spans="1:4" ht="15" thickTop="1" x14ac:dyDescent="0.35">
      <c r="A28"/>
      <c r="B28" s="1"/>
      <c r="D28" s="1"/>
    </row>
    <row r="29" spans="1:4" x14ac:dyDescent="0.35">
      <c r="A29" s="28" t="s">
        <v>38</v>
      </c>
      <c r="D29" s="1"/>
    </row>
    <row r="30" spans="1:4" x14ac:dyDescent="0.35">
      <c r="D30" s="1"/>
    </row>
    <row r="31" spans="1:4" x14ac:dyDescent="0.35">
      <c r="A31" s="24" t="s">
        <v>36</v>
      </c>
      <c r="B31" s="25">
        <v>4.8000000000000001E-2</v>
      </c>
      <c r="D31" s="1"/>
    </row>
    <row r="32" spans="1:4" x14ac:dyDescent="0.35">
      <c r="D32" s="1"/>
    </row>
    <row r="33" spans="1:4" x14ac:dyDescent="0.35">
      <c r="A33" s="20" t="s">
        <v>0</v>
      </c>
      <c r="B33" s="3"/>
      <c r="C33" s="3" t="s">
        <v>35</v>
      </c>
      <c r="D33" s="1"/>
    </row>
    <row r="34" spans="1:4" x14ac:dyDescent="0.35">
      <c r="A34" s="20" t="s">
        <v>10</v>
      </c>
      <c r="B34" s="3"/>
      <c r="C34" s="4"/>
      <c r="D34" s="1"/>
    </row>
    <row r="35" spans="1:4" x14ac:dyDescent="0.35">
      <c r="A35" s="13" t="s">
        <v>11</v>
      </c>
      <c r="B35" s="5" t="s">
        <v>67</v>
      </c>
      <c r="C35" s="6">
        <f>+C7*(1+$B$31)</f>
        <v>461120</v>
      </c>
      <c r="D35" s="1"/>
    </row>
    <row r="36" spans="1:4" x14ac:dyDescent="0.35">
      <c r="A36" s="14" t="s">
        <v>12</v>
      </c>
      <c r="B36" t="s">
        <v>13</v>
      </c>
      <c r="C36" s="7">
        <v>1000000</v>
      </c>
      <c r="D36" s="1"/>
    </row>
    <row r="37" spans="1:4" x14ac:dyDescent="0.35">
      <c r="A37" s="14" t="s">
        <v>14</v>
      </c>
      <c r="B37" t="s">
        <v>15</v>
      </c>
      <c r="C37" s="7">
        <v>3000000</v>
      </c>
      <c r="D37" s="1"/>
    </row>
    <row r="38" spans="1:4" x14ac:dyDescent="0.35">
      <c r="A38" s="14" t="s">
        <v>16</v>
      </c>
      <c r="B38" t="s">
        <v>17</v>
      </c>
      <c r="C38" s="7">
        <f>+C10*(1+$B$31)</f>
        <v>104800</v>
      </c>
    </row>
    <row r="39" spans="1:4" x14ac:dyDescent="0.35">
      <c r="A39" s="15"/>
      <c r="B39" s="8" t="s">
        <v>26</v>
      </c>
      <c r="C39" s="9">
        <f>+SUM(C35:C38)</f>
        <v>4565920</v>
      </c>
    </row>
    <row r="40" spans="1:4" x14ac:dyDescent="0.35">
      <c r="A40" s="20" t="s">
        <v>39</v>
      </c>
    </row>
    <row r="41" spans="1:4" x14ac:dyDescent="0.35">
      <c r="A41" s="80" t="s">
        <v>40</v>
      </c>
      <c r="B41" s="5" t="s">
        <v>42</v>
      </c>
      <c r="C41" s="6">
        <f>172900*(1+$B$31)</f>
        <v>181199.2</v>
      </c>
    </row>
    <row r="42" spans="1:4" x14ac:dyDescent="0.35">
      <c r="A42" s="81"/>
      <c r="B42" t="s">
        <v>3</v>
      </c>
      <c r="C42" s="7">
        <f>1024500*(1+$B$31)</f>
        <v>1073676</v>
      </c>
    </row>
    <row r="43" spans="1:4" x14ac:dyDescent="0.35">
      <c r="A43" s="82"/>
      <c r="B43" s="8" t="s">
        <v>28</v>
      </c>
      <c r="C43" s="9">
        <f>+C41+C42</f>
        <v>1254875.2</v>
      </c>
    </row>
    <row r="44" spans="1:4" x14ac:dyDescent="0.35">
      <c r="A44" s="80" t="s">
        <v>41</v>
      </c>
      <c r="B44" s="5" t="s">
        <v>42</v>
      </c>
      <c r="C44" s="6">
        <f>172900*(1+$B$31)</f>
        <v>181199.2</v>
      </c>
    </row>
    <row r="45" spans="1:4" x14ac:dyDescent="0.35">
      <c r="A45" s="81"/>
      <c r="B45" t="s">
        <v>3</v>
      </c>
      <c r="C45" s="7">
        <f>1024500*(1+$B$31)</f>
        <v>1073676</v>
      </c>
    </row>
    <row r="46" spans="1:4" x14ac:dyDescent="0.35">
      <c r="A46" s="82"/>
      <c r="B46" s="8" t="s">
        <v>28</v>
      </c>
      <c r="C46" s="9">
        <f>+C44+C45</f>
        <v>1254875.2</v>
      </c>
    </row>
    <row r="47" spans="1:4" x14ac:dyDescent="0.35">
      <c r="A47" s="20" t="s">
        <v>43</v>
      </c>
    </row>
    <row r="48" spans="1:4" x14ac:dyDescent="0.35">
      <c r="A48" s="10" t="s">
        <v>4</v>
      </c>
      <c r="B48" s="11" t="s">
        <v>37</v>
      </c>
      <c r="C48" s="12">
        <f>80000*12</f>
        <v>960000</v>
      </c>
    </row>
    <row r="49" spans="1:4" x14ac:dyDescent="0.35">
      <c r="A49" s="77" t="s">
        <v>5</v>
      </c>
      <c r="B49" s="5" t="s">
        <v>7</v>
      </c>
      <c r="C49" s="6">
        <f>12*12000</f>
        <v>144000</v>
      </c>
    </row>
    <row r="50" spans="1:4" x14ac:dyDescent="0.35">
      <c r="A50" s="78"/>
      <c r="B50" t="s">
        <v>8</v>
      </c>
      <c r="C50" s="7">
        <f>12*20000</f>
        <v>240000</v>
      </c>
    </row>
    <row r="51" spans="1:4" x14ac:dyDescent="0.35">
      <c r="A51" s="78"/>
      <c r="B51" t="s">
        <v>18</v>
      </c>
      <c r="C51" s="7">
        <f>12*10000</f>
        <v>120000</v>
      </c>
    </row>
    <row r="52" spans="1:4" x14ac:dyDescent="0.35">
      <c r="A52" s="78"/>
      <c r="B52" t="s">
        <v>19</v>
      </c>
      <c r="C52" s="7">
        <f>12*20000</f>
        <v>240000</v>
      </c>
    </row>
    <row r="53" spans="1:4" x14ac:dyDescent="0.35">
      <c r="A53" s="79"/>
      <c r="B53" s="16" t="s">
        <v>9</v>
      </c>
      <c r="C53" s="17">
        <f>+SUM(C49:C52)</f>
        <v>744000</v>
      </c>
    </row>
    <row r="54" spans="1:4" x14ac:dyDescent="0.35">
      <c r="A54" s="10"/>
      <c r="B54" s="18" t="s">
        <v>27</v>
      </c>
      <c r="C54" s="19">
        <f>+C53+C48</f>
        <v>1704000</v>
      </c>
    </row>
    <row r="55" spans="1:4" ht="15" thickBot="1" x14ac:dyDescent="0.4">
      <c r="A55" s="21"/>
      <c r="B55" s="22"/>
      <c r="C55" s="23"/>
      <c r="D55" s="22"/>
    </row>
    <row r="56" spans="1:4" ht="15" thickTop="1" x14ac:dyDescent="0.35">
      <c r="A56"/>
      <c r="B56" s="1"/>
      <c r="D56" s="1"/>
    </row>
    <row r="57" spans="1:4" x14ac:dyDescent="0.35">
      <c r="A57" s="27" t="s">
        <v>34</v>
      </c>
      <c r="D57" s="1"/>
    </row>
    <row r="58" spans="1:4" x14ac:dyDescent="0.35">
      <c r="D58" s="1"/>
    </row>
    <row r="59" spans="1:4" x14ac:dyDescent="0.35">
      <c r="A59" s="24" t="s">
        <v>36</v>
      </c>
      <c r="B59" s="25">
        <v>4.8000000000000001E-2</v>
      </c>
      <c r="D59" s="1"/>
    </row>
    <row r="60" spans="1:4" x14ac:dyDescent="0.35">
      <c r="B60" s="29"/>
      <c r="D60" s="1"/>
    </row>
    <row r="61" spans="1:4" x14ac:dyDescent="0.35">
      <c r="A61" s="20" t="s">
        <v>0</v>
      </c>
      <c r="B61" s="3"/>
      <c r="C61" s="3" t="s">
        <v>35</v>
      </c>
      <c r="D61" s="1"/>
    </row>
    <row r="62" spans="1:4" x14ac:dyDescent="0.35">
      <c r="A62" s="20" t="s">
        <v>10</v>
      </c>
      <c r="B62" s="3"/>
      <c r="C62" s="4"/>
      <c r="D62" s="1"/>
    </row>
    <row r="63" spans="1:4" x14ac:dyDescent="0.35">
      <c r="A63" s="13" t="s">
        <v>11</v>
      </c>
      <c r="B63" s="5" t="s">
        <v>67</v>
      </c>
      <c r="C63" s="6">
        <f>C7*(1+$B$59)</f>
        <v>461120</v>
      </c>
      <c r="D63" s="1"/>
    </row>
    <row r="64" spans="1:4" x14ac:dyDescent="0.35">
      <c r="A64" s="14" t="s">
        <v>12</v>
      </c>
      <c r="B64" t="s">
        <v>13</v>
      </c>
      <c r="C64" s="7">
        <f>C8*(1+$B$59)</f>
        <v>3144000</v>
      </c>
      <c r="D64" s="1"/>
    </row>
    <row r="65" spans="1:4" x14ac:dyDescent="0.35">
      <c r="A65" s="14" t="s">
        <v>14</v>
      </c>
      <c r="B65" t="s">
        <v>15</v>
      </c>
      <c r="C65" s="7">
        <f>C9*(1+$B$59)</f>
        <v>1886400</v>
      </c>
      <c r="D65" s="1"/>
    </row>
    <row r="66" spans="1:4" x14ac:dyDescent="0.35">
      <c r="A66" s="14" t="s">
        <v>16</v>
      </c>
      <c r="B66" t="s">
        <v>17</v>
      </c>
      <c r="C66" s="7">
        <f>C10*(1+$B$59)</f>
        <v>104800</v>
      </c>
    </row>
    <row r="67" spans="1:4" x14ac:dyDescent="0.35">
      <c r="A67" s="15"/>
      <c r="B67" s="8" t="s">
        <v>26</v>
      </c>
      <c r="C67" s="9">
        <f>+SUM(C63:C66)</f>
        <v>5596320</v>
      </c>
    </row>
    <row r="68" spans="1:4" x14ac:dyDescent="0.35">
      <c r="A68" s="20" t="s">
        <v>30</v>
      </c>
    </row>
    <row r="69" spans="1:4" x14ac:dyDescent="0.35">
      <c r="A69" s="80" t="s">
        <v>31</v>
      </c>
      <c r="B69" s="5" t="s">
        <v>2</v>
      </c>
      <c r="C69" s="6">
        <f>C13*(1+$B$59)</f>
        <v>161077.6</v>
      </c>
    </row>
    <row r="70" spans="1:4" x14ac:dyDescent="0.35">
      <c r="A70" s="81"/>
      <c r="B70" t="s">
        <v>3</v>
      </c>
      <c r="C70" s="7">
        <f>C14*(1+$B$59)</f>
        <v>1252884</v>
      </c>
    </row>
    <row r="71" spans="1:4" x14ac:dyDescent="0.35">
      <c r="A71" s="82"/>
      <c r="B71" s="8" t="s">
        <v>28</v>
      </c>
      <c r="C71" s="9">
        <f>+C69+C70</f>
        <v>1413961.6</v>
      </c>
    </row>
    <row r="72" spans="1:4" x14ac:dyDescent="0.35">
      <c r="A72" s="80" t="s">
        <v>32</v>
      </c>
      <c r="B72" s="5" t="s">
        <v>2</v>
      </c>
      <c r="C72" s="6">
        <f>C16*(1+$B$59)</f>
        <v>161077.6</v>
      </c>
    </row>
    <row r="73" spans="1:4" x14ac:dyDescent="0.35">
      <c r="A73" s="81"/>
      <c r="B73" t="s">
        <v>3</v>
      </c>
      <c r="C73" s="7">
        <f>C17*(1+$B$59)</f>
        <v>1254456</v>
      </c>
    </row>
    <row r="74" spans="1:4" x14ac:dyDescent="0.35">
      <c r="A74" s="82"/>
      <c r="B74" s="8" t="s">
        <v>28</v>
      </c>
      <c r="C74" s="9">
        <f>+C72+C73</f>
        <v>1415533.6</v>
      </c>
    </row>
    <row r="75" spans="1:4" x14ac:dyDescent="0.35">
      <c r="A75" s="20" t="s">
        <v>33</v>
      </c>
    </row>
    <row r="76" spans="1:4" x14ac:dyDescent="0.35">
      <c r="A76" s="10" t="s">
        <v>4</v>
      </c>
      <c r="B76" s="11" t="s">
        <v>37</v>
      </c>
      <c r="C76" s="12">
        <f>80000*14</f>
        <v>1120000</v>
      </c>
    </row>
    <row r="77" spans="1:4" x14ac:dyDescent="0.35">
      <c r="A77" s="77" t="s">
        <v>5</v>
      </c>
      <c r="B77" s="5" t="s">
        <v>7</v>
      </c>
      <c r="C77" s="6">
        <f>C21*(1+$B$59)</f>
        <v>188640</v>
      </c>
    </row>
    <row r="78" spans="1:4" x14ac:dyDescent="0.35">
      <c r="A78" s="78"/>
      <c r="B78" t="s">
        <v>8</v>
      </c>
      <c r="C78" s="7">
        <f>C22*(1+$B$59)</f>
        <v>314400</v>
      </c>
    </row>
    <row r="79" spans="1:4" x14ac:dyDescent="0.35">
      <c r="A79" s="78"/>
      <c r="B79" t="s">
        <v>18</v>
      </c>
      <c r="C79" s="7">
        <f>C23*(1+$B$59)</f>
        <v>157200</v>
      </c>
    </row>
    <row r="80" spans="1:4" x14ac:dyDescent="0.35">
      <c r="A80" s="78"/>
      <c r="B80" t="s">
        <v>19</v>
      </c>
      <c r="C80" s="7">
        <f>C24*(1+$B$59)</f>
        <v>314400</v>
      </c>
    </row>
    <row r="81" spans="1:4" x14ac:dyDescent="0.35">
      <c r="A81" s="79"/>
      <c r="B81" s="16" t="s">
        <v>9</v>
      </c>
      <c r="C81" s="17">
        <f>+SUM(C77:C80)</f>
        <v>974640</v>
      </c>
    </row>
    <row r="82" spans="1:4" x14ac:dyDescent="0.35">
      <c r="A82" s="10"/>
      <c r="B82" s="18" t="s">
        <v>27</v>
      </c>
      <c r="C82" s="19">
        <f>+C81+C76</f>
        <v>2094640</v>
      </c>
    </row>
    <row r="83" spans="1:4" ht="15" thickBot="1" x14ac:dyDescent="0.4">
      <c r="A83" s="21"/>
      <c r="B83" s="22"/>
      <c r="C83" s="23"/>
      <c r="D83" s="22"/>
    </row>
    <row r="84" spans="1:4" ht="15" thickTop="1" x14ac:dyDescent="0.35"/>
    <row r="85" spans="1:4" x14ac:dyDescent="0.35">
      <c r="A85" s="20" t="s">
        <v>44</v>
      </c>
    </row>
    <row r="87" spans="1:4" x14ac:dyDescent="0.35">
      <c r="A87" s="32" t="s">
        <v>45</v>
      </c>
      <c r="B87" s="65" t="s">
        <v>46</v>
      </c>
      <c r="C87" s="66" t="s">
        <v>48</v>
      </c>
      <c r="D87" s="65" t="s">
        <v>47</v>
      </c>
    </row>
    <row r="88" spans="1:4" x14ac:dyDescent="0.35">
      <c r="A88" s="63" t="s">
        <v>10</v>
      </c>
      <c r="B88" s="57"/>
      <c r="C88" s="33"/>
      <c r="D88" s="6"/>
    </row>
    <row r="89" spans="1:4" x14ac:dyDescent="0.35">
      <c r="A89" s="14" t="s">
        <v>11</v>
      </c>
      <c r="B89" s="59">
        <f>+C7</f>
        <v>440000</v>
      </c>
      <c r="C89" s="34">
        <f>+C35</f>
        <v>461120</v>
      </c>
      <c r="D89" s="7">
        <f>+C63</f>
        <v>461120</v>
      </c>
    </row>
    <row r="90" spans="1:4" x14ac:dyDescent="0.35">
      <c r="A90" s="14" t="s">
        <v>55</v>
      </c>
      <c r="B90" s="59">
        <f t="shared" ref="B90:B92" si="0">+C8</f>
        <v>3000000</v>
      </c>
      <c r="C90" s="34">
        <f t="shared" ref="C90:C92" si="1">+C36</f>
        <v>1000000</v>
      </c>
      <c r="D90" s="7">
        <f t="shared" ref="D90:D92" si="2">+C64</f>
        <v>3144000</v>
      </c>
    </row>
    <row r="91" spans="1:4" x14ac:dyDescent="0.35">
      <c r="A91" s="14" t="s">
        <v>14</v>
      </c>
      <c r="B91" s="59">
        <f t="shared" si="0"/>
        <v>1800000</v>
      </c>
      <c r="C91" s="34">
        <f t="shared" si="1"/>
        <v>3000000</v>
      </c>
      <c r="D91" s="7">
        <f t="shared" si="2"/>
        <v>1886400</v>
      </c>
    </row>
    <row r="92" spans="1:4" x14ac:dyDescent="0.35">
      <c r="A92" s="14" t="s">
        <v>16</v>
      </c>
      <c r="B92" s="59">
        <f t="shared" si="0"/>
        <v>100000</v>
      </c>
      <c r="C92" s="34">
        <f t="shared" si="1"/>
        <v>104800</v>
      </c>
      <c r="D92" s="7">
        <f t="shared" si="2"/>
        <v>104800</v>
      </c>
    </row>
    <row r="93" spans="1:4" x14ac:dyDescent="0.35">
      <c r="A93" s="64" t="s">
        <v>26</v>
      </c>
      <c r="B93" s="68">
        <f>+SUM(B89:B92)</f>
        <v>5340000</v>
      </c>
      <c r="C93" s="67">
        <f t="shared" ref="C93" si="3">+SUM(C89:C92)</f>
        <v>4565920</v>
      </c>
      <c r="D93" s="69">
        <f>+SUM(D89:D92)</f>
        <v>5596320</v>
      </c>
    </row>
    <row r="94" spans="1:4" x14ac:dyDescent="0.35">
      <c r="A94" s="63" t="s">
        <v>51</v>
      </c>
      <c r="B94" s="59"/>
      <c r="C94" s="34"/>
      <c r="D94" s="7"/>
    </row>
    <row r="95" spans="1:4" x14ac:dyDescent="0.35">
      <c r="A95" s="14" t="s">
        <v>49</v>
      </c>
      <c r="B95" s="59">
        <f>+C15</f>
        <v>1349200</v>
      </c>
      <c r="C95" s="34">
        <f>+C43</f>
        <v>1254875.2</v>
      </c>
      <c r="D95" s="7">
        <f>+C71</f>
        <v>1413961.6</v>
      </c>
    </row>
    <row r="96" spans="1:4" x14ac:dyDescent="0.35">
      <c r="A96" s="14" t="s">
        <v>50</v>
      </c>
      <c r="B96" s="59">
        <f>+C18</f>
        <v>1350700</v>
      </c>
      <c r="C96" s="34">
        <f>+C46</f>
        <v>1254875.2</v>
      </c>
      <c r="D96" s="7">
        <f>+C74</f>
        <v>1415533.6</v>
      </c>
    </row>
    <row r="97" spans="1:4" x14ac:dyDescent="0.35">
      <c r="A97" s="64" t="s">
        <v>52</v>
      </c>
      <c r="B97" s="68">
        <f t="shared" ref="B97:C97" si="4">+SUM(B95:B96)</f>
        <v>2699900</v>
      </c>
      <c r="C97" s="67">
        <f t="shared" si="4"/>
        <v>2509750.4</v>
      </c>
      <c r="D97" s="69">
        <f>+SUM(D95:D96)</f>
        <v>2829495.2</v>
      </c>
    </row>
    <row r="98" spans="1:4" x14ac:dyDescent="0.35">
      <c r="A98" s="63" t="s">
        <v>53</v>
      </c>
      <c r="B98" s="59"/>
      <c r="C98" s="34"/>
      <c r="D98" s="7"/>
    </row>
    <row r="99" spans="1:4" x14ac:dyDescent="0.35">
      <c r="A99" s="14" t="s">
        <v>4</v>
      </c>
      <c r="B99" s="59">
        <f>+C20</f>
        <v>1050000</v>
      </c>
      <c r="C99" s="34">
        <f>+C48</f>
        <v>960000</v>
      </c>
      <c r="D99" s="7">
        <f>+C76</f>
        <v>1120000</v>
      </c>
    </row>
    <row r="100" spans="1:4" x14ac:dyDescent="0.35">
      <c r="A100" s="14" t="s">
        <v>5</v>
      </c>
      <c r="B100" s="59">
        <f>+C25</f>
        <v>930000</v>
      </c>
      <c r="C100" s="34">
        <f>+C53</f>
        <v>744000</v>
      </c>
      <c r="D100" s="7">
        <f>+C81</f>
        <v>974640</v>
      </c>
    </row>
    <row r="101" spans="1:4" x14ac:dyDescent="0.35">
      <c r="A101" s="64" t="s">
        <v>27</v>
      </c>
      <c r="B101" s="70">
        <f t="shared" ref="B101:C101" si="5">+SUM(B99:B100)</f>
        <v>1980000</v>
      </c>
      <c r="C101" s="35">
        <f t="shared" si="5"/>
        <v>1704000</v>
      </c>
      <c r="D101" s="36">
        <f>+SUM(D99:D100)</f>
        <v>2094640</v>
      </c>
    </row>
    <row r="102" spans="1:4" x14ac:dyDescent="0.35">
      <c r="B102" s="1"/>
      <c r="D102" s="1"/>
    </row>
    <row r="103" spans="1:4" x14ac:dyDescent="0.35">
      <c r="A103" s="30" t="s">
        <v>54</v>
      </c>
      <c r="B103" s="31">
        <f>+B93+B97+B101</f>
        <v>10019900</v>
      </c>
      <c r="C103" s="31">
        <f>+C93+C97+C101</f>
        <v>8779670.4000000004</v>
      </c>
      <c r="D103" s="31">
        <f>+D93+D97+D101</f>
        <v>10520455.199999999</v>
      </c>
    </row>
  </sheetData>
  <mergeCells count="9">
    <mergeCell ref="A77:A81"/>
    <mergeCell ref="A41:A43"/>
    <mergeCell ref="A44:A46"/>
    <mergeCell ref="A49:A53"/>
    <mergeCell ref="A13:A15"/>
    <mergeCell ref="A21:A25"/>
    <mergeCell ref="A16:A18"/>
    <mergeCell ref="A69:A71"/>
    <mergeCell ref="A72:A7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6B378-747F-4DD6-824A-61B917E0BA81}">
  <dimension ref="A1:K58"/>
  <sheetViews>
    <sheetView showGridLines="0" zoomScale="80" zoomScaleNormal="80" workbookViewId="0">
      <selection sqref="A1:XFD1"/>
    </sheetView>
  </sheetViews>
  <sheetFormatPr baseColWidth="10" defaultRowHeight="14.5" x14ac:dyDescent="0.35"/>
  <cols>
    <col min="1" max="1" width="25.54296875" bestFit="1" customWidth="1"/>
    <col min="2" max="2" width="22.90625" bestFit="1" customWidth="1"/>
    <col min="3" max="3" width="33.54296875" customWidth="1"/>
    <col min="4" max="4" width="29.1796875" bestFit="1" customWidth="1"/>
    <col min="5" max="5" width="30.26953125" customWidth="1"/>
    <col min="6" max="6" width="26.81640625" bestFit="1" customWidth="1"/>
    <col min="7" max="7" width="25.453125" customWidth="1"/>
    <col min="8" max="10" width="18.7265625" customWidth="1"/>
    <col min="11" max="11" width="25.453125" customWidth="1"/>
    <col min="12" max="12" width="18.7265625" customWidth="1"/>
  </cols>
  <sheetData>
    <row r="1" spans="1:7" x14ac:dyDescent="0.35">
      <c r="A1" s="2" t="s">
        <v>76</v>
      </c>
      <c r="C1" s="1"/>
    </row>
    <row r="3" spans="1:7" x14ac:dyDescent="0.35">
      <c r="A3" s="3" t="s">
        <v>56</v>
      </c>
    </row>
    <row r="5" spans="1:7" x14ac:dyDescent="0.35">
      <c r="A5" s="83" t="s">
        <v>66</v>
      </c>
      <c r="B5" s="84"/>
      <c r="C5" s="84"/>
      <c r="D5" s="85"/>
      <c r="F5" s="24" t="s">
        <v>36</v>
      </c>
      <c r="G5" s="25">
        <v>4.8000000000000001E-2</v>
      </c>
    </row>
    <row r="6" spans="1:7" x14ac:dyDescent="0.35">
      <c r="A6" s="45" t="s">
        <v>20</v>
      </c>
      <c r="B6" s="42" t="s">
        <v>72</v>
      </c>
      <c r="C6" s="42" t="s">
        <v>73</v>
      </c>
      <c r="D6" s="56" t="s">
        <v>74</v>
      </c>
      <c r="E6" s="1"/>
    </row>
    <row r="7" spans="1:7" x14ac:dyDescent="0.35">
      <c r="A7" s="43" t="s">
        <v>58</v>
      </c>
      <c r="B7" s="57">
        <f>+C7*(1-50%)</f>
        <v>10000</v>
      </c>
      <c r="C7" s="33">
        <v>20000</v>
      </c>
      <c r="D7" s="58">
        <f>+C7-B7</f>
        <v>10000</v>
      </c>
      <c r="E7" s="47"/>
      <c r="F7" s="46"/>
    </row>
    <row r="8" spans="1:7" x14ac:dyDescent="0.35">
      <c r="A8" s="43" t="s">
        <v>21</v>
      </c>
      <c r="B8" s="59">
        <f t="shared" ref="B8:B13" si="0">+C8*(1-50%)</f>
        <v>22000</v>
      </c>
      <c r="C8" s="34">
        <v>44000</v>
      </c>
      <c r="D8" s="48">
        <f t="shared" ref="D8:D13" si="1">+C8-B8</f>
        <v>22000</v>
      </c>
      <c r="E8" s="47"/>
    </row>
    <row r="9" spans="1:7" x14ac:dyDescent="0.35">
      <c r="A9" s="43" t="s">
        <v>22</v>
      </c>
      <c r="B9" s="59">
        <f t="shared" si="0"/>
        <v>25000</v>
      </c>
      <c r="C9" s="34">
        <v>50000</v>
      </c>
      <c r="D9" s="48">
        <f t="shared" si="1"/>
        <v>25000</v>
      </c>
      <c r="E9" s="47"/>
    </row>
    <row r="10" spans="1:7" x14ac:dyDescent="0.35">
      <c r="A10" s="43" t="s">
        <v>23</v>
      </c>
      <c r="B10" s="59">
        <f t="shared" si="0"/>
        <v>72500</v>
      </c>
      <c r="C10" s="34">
        <v>145000</v>
      </c>
      <c r="D10" s="48">
        <f t="shared" si="1"/>
        <v>72500</v>
      </c>
      <c r="E10" s="47"/>
    </row>
    <row r="11" spans="1:7" x14ac:dyDescent="0.35">
      <c r="A11" s="43" t="s">
        <v>24</v>
      </c>
      <c r="B11" s="59">
        <f t="shared" si="0"/>
        <v>65000</v>
      </c>
      <c r="C11" s="34">
        <v>130000</v>
      </c>
      <c r="D11" s="48">
        <f t="shared" si="1"/>
        <v>65000</v>
      </c>
      <c r="E11" s="47"/>
    </row>
    <row r="12" spans="1:7" x14ac:dyDescent="0.35">
      <c r="A12" s="43" t="s">
        <v>59</v>
      </c>
      <c r="B12" s="59">
        <f t="shared" si="0"/>
        <v>100000</v>
      </c>
      <c r="C12" s="34">
        <v>200000</v>
      </c>
      <c r="D12" s="48">
        <f t="shared" si="1"/>
        <v>100000</v>
      </c>
      <c r="E12" s="47"/>
    </row>
    <row r="13" spans="1:7" x14ac:dyDescent="0.35">
      <c r="A13" s="44" t="s">
        <v>25</v>
      </c>
      <c r="B13" s="60">
        <f t="shared" si="0"/>
        <v>165000</v>
      </c>
      <c r="C13" s="37">
        <v>330000</v>
      </c>
      <c r="D13" s="49">
        <f t="shared" si="1"/>
        <v>165000</v>
      </c>
      <c r="E13" s="47"/>
    </row>
    <row r="15" spans="1:7" x14ac:dyDescent="0.35">
      <c r="A15" s="3" t="s">
        <v>57</v>
      </c>
    </row>
    <row r="17" spans="1:11" x14ac:dyDescent="0.35">
      <c r="A17" s="83" t="s">
        <v>29</v>
      </c>
      <c r="B17" s="84"/>
      <c r="C17" s="84"/>
      <c r="D17" s="84"/>
      <c r="E17" s="84"/>
      <c r="F17" s="84"/>
      <c r="G17" s="84"/>
      <c r="H17" s="84"/>
      <c r="I17" s="84"/>
      <c r="J17" s="84"/>
      <c r="K17" s="85"/>
    </row>
    <row r="18" spans="1:11" x14ac:dyDescent="0.35">
      <c r="A18" s="45" t="s">
        <v>20</v>
      </c>
      <c r="B18" s="39" t="s">
        <v>60</v>
      </c>
      <c r="C18" s="41" t="s">
        <v>63</v>
      </c>
      <c r="D18" s="39" t="s">
        <v>62</v>
      </c>
      <c r="E18" s="40" t="s">
        <v>64</v>
      </c>
      <c r="F18" s="40" t="s">
        <v>61</v>
      </c>
      <c r="G18" s="41" t="s">
        <v>70</v>
      </c>
      <c r="H18" s="52" t="s">
        <v>68</v>
      </c>
      <c r="I18" s="52" t="s">
        <v>64</v>
      </c>
      <c r="J18" s="52" t="s">
        <v>61</v>
      </c>
      <c r="K18" s="53" t="s">
        <v>69</v>
      </c>
    </row>
    <row r="19" spans="1:11" x14ac:dyDescent="0.35">
      <c r="A19" s="43" t="s">
        <v>58</v>
      </c>
      <c r="B19" s="59">
        <f>+$C$7</f>
        <v>20000</v>
      </c>
      <c r="C19" s="7">
        <f>+$B$7</f>
        <v>10000</v>
      </c>
      <c r="D19" s="61">
        <v>50</v>
      </c>
      <c r="E19" s="34">
        <f>+C19*D19</f>
        <v>500000</v>
      </c>
      <c r="F19" s="34">
        <f>+B19*D19</f>
        <v>1000000</v>
      </c>
      <c r="G19" s="50">
        <f>+F19-E19</f>
        <v>500000</v>
      </c>
      <c r="H19">
        <v>0</v>
      </c>
      <c r="I19" s="34">
        <f>+H19*C19</f>
        <v>0</v>
      </c>
      <c r="J19" s="34">
        <f>+B19*H19</f>
        <v>0</v>
      </c>
      <c r="K19" s="50">
        <f>+J19-I19</f>
        <v>0</v>
      </c>
    </row>
    <row r="20" spans="1:11" x14ac:dyDescent="0.35">
      <c r="A20" s="43" t="s">
        <v>21</v>
      </c>
      <c r="B20" s="59">
        <f>+$C$8</f>
        <v>44000</v>
      </c>
      <c r="C20" s="7">
        <f>+$B$8</f>
        <v>22000</v>
      </c>
      <c r="D20" s="61">
        <v>50</v>
      </c>
      <c r="E20" s="34">
        <f t="shared" ref="E20:E25" si="2">+C20*D20</f>
        <v>1100000</v>
      </c>
      <c r="F20" s="34">
        <f t="shared" ref="F20:F25" si="3">+B20*D20</f>
        <v>2200000</v>
      </c>
      <c r="G20" s="50">
        <f t="shared" ref="G20:G25" si="4">+F20-E20</f>
        <v>1100000</v>
      </c>
      <c r="H20">
        <v>0</v>
      </c>
      <c r="I20" s="34">
        <f t="shared" ref="I20:I25" si="5">+H20*C20</f>
        <v>0</v>
      </c>
      <c r="J20" s="34">
        <f t="shared" ref="J20:J25" si="6">+B20*H20</f>
        <v>0</v>
      </c>
      <c r="K20" s="50">
        <f t="shared" ref="K20:K25" si="7">+J20-I20</f>
        <v>0</v>
      </c>
    </row>
    <row r="21" spans="1:11" x14ac:dyDescent="0.35">
      <c r="A21" s="43" t="s">
        <v>22</v>
      </c>
      <c r="B21" s="59">
        <f>+$C$9</f>
        <v>50000</v>
      </c>
      <c r="C21" s="7">
        <f>+$B$9</f>
        <v>25000</v>
      </c>
      <c r="D21" s="61">
        <v>40</v>
      </c>
      <c r="E21" s="34">
        <f t="shared" si="2"/>
        <v>1000000</v>
      </c>
      <c r="F21" s="34">
        <f t="shared" si="3"/>
        <v>2000000</v>
      </c>
      <c r="G21" s="50">
        <f t="shared" si="4"/>
        <v>1000000</v>
      </c>
      <c r="H21">
        <v>0</v>
      </c>
      <c r="I21" s="34">
        <f t="shared" si="5"/>
        <v>0</v>
      </c>
      <c r="J21" s="34">
        <f t="shared" si="6"/>
        <v>0</v>
      </c>
      <c r="K21" s="50">
        <f t="shared" si="7"/>
        <v>0</v>
      </c>
    </row>
    <row r="22" spans="1:11" x14ac:dyDescent="0.35">
      <c r="A22" s="43" t="s">
        <v>23</v>
      </c>
      <c r="B22" s="59">
        <f>+$C$10</f>
        <v>145000</v>
      </c>
      <c r="C22" s="7">
        <f>+$B$10</f>
        <v>72500</v>
      </c>
      <c r="D22" s="61">
        <v>16</v>
      </c>
      <c r="E22" s="34">
        <f t="shared" si="2"/>
        <v>1160000</v>
      </c>
      <c r="F22" s="34">
        <f t="shared" si="3"/>
        <v>2320000</v>
      </c>
      <c r="G22" s="50">
        <f t="shared" si="4"/>
        <v>1160000</v>
      </c>
      <c r="H22">
        <v>0</v>
      </c>
      <c r="I22" s="34">
        <f t="shared" si="5"/>
        <v>0</v>
      </c>
      <c r="J22" s="34">
        <f t="shared" si="6"/>
        <v>0</v>
      </c>
      <c r="K22" s="50">
        <f t="shared" si="7"/>
        <v>0</v>
      </c>
    </row>
    <row r="23" spans="1:11" x14ac:dyDescent="0.35">
      <c r="A23" s="43" t="s">
        <v>24</v>
      </c>
      <c r="B23" s="59">
        <f>+$C$11</f>
        <v>130000</v>
      </c>
      <c r="C23" s="7">
        <f>+$B$11</f>
        <v>65000</v>
      </c>
      <c r="D23" s="61">
        <v>26</v>
      </c>
      <c r="E23" s="34">
        <f t="shared" si="2"/>
        <v>1690000</v>
      </c>
      <c r="F23" s="34">
        <f t="shared" si="3"/>
        <v>3380000</v>
      </c>
      <c r="G23" s="50">
        <f t="shared" si="4"/>
        <v>1690000</v>
      </c>
      <c r="H23">
        <v>0</v>
      </c>
      <c r="I23" s="34">
        <f t="shared" si="5"/>
        <v>0</v>
      </c>
      <c r="J23" s="34">
        <f t="shared" si="6"/>
        <v>0</v>
      </c>
      <c r="K23" s="50">
        <f t="shared" si="7"/>
        <v>0</v>
      </c>
    </row>
    <row r="24" spans="1:11" x14ac:dyDescent="0.35">
      <c r="A24" s="43" t="s">
        <v>59</v>
      </c>
      <c r="B24" s="59">
        <f>+$C$12</f>
        <v>200000</v>
      </c>
      <c r="C24" s="7">
        <f>+$B$12</f>
        <v>100000</v>
      </c>
      <c r="D24" s="61">
        <v>20</v>
      </c>
      <c r="E24" s="34">
        <f t="shared" si="2"/>
        <v>2000000</v>
      </c>
      <c r="F24" s="34">
        <f t="shared" si="3"/>
        <v>4000000</v>
      </c>
      <c r="G24" s="50">
        <f t="shared" si="4"/>
        <v>2000000</v>
      </c>
      <c r="H24">
        <v>0</v>
      </c>
      <c r="I24" s="34">
        <f t="shared" si="5"/>
        <v>0</v>
      </c>
      <c r="J24" s="34">
        <f t="shared" si="6"/>
        <v>0</v>
      </c>
      <c r="K24" s="50">
        <f t="shared" si="7"/>
        <v>0</v>
      </c>
    </row>
    <row r="25" spans="1:11" x14ac:dyDescent="0.35">
      <c r="A25" s="44" t="s">
        <v>25</v>
      </c>
      <c r="B25" s="60">
        <f>+$C$13</f>
        <v>330000</v>
      </c>
      <c r="C25" s="38">
        <f>+$B$13</f>
        <v>165000</v>
      </c>
      <c r="D25" s="62">
        <v>16</v>
      </c>
      <c r="E25" s="37">
        <f t="shared" si="2"/>
        <v>2640000</v>
      </c>
      <c r="F25" s="37">
        <f t="shared" si="3"/>
        <v>5280000</v>
      </c>
      <c r="G25" s="51">
        <f t="shared" si="4"/>
        <v>2640000</v>
      </c>
      <c r="H25" s="16">
        <v>0</v>
      </c>
      <c r="I25" s="37">
        <f t="shared" si="5"/>
        <v>0</v>
      </c>
      <c r="J25" s="37">
        <f t="shared" si="6"/>
        <v>0</v>
      </c>
      <c r="K25" s="51">
        <f t="shared" si="7"/>
        <v>0</v>
      </c>
    </row>
    <row r="27" spans="1:11" x14ac:dyDescent="0.35">
      <c r="A27" s="83" t="s">
        <v>38</v>
      </c>
      <c r="B27" s="84"/>
      <c r="C27" s="84"/>
      <c r="D27" s="84"/>
      <c r="E27" s="84"/>
      <c r="F27" s="84"/>
      <c r="G27" s="84"/>
      <c r="H27" s="84"/>
      <c r="I27" s="84"/>
      <c r="J27" s="84"/>
      <c r="K27" s="85"/>
    </row>
    <row r="28" spans="1:11" x14ac:dyDescent="0.35">
      <c r="A28" s="45" t="s">
        <v>20</v>
      </c>
      <c r="B28" s="39" t="s">
        <v>60</v>
      </c>
      <c r="C28" s="41" t="s">
        <v>63</v>
      </c>
      <c r="D28" s="39" t="s">
        <v>62</v>
      </c>
      <c r="E28" s="40" t="s">
        <v>64</v>
      </c>
      <c r="F28" s="40" t="s">
        <v>61</v>
      </c>
      <c r="G28" s="41" t="s">
        <v>70</v>
      </c>
      <c r="H28" s="39" t="s">
        <v>68</v>
      </c>
      <c r="I28" s="40" t="s">
        <v>64</v>
      </c>
      <c r="J28" s="40" t="s">
        <v>61</v>
      </c>
      <c r="K28" s="41" t="s">
        <v>69</v>
      </c>
    </row>
    <row r="29" spans="1:11" x14ac:dyDescent="0.35">
      <c r="A29" s="43" t="s">
        <v>58</v>
      </c>
      <c r="B29" s="59">
        <f>+$C$7*(1+$G$5)</f>
        <v>20960</v>
      </c>
      <c r="C29" s="7">
        <f>+$B$7*(1+$G$5)</f>
        <v>10480</v>
      </c>
      <c r="D29" s="61">
        <v>35</v>
      </c>
      <c r="E29" s="34">
        <f>+C29*D29</f>
        <v>366800</v>
      </c>
      <c r="F29" s="34">
        <f>+B29*D29</f>
        <v>733600</v>
      </c>
      <c r="G29" s="50">
        <f>+F29-E29</f>
        <v>366800</v>
      </c>
      <c r="H29">
        <v>0</v>
      </c>
      <c r="I29" s="34">
        <f>+H29*C29</f>
        <v>0</v>
      </c>
      <c r="J29" s="34">
        <f>+B29*H29</f>
        <v>0</v>
      </c>
      <c r="K29" s="50">
        <f>+J29-I29</f>
        <v>0</v>
      </c>
    </row>
    <row r="30" spans="1:11" x14ac:dyDescent="0.35">
      <c r="A30" s="43" t="s">
        <v>21</v>
      </c>
      <c r="B30" s="59">
        <f>+$C$8*(1+$G$5)</f>
        <v>46112</v>
      </c>
      <c r="C30" s="7">
        <f>+$B$8*(1+$G$5)</f>
        <v>23056</v>
      </c>
      <c r="D30" s="61">
        <v>35</v>
      </c>
      <c r="E30" s="34">
        <f t="shared" ref="E30:E35" si="8">+C30*D30</f>
        <v>806960</v>
      </c>
      <c r="F30" s="34">
        <f t="shared" ref="F30:F35" si="9">+B30*D30</f>
        <v>1613920</v>
      </c>
      <c r="G30" s="50">
        <f t="shared" ref="G30:G35" si="10">+F30-E30</f>
        <v>806960</v>
      </c>
      <c r="H30">
        <v>0</v>
      </c>
      <c r="I30" s="34">
        <f t="shared" ref="I30:I35" si="11">+H30*C30</f>
        <v>0</v>
      </c>
      <c r="J30" s="34">
        <f t="shared" ref="J30:J35" si="12">+B30*H30</f>
        <v>0</v>
      </c>
      <c r="K30" s="50">
        <f t="shared" ref="K30:K35" si="13">+J30-I30</f>
        <v>0</v>
      </c>
    </row>
    <row r="31" spans="1:11" x14ac:dyDescent="0.35">
      <c r="A31" s="43" t="s">
        <v>22</v>
      </c>
      <c r="B31" s="59">
        <f>+$C$9*(1+$G$5)</f>
        <v>52400</v>
      </c>
      <c r="C31" s="7">
        <f>+$B$9*(1+$G$5)</f>
        <v>26200</v>
      </c>
      <c r="D31" s="61">
        <v>30</v>
      </c>
      <c r="E31" s="34">
        <f t="shared" si="8"/>
        <v>786000</v>
      </c>
      <c r="F31" s="34">
        <f t="shared" si="9"/>
        <v>1572000</v>
      </c>
      <c r="G31" s="50">
        <f t="shared" si="10"/>
        <v>786000</v>
      </c>
      <c r="H31">
        <v>0</v>
      </c>
      <c r="I31" s="34">
        <f t="shared" si="11"/>
        <v>0</v>
      </c>
      <c r="J31" s="34">
        <f t="shared" si="12"/>
        <v>0</v>
      </c>
      <c r="K31" s="50">
        <f t="shared" si="13"/>
        <v>0</v>
      </c>
    </row>
    <row r="32" spans="1:11" x14ac:dyDescent="0.35">
      <c r="A32" s="43" t="s">
        <v>23</v>
      </c>
      <c r="B32" s="59">
        <f>+$C$10*(1+$G$5)</f>
        <v>151960</v>
      </c>
      <c r="C32" s="7">
        <f>+$B$10*(1+$G$5)</f>
        <v>75980</v>
      </c>
      <c r="D32" s="61">
        <v>15</v>
      </c>
      <c r="E32" s="34">
        <f t="shared" si="8"/>
        <v>1139700</v>
      </c>
      <c r="F32" s="34">
        <f t="shared" si="9"/>
        <v>2279400</v>
      </c>
      <c r="G32" s="50">
        <f t="shared" si="10"/>
        <v>1139700</v>
      </c>
      <c r="H32">
        <v>0</v>
      </c>
      <c r="I32" s="34">
        <f t="shared" si="11"/>
        <v>0</v>
      </c>
      <c r="J32" s="34">
        <f t="shared" si="12"/>
        <v>0</v>
      </c>
      <c r="K32" s="50">
        <f t="shared" si="13"/>
        <v>0</v>
      </c>
    </row>
    <row r="33" spans="1:11" x14ac:dyDescent="0.35">
      <c r="A33" s="43" t="s">
        <v>24</v>
      </c>
      <c r="B33" s="59">
        <f>+$C$11*(1+$G$5)</f>
        <v>136240</v>
      </c>
      <c r="C33" s="7">
        <f>+$B$11*(1+$G$5)</f>
        <v>68120</v>
      </c>
      <c r="D33" s="61">
        <v>20</v>
      </c>
      <c r="E33" s="34">
        <f t="shared" si="8"/>
        <v>1362400</v>
      </c>
      <c r="F33" s="34">
        <f t="shared" si="9"/>
        <v>2724800</v>
      </c>
      <c r="G33" s="50">
        <f t="shared" si="10"/>
        <v>1362400</v>
      </c>
      <c r="H33">
        <v>0</v>
      </c>
      <c r="I33" s="34">
        <f t="shared" si="11"/>
        <v>0</v>
      </c>
      <c r="J33" s="34">
        <f t="shared" si="12"/>
        <v>0</v>
      </c>
      <c r="K33" s="50">
        <f t="shared" si="13"/>
        <v>0</v>
      </c>
    </row>
    <row r="34" spans="1:11" x14ac:dyDescent="0.35">
      <c r="A34" s="43" t="s">
        <v>59</v>
      </c>
      <c r="B34" s="59">
        <f>+$C$12*(1+$G$5)</f>
        <v>209600</v>
      </c>
      <c r="C34" s="7">
        <f>+$B$12*(1+$G$5)</f>
        <v>104800</v>
      </c>
      <c r="D34" s="61">
        <v>17</v>
      </c>
      <c r="E34" s="34">
        <f t="shared" si="8"/>
        <v>1781600</v>
      </c>
      <c r="F34" s="34">
        <f t="shared" si="9"/>
        <v>3563200</v>
      </c>
      <c r="G34" s="50">
        <f t="shared" si="10"/>
        <v>1781600</v>
      </c>
      <c r="H34">
        <v>0</v>
      </c>
      <c r="I34" s="34">
        <f t="shared" si="11"/>
        <v>0</v>
      </c>
      <c r="J34" s="34">
        <f t="shared" si="12"/>
        <v>0</v>
      </c>
      <c r="K34" s="50">
        <f t="shared" si="13"/>
        <v>0</v>
      </c>
    </row>
    <row r="35" spans="1:11" x14ac:dyDescent="0.35">
      <c r="A35" s="44" t="s">
        <v>25</v>
      </c>
      <c r="B35" s="60">
        <f>+$C$13*(1+$G$5)</f>
        <v>345840</v>
      </c>
      <c r="C35" s="38">
        <f>+$B$13*(1+$G$5)</f>
        <v>172920</v>
      </c>
      <c r="D35" s="62">
        <v>15</v>
      </c>
      <c r="E35" s="37">
        <f t="shared" si="8"/>
        <v>2593800</v>
      </c>
      <c r="F35" s="37">
        <f t="shared" si="9"/>
        <v>5187600</v>
      </c>
      <c r="G35" s="51">
        <f t="shared" si="10"/>
        <v>2593800</v>
      </c>
      <c r="H35" s="16">
        <v>0</v>
      </c>
      <c r="I35" s="37">
        <f t="shared" si="11"/>
        <v>0</v>
      </c>
      <c r="J35" s="37">
        <f t="shared" si="12"/>
        <v>0</v>
      </c>
      <c r="K35" s="51">
        <f t="shared" si="13"/>
        <v>0</v>
      </c>
    </row>
    <row r="37" spans="1:11" x14ac:dyDescent="0.35">
      <c r="A37" s="86" t="s">
        <v>34</v>
      </c>
      <c r="B37" s="87"/>
      <c r="C37" s="87"/>
      <c r="D37" s="87"/>
      <c r="E37" s="87"/>
      <c r="F37" s="87"/>
      <c r="G37" s="87"/>
      <c r="H37" s="87"/>
      <c r="I37" s="87"/>
      <c r="J37" s="87"/>
      <c r="K37" s="88"/>
    </row>
    <row r="38" spans="1:11" x14ac:dyDescent="0.35">
      <c r="A38" s="45" t="s">
        <v>20</v>
      </c>
      <c r="B38" s="39" t="s">
        <v>60</v>
      </c>
      <c r="C38" s="41" t="s">
        <v>63</v>
      </c>
      <c r="D38" s="39" t="s">
        <v>62</v>
      </c>
      <c r="E38" s="40" t="s">
        <v>64</v>
      </c>
      <c r="F38" s="40" t="s">
        <v>61</v>
      </c>
      <c r="G38" s="41" t="s">
        <v>70</v>
      </c>
      <c r="H38" s="39" t="s">
        <v>68</v>
      </c>
      <c r="I38" s="40" t="s">
        <v>64</v>
      </c>
      <c r="J38" s="40" t="s">
        <v>61</v>
      </c>
      <c r="K38" s="41" t="s">
        <v>69</v>
      </c>
    </row>
    <row r="39" spans="1:11" x14ac:dyDescent="0.35">
      <c r="A39" s="43" t="s">
        <v>58</v>
      </c>
      <c r="B39" s="59">
        <f>+$C$7*(1+$G$5)</f>
        <v>20960</v>
      </c>
      <c r="C39" s="7">
        <f>+$B$7*(1+$G$5)</f>
        <v>10480</v>
      </c>
      <c r="D39" s="61">
        <v>50</v>
      </c>
      <c r="E39" s="34">
        <f>+C39*D39</f>
        <v>524000</v>
      </c>
      <c r="F39" s="34">
        <f>+B39*D39</f>
        <v>1048000</v>
      </c>
      <c r="G39" s="50">
        <f>+F39-E39</f>
        <v>524000</v>
      </c>
      <c r="H39">
        <v>0</v>
      </c>
      <c r="I39" s="34">
        <f>+H39*C39</f>
        <v>0</v>
      </c>
      <c r="J39" s="34">
        <f>+B39*H39</f>
        <v>0</v>
      </c>
      <c r="K39" s="50">
        <f>+J39-I39</f>
        <v>0</v>
      </c>
    </row>
    <row r="40" spans="1:11" x14ac:dyDescent="0.35">
      <c r="A40" s="43" t="s">
        <v>21</v>
      </c>
      <c r="B40" s="59">
        <f>+$C$8*(1+$G$5)</f>
        <v>46112</v>
      </c>
      <c r="C40" s="7">
        <f>+$B$8*(1+$G$5)</f>
        <v>23056</v>
      </c>
      <c r="D40" s="61">
        <v>50</v>
      </c>
      <c r="E40" s="34">
        <f t="shared" ref="E40:E45" si="14">+C40*D40</f>
        <v>1152800</v>
      </c>
      <c r="F40" s="34">
        <f t="shared" ref="F40:F45" si="15">+B40*D40</f>
        <v>2305600</v>
      </c>
      <c r="G40" s="50">
        <f t="shared" ref="G40:G45" si="16">+F40-E40</f>
        <v>1152800</v>
      </c>
      <c r="H40">
        <v>0</v>
      </c>
      <c r="I40" s="34">
        <f t="shared" ref="I40:I45" si="17">+H40*C40</f>
        <v>0</v>
      </c>
      <c r="J40" s="34">
        <f t="shared" ref="J40:J45" si="18">+B40*H40</f>
        <v>0</v>
      </c>
      <c r="K40" s="50">
        <f t="shared" ref="K40:K45" si="19">+J40-I40</f>
        <v>0</v>
      </c>
    </row>
    <row r="41" spans="1:11" x14ac:dyDescent="0.35">
      <c r="A41" s="43" t="s">
        <v>22</v>
      </c>
      <c r="B41" s="59">
        <f>+$C$9*(1+$G$5)</f>
        <v>52400</v>
      </c>
      <c r="C41" s="7">
        <f>+$B$9*(1+$G$5)</f>
        <v>26200</v>
      </c>
      <c r="D41" s="61">
        <v>40</v>
      </c>
      <c r="E41" s="34">
        <f t="shared" si="14"/>
        <v>1048000</v>
      </c>
      <c r="F41" s="34">
        <f t="shared" si="15"/>
        <v>2096000</v>
      </c>
      <c r="G41" s="50">
        <f t="shared" si="16"/>
        <v>1048000</v>
      </c>
      <c r="H41">
        <v>0</v>
      </c>
      <c r="I41" s="34">
        <f t="shared" si="17"/>
        <v>0</v>
      </c>
      <c r="J41" s="34">
        <f t="shared" si="18"/>
        <v>0</v>
      </c>
      <c r="K41" s="50">
        <f t="shared" si="19"/>
        <v>0</v>
      </c>
    </row>
    <row r="42" spans="1:11" x14ac:dyDescent="0.35">
      <c r="A42" s="43" t="s">
        <v>23</v>
      </c>
      <c r="B42" s="59">
        <f>+$C$10*(1+$G$5)</f>
        <v>151960</v>
      </c>
      <c r="C42" s="7">
        <f>+$B$10*(1+$G$5)</f>
        <v>75980</v>
      </c>
      <c r="D42" s="61">
        <v>16</v>
      </c>
      <c r="E42" s="34">
        <f t="shared" si="14"/>
        <v>1215680</v>
      </c>
      <c r="F42" s="34">
        <f t="shared" si="15"/>
        <v>2431360</v>
      </c>
      <c r="G42" s="50">
        <f t="shared" si="16"/>
        <v>1215680</v>
      </c>
      <c r="H42">
        <v>0</v>
      </c>
      <c r="I42" s="34">
        <f t="shared" si="17"/>
        <v>0</v>
      </c>
      <c r="J42" s="34">
        <f t="shared" si="18"/>
        <v>0</v>
      </c>
      <c r="K42" s="50">
        <f t="shared" si="19"/>
        <v>0</v>
      </c>
    </row>
    <row r="43" spans="1:11" x14ac:dyDescent="0.35">
      <c r="A43" s="43" t="s">
        <v>24</v>
      </c>
      <c r="B43" s="59">
        <f>+$C$11*(1+$G$5)</f>
        <v>136240</v>
      </c>
      <c r="C43" s="7">
        <f>+$B$11*(1+$G$5)</f>
        <v>68120</v>
      </c>
      <c r="D43" s="61">
        <v>26</v>
      </c>
      <c r="E43" s="34">
        <f t="shared" si="14"/>
        <v>1771120</v>
      </c>
      <c r="F43" s="34">
        <f t="shared" si="15"/>
        <v>3542240</v>
      </c>
      <c r="G43" s="50">
        <f t="shared" si="16"/>
        <v>1771120</v>
      </c>
      <c r="H43">
        <v>0</v>
      </c>
      <c r="I43" s="34">
        <f t="shared" si="17"/>
        <v>0</v>
      </c>
      <c r="J43" s="34">
        <f t="shared" si="18"/>
        <v>0</v>
      </c>
      <c r="K43" s="50">
        <f t="shared" si="19"/>
        <v>0</v>
      </c>
    </row>
    <row r="44" spans="1:11" x14ac:dyDescent="0.35">
      <c r="A44" s="43" t="s">
        <v>59</v>
      </c>
      <c r="B44" s="59">
        <f>+$C$12*(1+$G$5)</f>
        <v>209600</v>
      </c>
      <c r="C44" s="7">
        <f>+$B$12*(1+$G$5)</f>
        <v>104800</v>
      </c>
      <c r="D44" s="61">
        <v>20</v>
      </c>
      <c r="E44" s="34">
        <f t="shared" si="14"/>
        <v>2096000</v>
      </c>
      <c r="F44" s="34">
        <f t="shared" si="15"/>
        <v>4192000</v>
      </c>
      <c r="G44" s="50">
        <f t="shared" si="16"/>
        <v>2096000</v>
      </c>
      <c r="H44">
        <v>0</v>
      </c>
      <c r="I44" s="34">
        <f t="shared" si="17"/>
        <v>0</v>
      </c>
      <c r="J44" s="34">
        <f t="shared" si="18"/>
        <v>0</v>
      </c>
      <c r="K44" s="50">
        <f t="shared" si="19"/>
        <v>0</v>
      </c>
    </row>
    <row r="45" spans="1:11" x14ac:dyDescent="0.35">
      <c r="A45" s="44" t="s">
        <v>25</v>
      </c>
      <c r="B45" s="60">
        <f>+$C$13*(1+$G$5)</f>
        <v>345840</v>
      </c>
      <c r="C45" s="38">
        <f>+$B$13*(1+$G$5)</f>
        <v>172920</v>
      </c>
      <c r="D45" s="62">
        <v>16</v>
      </c>
      <c r="E45" s="37">
        <f t="shared" si="14"/>
        <v>2766720</v>
      </c>
      <c r="F45" s="37">
        <f t="shared" si="15"/>
        <v>5533440</v>
      </c>
      <c r="G45" s="51">
        <f t="shared" si="16"/>
        <v>2766720</v>
      </c>
      <c r="H45" s="16">
        <v>0</v>
      </c>
      <c r="I45" s="37">
        <f t="shared" si="17"/>
        <v>0</v>
      </c>
      <c r="J45" s="37">
        <f t="shared" si="18"/>
        <v>0</v>
      </c>
      <c r="K45" s="51">
        <f t="shared" si="19"/>
        <v>0</v>
      </c>
    </row>
    <row r="47" spans="1:11" x14ac:dyDescent="0.35">
      <c r="A47" s="20" t="s">
        <v>71</v>
      </c>
    </row>
    <row r="49" spans="1:4" x14ac:dyDescent="0.35">
      <c r="A49" s="71" t="s">
        <v>20</v>
      </c>
      <c r="B49" s="71" t="s">
        <v>46</v>
      </c>
      <c r="C49" s="72" t="s">
        <v>48</v>
      </c>
      <c r="D49" s="73" t="s">
        <v>47</v>
      </c>
    </row>
    <row r="50" spans="1:4" x14ac:dyDescent="0.35">
      <c r="A50" s="61" t="s">
        <v>58</v>
      </c>
      <c r="B50" s="57">
        <f>+G19</f>
        <v>500000</v>
      </c>
      <c r="C50" s="33">
        <f>+G29</f>
        <v>366800</v>
      </c>
      <c r="D50" s="6">
        <f>+G39</f>
        <v>524000</v>
      </c>
    </row>
    <row r="51" spans="1:4" x14ac:dyDescent="0.35">
      <c r="A51" s="61" t="s">
        <v>21</v>
      </c>
      <c r="B51" s="59">
        <f t="shared" ref="B51:B56" si="20">+G20</f>
        <v>1100000</v>
      </c>
      <c r="C51" s="34">
        <f t="shared" ref="C51:C56" si="21">+G30</f>
        <v>806960</v>
      </c>
      <c r="D51" s="7">
        <f t="shared" ref="D51:D56" si="22">+G40</f>
        <v>1152800</v>
      </c>
    </row>
    <row r="52" spans="1:4" x14ac:dyDescent="0.35">
      <c r="A52" s="61" t="s">
        <v>22</v>
      </c>
      <c r="B52" s="59">
        <f t="shared" si="20"/>
        <v>1000000</v>
      </c>
      <c r="C52" s="34">
        <f t="shared" si="21"/>
        <v>786000</v>
      </c>
      <c r="D52" s="7">
        <f t="shared" si="22"/>
        <v>1048000</v>
      </c>
    </row>
    <row r="53" spans="1:4" x14ac:dyDescent="0.35">
      <c r="A53" s="61" t="s">
        <v>23</v>
      </c>
      <c r="B53" s="59">
        <f t="shared" si="20"/>
        <v>1160000</v>
      </c>
      <c r="C53" s="34">
        <f t="shared" si="21"/>
        <v>1139700</v>
      </c>
      <c r="D53" s="7">
        <f t="shared" si="22"/>
        <v>1215680</v>
      </c>
    </row>
    <row r="54" spans="1:4" x14ac:dyDescent="0.35">
      <c r="A54" s="61" t="s">
        <v>24</v>
      </c>
      <c r="B54" s="59">
        <f t="shared" si="20"/>
        <v>1690000</v>
      </c>
      <c r="C54" s="34">
        <f t="shared" si="21"/>
        <v>1362400</v>
      </c>
      <c r="D54" s="7">
        <f t="shared" si="22"/>
        <v>1771120</v>
      </c>
    </row>
    <row r="55" spans="1:4" x14ac:dyDescent="0.35">
      <c r="A55" s="61" t="s">
        <v>59</v>
      </c>
      <c r="B55" s="59">
        <f t="shared" si="20"/>
        <v>2000000</v>
      </c>
      <c r="C55" s="34">
        <f t="shared" si="21"/>
        <v>1781600</v>
      </c>
      <c r="D55" s="7">
        <f t="shared" si="22"/>
        <v>2096000</v>
      </c>
    </row>
    <row r="56" spans="1:4" x14ac:dyDescent="0.35">
      <c r="A56" s="62" t="s">
        <v>25</v>
      </c>
      <c r="B56" s="60">
        <f t="shared" si="20"/>
        <v>2640000</v>
      </c>
      <c r="C56" s="37">
        <f t="shared" si="21"/>
        <v>2593800</v>
      </c>
      <c r="D56" s="38">
        <f t="shared" si="22"/>
        <v>2766720</v>
      </c>
    </row>
    <row r="58" spans="1:4" s="55" customFormat="1" x14ac:dyDescent="0.35">
      <c r="A58" s="54" t="s">
        <v>65</v>
      </c>
      <c r="B58" s="31">
        <f>+SUM(B50:B56)</f>
        <v>10090000</v>
      </c>
      <c r="C58" s="31">
        <f>+SUM(C50:C56)</f>
        <v>8837260</v>
      </c>
      <c r="D58" s="31">
        <f>+SUM(D50:D56)</f>
        <v>10574320</v>
      </c>
    </row>
  </sheetData>
  <mergeCells count="4">
    <mergeCell ref="A17:K17"/>
    <mergeCell ref="A37:K37"/>
    <mergeCell ref="A27:K27"/>
    <mergeCell ref="A5:D5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2160B-F0FF-4F67-95E8-527BF63990CB}">
  <dimension ref="A1:D6"/>
  <sheetViews>
    <sheetView workbookViewId="0">
      <selection activeCell="H13" sqref="H13"/>
    </sheetView>
  </sheetViews>
  <sheetFormatPr baseColWidth="10" defaultRowHeight="14.5" x14ac:dyDescent="0.35"/>
  <cols>
    <col min="1" max="1" width="27.26953125" bestFit="1" customWidth="1"/>
    <col min="2" max="2" width="22.81640625" bestFit="1" customWidth="1"/>
    <col min="3" max="3" width="28.54296875" bestFit="1" customWidth="1"/>
    <col min="4" max="4" width="16.1796875" bestFit="1" customWidth="1"/>
  </cols>
  <sheetData>
    <row r="1" spans="1:4" x14ac:dyDescent="0.35">
      <c r="A1" s="2" t="s">
        <v>76</v>
      </c>
      <c r="C1" s="1"/>
    </row>
    <row r="3" spans="1:4" x14ac:dyDescent="0.35">
      <c r="A3" s="32" t="s">
        <v>45</v>
      </c>
      <c r="B3" s="65" t="s">
        <v>46</v>
      </c>
      <c r="C3" s="66" t="s">
        <v>48</v>
      </c>
      <c r="D3" s="65" t="s">
        <v>47</v>
      </c>
    </row>
    <row r="4" spans="1:4" x14ac:dyDescent="0.35">
      <c r="A4" s="1" t="s">
        <v>65</v>
      </c>
      <c r="B4" s="74">
        <f>+VENTAS!B58</f>
        <v>10090000</v>
      </c>
      <c r="C4" s="74">
        <f>+VENTAS!C58</f>
        <v>8837260</v>
      </c>
      <c r="D4" s="74">
        <f>+VENTAS!D58</f>
        <v>10574320</v>
      </c>
    </row>
    <row r="5" spans="1:4" x14ac:dyDescent="0.35">
      <c r="A5" s="74" t="s">
        <v>54</v>
      </c>
      <c r="B5" s="74">
        <f>+'GASTOS X EVENTO'!B103</f>
        <v>10019900</v>
      </c>
      <c r="C5" s="74">
        <f>+'GASTOS X EVENTO'!C103</f>
        <v>8779670.4000000004</v>
      </c>
      <c r="D5" s="74">
        <f>+'GASTOS X EVENTO'!D103</f>
        <v>10520455.199999999</v>
      </c>
    </row>
    <row r="6" spans="1:4" x14ac:dyDescent="0.35">
      <c r="A6" s="75" t="s">
        <v>75</v>
      </c>
      <c r="B6" s="76">
        <f>+B4-B5</f>
        <v>70100</v>
      </c>
      <c r="C6" s="76">
        <f t="shared" ref="C6:D6" si="0">+C4-C5</f>
        <v>57589.599999999627</v>
      </c>
      <c r="D6" s="76">
        <f t="shared" si="0"/>
        <v>53864.800000000745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GASTOS X EVENTO</vt:lpstr>
      <vt:lpstr>VENTAS</vt:lpstr>
      <vt:lpstr>VENTAS VS GASTOS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 Galindo</dc:creator>
  <cp:lastModifiedBy>Santiago Galindo</cp:lastModifiedBy>
  <dcterms:created xsi:type="dcterms:W3CDTF">2025-07-10T00:11:00Z</dcterms:created>
  <dcterms:modified xsi:type="dcterms:W3CDTF">2025-09-15T12:50:13Z</dcterms:modified>
</cp:coreProperties>
</file>