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iyh\Desktop\ARQUICROW\"/>
    </mc:Choice>
  </mc:AlternateContent>
  <xr:revisionPtr revIDLastSave="0" documentId="13_ncr:1_{A012D473-5794-4D16-A37D-621AF9300DDB}" xr6:coauthVersionLast="47" xr6:coauthVersionMax="47" xr10:uidLastSave="{00000000-0000-0000-0000-000000000000}"/>
  <bookViews>
    <workbookView xWindow="-108" yWindow="-108" windowWidth="23256" windowHeight="13896" firstSheet="4" activeTab="6" xr2:uid="{5FE56D92-1B84-4843-8664-0432CE321818}"/>
  </bookViews>
  <sheets>
    <sheet name="Inversión Inicial" sheetId="7" r:id="rId1"/>
    <sheet name="Flujo de caja." sheetId="8" r:id="rId2"/>
    <sheet name="Indicadores financieros " sheetId="10" r:id="rId3"/>
    <sheet name="Presupuesto proyectado " sheetId="2" r:id="rId4"/>
    <sheet name="Balance Inicial Proyectado" sheetId="1" r:id="rId5"/>
    <sheet name="Estado de resultados proyecto" sheetId="3" r:id="rId6"/>
    <sheet name="Proyección ing - infl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8" l="1"/>
  <c r="D72" i="8"/>
  <c r="H24" i="8"/>
  <c r="H25" i="8" s="1"/>
  <c r="H31" i="8" s="1"/>
  <c r="D8" i="9"/>
  <c r="C8" i="10" l="1"/>
  <c r="I2" i="10"/>
  <c r="H4" i="10"/>
  <c r="H3" i="10" l="1"/>
  <c r="B3" i="10"/>
  <c r="D3" i="10" s="1"/>
  <c r="H5" i="10" s="1" a="1"/>
  <c r="H5" i="10" s="1"/>
  <c r="B4" i="10"/>
  <c r="B5" i="10"/>
  <c r="B6" i="10"/>
  <c r="B7" i="10"/>
  <c r="C4" i="10"/>
  <c r="C5" i="10"/>
  <c r="C6" i="10"/>
  <c r="C7" i="10"/>
  <c r="C82" i="8"/>
  <c r="L80" i="8"/>
  <c r="H50" i="8"/>
  <c r="H20" i="8"/>
  <c r="I20" i="8"/>
  <c r="F8" i="8" s="1"/>
  <c r="F14" i="8"/>
  <c r="E14" i="8"/>
  <c r="C51" i="8"/>
  <c r="H51" i="8"/>
  <c r="C3" i="10" l="1"/>
  <c r="G10" i="1"/>
  <c r="D67" i="8"/>
  <c r="C78" i="8" l="1"/>
  <c r="C79" i="8" l="1"/>
  <c r="E75" i="8"/>
  <c r="C95" i="8"/>
  <c r="H55" i="8"/>
  <c r="J82" i="8"/>
  <c r="K82" i="8" s="1"/>
  <c r="N80" i="8"/>
  <c r="N25" i="7"/>
  <c r="N26" i="7"/>
  <c r="N27" i="7"/>
  <c r="N28" i="7"/>
  <c r="N29" i="7"/>
  <c r="N30" i="7"/>
  <c r="N31" i="7"/>
  <c r="N24" i="7"/>
  <c r="N12" i="7"/>
  <c r="N13" i="7"/>
  <c r="N14" i="7"/>
  <c r="N15" i="7"/>
  <c r="N16" i="7"/>
  <c r="N17" i="7"/>
  <c r="N11" i="7"/>
  <c r="K12" i="7"/>
  <c r="D7" i="9"/>
  <c r="D20" i="8"/>
  <c r="D28" i="8"/>
  <c r="J25" i="7"/>
  <c r="J26" i="7"/>
  <c r="J27" i="7"/>
  <c r="J28" i="7"/>
  <c r="J29" i="7"/>
  <c r="J30" i="7"/>
  <c r="J31" i="7"/>
  <c r="J24" i="7"/>
  <c r="K24" i="7" s="1"/>
  <c r="I32" i="7"/>
  <c r="K13" i="7"/>
  <c r="K14" i="7"/>
  <c r="K15" i="7"/>
  <c r="K16" i="7"/>
  <c r="K17" i="7"/>
  <c r="K18" i="7"/>
  <c r="J13" i="7"/>
  <c r="J14" i="7"/>
  <c r="J15" i="7"/>
  <c r="J16" i="7"/>
  <c r="J17" i="7"/>
  <c r="J18" i="7"/>
  <c r="J12" i="7"/>
  <c r="D5" i="9" l="1"/>
  <c r="D6" i="9" s="1"/>
  <c r="D3" i="9" s="1"/>
  <c r="E7" i="9" l="1"/>
  <c r="E8" i="9" s="1"/>
  <c r="E5" i="9"/>
  <c r="D24" i="8"/>
  <c r="D25" i="8" s="1"/>
  <c r="L16" i="8"/>
  <c r="E20" i="8"/>
  <c r="D3" i="2"/>
  <c r="C4" i="3"/>
  <c r="E4" i="2"/>
  <c r="F4" i="2" s="1"/>
  <c r="G4" i="2" s="1"/>
  <c r="H4" i="2" s="1"/>
  <c r="E5" i="2"/>
  <c r="F5" i="2" s="1"/>
  <c r="G5" i="2" s="1"/>
  <c r="H5" i="2" s="1"/>
  <c r="E6" i="2"/>
  <c r="F6" i="2" s="1"/>
  <c r="G6" i="2" s="1"/>
  <c r="H6" i="2" s="1"/>
  <c r="D4" i="2"/>
  <c r="D5" i="2"/>
  <c r="D6" i="2"/>
  <c r="D7" i="2"/>
  <c r="E7" i="2" s="1"/>
  <c r="F7" i="2" s="1"/>
  <c r="G7" i="2" s="1"/>
  <c r="H7" i="2" s="1"/>
  <c r="C8" i="2"/>
  <c r="D4" i="3" l="1"/>
  <c r="C5" i="3"/>
  <c r="C6" i="3" s="1"/>
  <c r="E6" i="9"/>
  <c r="E3" i="9" s="1"/>
  <c r="F5" i="9"/>
  <c r="F7" i="9"/>
  <c r="F8" i="9" s="1"/>
  <c r="E3" i="2"/>
  <c r="F3" i="2" s="1"/>
  <c r="G3" i="2" s="1"/>
  <c r="H3" i="2" s="1"/>
  <c r="I3" i="2" l="1"/>
  <c r="G7" i="9"/>
  <c r="G8" i="9" s="1"/>
  <c r="G5" i="9"/>
  <c r="F6" i="9"/>
  <c r="F3" i="9" s="1"/>
  <c r="E3" i="10" l="1"/>
  <c r="G6" i="9"/>
  <c r="G3" i="9" s="1"/>
  <c r="C6" i="1"/>
  <c r="E4" i="3"/>
  <c r="C108" i="8"/>
  <c r="J32" i="7"/>
  <c r="H32" i="7"/>
  <c r="H19" i="7"/>
  <c r="K79" i="8"/>
  <c r="E28" i="8"/>
  <c r="F28" i="8"/>
  <c r="C20" i="7"/>
  <c r="C4" i="7" s="1"/>
  <c r="D74" i="8"/>
  <c r="E29" i="8"/>
  <c r="F20" i="8"/>
  <c r="F29" i="8" s="1"/>
  <c r="G20" i="8"/>
  <c r="G29" i="8" s="1"/>
  <c r="G28" i="8" l="1"/>
  <c r="C47" i="8"/>
  <c r="D29" i="8"/>
  <c r="D30" i="8" s="1"/>
  <c r="K78" i="8"/>
  <c r="I19" i="8"/>
  <c r="K80" i="8" l="1"/>
  <c r="C92" i="8"/>
  <c r="E74" i="8"/>
  <c r="F74" i="8" s="1"/>
  <c r="G74" i="8" s="1"/>
  <c r="H74" i="8" s="1"/>
  <c r="H62" i="8"/>
  <c r="H66" i="8" s="1"/>
  <c r="C54" i="8"/>
  <c r="G51" i="8"/>
  <c r="F51" i="8"/>
  <c r="E51" i="8"/>
  <c r="D51" i="8"/>
  <c r="G24" i="8"/>
  <c r="G25" i="8" s="1"/>
  <c r="F24" i="8"/>
  <c r="F25" i="8" s="1"/>
  <c r="E24" i="8"/>
  <c r="E25" i="8" s="1"/>
  <c r="D31" i="8"/>
  <c r="K23" i="8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K45" i="8" s="1"/>
  <c r="K46" i="8" s="1"/>
  <c r="K47" i="8" s="1"/>
  <c r="K48" i="8" s="1"/>
  <c r="K49" i="8" s="1"/>
  <c r="K50" i="8" s="1"/>
  <c r="K51" i="8" s="1"/>
  <c r="K52" i="8" s="1"/>
  <c r="K53" i="8" s="1"/>
  <c r="K54" i="8" s="1"/>
  <c r="K55" i="8" s="1"/>
  <c r="K56" i="8" s="1"/>
  <c r="K57" i="8" s="1"/>
  <c r="K58" i="8" s="1"/>
  <c r="K59" i="8" s="1"/>
  <c r="K60" i="8" s="1"/>
  <c r="K61" i="8" s="1"/>
  <c r="K62" i="8" s="1"/>
  <c r="K63" i="8" s="1"/>
  <c r="K64" i="8" s="1"/>
  <c r="K65" i="8" s="1"/>
  <c r="K66" i="8" s="1"/>
  <c r="K67" i="8" s="1"/>
  <c r="K68" i="8" s="1"/>
  <c r="K69" i="8" s="1"/>
  <c r="K31" i="7"/>
  <c r="K30" i="7"/>
  <c r="K29" i="7"/>
  <c r="K28" i="7"/>
  <c r="K27" i="7"/>
  <c r="K26" i="7"/>
  <c r="K25" i="7"/>
  <c r="D20" i="7"/>
  <c r="J19" i="7"/>
  <c r="A12" i="7"/>
  <c r="A13" i="7" s="1"/>
  <c r="A14" i="7" s="1"/>
  <c r="A15" i="7" s="1"/>
  <c r="A16" i="7" s="1"/>
  <c r="A17" i="7" s="1"/>
  <c r="A18" i="7" s="1"/>
  <c r="A19" i="7" s="1"/>
  <c r="H28" i="8" l="1"/>
  <c r="H29" i="8"/>
  <c r="E31" i="8"/>
  <c r="E32" i="8"/>
  <c r="F31" i="8"/>
  <c r="F32" i="8"/>
  <c r="G31" i="8"/>
  <c r="G32" i="8"/>
  <c r="C5" i="7"/>
  <c r="C48" i="8"/>
  <c r="K32" i="7"/>
  <c r="D32" i="8"/>
  <c r="K19" i="7"/>
  <c r="E30" i="8"/>
  <c r="F30" i="8"/>
  <c r="G30" i="8"/>
  <c r="E18" i="7" l="1"/>
  <c r="E20" i="7" s="1"/>
  <c r="C6" i="7" s="1"/>
  <c r="M80" i="8"/>
  <c r="E41" i="8" s="1"/>
  <c r="H42" i="8"/>
  <c r="H32" i="8"/>
  <c r="H30" i="8"/>
  <c r="F41" i="8"/>
  <c r="H33" i="8"/>
  <c r="D33" i="8"/>
  <c r="C49" i="8" l="1"/>
  <c r="C55" i="8" s="1"/>
  <c r="C7" i="7"/>
  <c r="D5" i="7" s="1"/>
  <c r="D6" i="7"/>
  <c r="G42" i="8"/>
  <c r="E42" i="8"/>
  <c r="F33" i="8"/>
  <c r="D41" i="8"/>
  <c r="D42" i="8"/>
  <c r="E34" i="8"/>
  <c r="F34" i="8"/>
  <c r="F35" i="8" s="1"/>
  <c r="F37" i="8" s="1"/>
  <c r="F38" i="8" s="1"/>
  <c r="F40" i="8" s="1"/>
  <c r="E33" i="8"/>
  <c r="H41" i="8"/>
  <c r="G41" i="8"/>
  <c r="G33" i="8"/>
  <c r="G34" i="8"/>
  <c r="F42" i="8"/>
  <c r="H34" i="8"/>
  <c r="H35" i="8" s="1"/>
  <c r="H37" i="8" s="1"/>
  <c r="D34" i="8"/>
  <c r="D4" i="7"/>
  <c r="G35" i="8"/>
  <c r="G37" i="8" s="1"/>
  <c r="G38" i="8" s="1"/>
  <c r="G40" i="8" s="1"/>
  <c r="D35" i="8"/>
  <c r="D7" i="7" l="1"/>
  <c r="C8" i="7"/>
  <c r="L21" i="8" s="1"/>
  <c r="L17" i="8" s="1"/>
  <c r="G44" i="8"/>
  <c r="G54" i="8" s="1"/>
  <c r="G56" i="8" s="1"/>
  <c r="G75" i="8" s="1"/>
  <c r="F44" i="8"/>
  <c r="F54" i="8" s="1"/>
  <c r="F56" i="8" s="1"/>
  <c r="F75" i="8" s="1"/>
  <c r="E80" i="8" s="1"/>
  <c r="E35" i="8"/>
  <c r="E37" i="8" s="1"/>
  <c r="E38" i="8" s="1"/>
  <c r="E40" i="8" s="1"/>
  <c r="E44" i="8" s="1"/>
  <c r="E54" i="8" s="1"/>
  <c r="E56" i="8" s="1"/>
  <c r="E65" i="8" s="1"/>
  <c r="C56" i="8"/>
  <c r="C75" i="8" s="1"/>
  <c r="O17" i="8"/>
  <c r="D37" i="8"/>
  <c r="D38" i="8" s="1"/>
  <c r="D40" i="8" s="1"/>
  <c r="D44" i="8" s="1"/>
  <c r="D54" i="8" s="1"/>
  <c r="D56" i="8" s="1"/>
  <c r="C8" i="3"/>
  <c r="C9" i="3"/>
  <c r="H38" i="8"/>
  <c r="H40" i="8" s="1"/>
  <c r="H44" i="8" s="1"/>
  <c r="H54" i="8" s="1"/>
  <c r="H56" i="8" s="1"/>
  <c r="G65" i="8"/>
  <c r="C83" i="8" l="1"/>
  <c r="C84" i="8" s="1"/>
  <c r="C72" i="8"/>
  <c r="G80" i="8"/>
  <c r="F65" i="8"/>
  <c r="M22" i="8"/>
  <c r="G81" i="8"/>
  <c r="H82" i="8" s="1"/>
  <c r="G72" i="8" s="1"/>
  <c r="O51" i="8"/>
  <c r="O54" i="8"/>
  <c r="O42" i="8"/>
  <c r="O65" i="8"/>
  <c r="O68" i="8"/>
  <c r="O33" i="8"/>
  <c r="O23" i="8"/>
  <c r="O48" i="8"/>
  <c r="O62" i="8"/>
  <c r="O66" i="8"/>
  <c r="O69" i="8"/>
  <c r="O36" i="8"/>
  <c r="O45" i="8"/>
  <c r="O27" i="8"/>
  <c r="O41" i="8"/>
  <c r="O40" i="8"/>
  <c r="O38" i="8"/>
  <c r="O44" i="8"/>
  <c r="O50" i="8"/>
  <c r="O56" i="8"/>
  <c r="O61" i="8"/>
  <c r="O52" i="8"/>
  <c r="O39" i="8"/>
  <c r="O32" i="8"/>
  <c r="O22" i="8"/>
  <c r="C65" i="8"/>
  <c r="O47" i="8"/>
  <c r="O43" i="8"/>
  <c r="O29" i="8"/>
  <c r="O46" i="8"/>
  <c r="O30" i="8"/>
  <c r="O28" i="8"/>
  <c r="O67" i="8"/>
  <c r="O55" i="8"/>
  <c r="O53" i="8"/>
  <c r="O37" i="8"/>
  <c r="O57" i="8"/>
  <c r="O49" i="8"/>
  <c r="D65" i="8"/>
  <c r="D75" i="8"/>
  <c r="O63" i="8"/>
  <c r="O24" i="8"/>
  <c r="O31" i="8"/>
  <c r="O25" i="8"/>
  <c r="O58" i="8"/>
  <c r="O34" i="8"/>
  <c r="O35" i="8"/>
  <c r="O60" i="8"/>
  <c r="O26" i="8"/>
  <c r="O59" i="8"/>
  <c r="O64" i="8"/>
  <c r="N22" i="8"/>
  <c r="L22" i="8" s="1"/>
  <c r="M23" i="8" s="1"/>
  <c r="H75" i="8"/>
  <c r="H65" i="8"/>
  <c r="H67" i="8" s="1"/>
  <c r="H76" i="8" l="1"/>
  <c r="D73" i="8"/>
  <c r="E72" i="8"/>
  <c r="N23" i="8"/>
  <c r="L23" i="8" s="1"/>
  <c r="M24" i="8" s="1"/>
  <c r="N24" i="8" s="1"/>
  <c r="E81" i="8"/>
  <c r="F82" i="8" s="1"/>
  <c r="F72" i="8" s="1"/>
  <c r="L24" i="8"/>
  <c r="M25" i="8" s="1"/>
  <c r="N25" i="8" l="1"/>
  <c r="L25" i="8" l="1"/>
  <c r="M26" i="8" l="1"/>
  <c r="N26" i="8" l="1"/>
  <c r="L26" i="8" l="1"/>
  <c r="M27" i="8" l="1"/>
  <c r="N27" i="8" l="1"/>
  <c r="L27" i="8" s="1"/>
  <c r="M28" i="8" l="1"/>
  <c r="N28" i="8" l="1"/>
  <c r="L28" i="8" s="1"/>
  <c r="M29" i="8" l="1"/>
  <c r="N29" i="8" s="1"/>
  <c r="L29" i="8" s="1"/>
  <c r="M30" i="8" l="1"/>
  <c r="N30" i="8" s="1"/>
  <c r="L30" i="8" s="1"/>
  <c r="M31" i="8" l="1"/>
  <c r="N31" i="8" s="1"/>
  <c r="L31" i="8" s="1"/>
  <c r="M32" i="8" l="1"/>
  <c r="N32" i="8" s="1"/>
  <c r="L32" i="8" s="1"/>
  <c r="M33" i="8" l="1"/>
  <c r="N33" i="8" l="1"/>
  <c r="D60" i="8" s="1"/>
  <c r="D61" i="8"/>
  <c r="D62" i="8" l="1"/>
  <c r="D66" i="8" s="1"/>
  <c r="L33" i="8"/>
  <c r="D76" i="8" l="1"/>
  <c r="M34" i="8"/>
  <c r="N34" i="8" l="1"/>
  <c r="L34" i="8" l="1"/>
  <c r="M35" i="8" l="1"/>
  <c r="N35" i="8" l="1"/>
  <c r="L35" i="8" l="1"/>
  <c r="M36" i="8" l="1"/>
  <c r="N36" i="8" l="1"/>
  <c r="L36" i="8" l="1"/>
  <c r="M37" i="8" l="1"/>
  <c r="N37" i="8" l="1"/>
  <c r="L37" i="8" l="1"/>
  <c r="M38" i="8" l="1"/>
  <c r="N38" i="8" l="1"/>
  <c r="L38" i="8" l="1"/>
  <c r="M39" i="8" l="1"/>
  <c r="N39" i="8" s="1"/>
  <c r="L39" i="8" s="1"/>
  <c r="M40" i="8" l="1"/>
  <c r="N40" i="8" s="1"/>
  <c r="L40" i="8" s="1"/>
  <c r="M41" i="8" l="1"/>
  <c r="N41" i="8" s="1"/>
  <c r="L41" i="8" s="1"/>
  <c r="M42" i="8" l="1"/>
  <c r="N42" i="8" s="1"/>
  <c r="L42" i="8" s="1"/>
  <c r="M43" i="8" l="1"/>
  <c r="N43" i="8" s="1"/>
  <c r="L43" i="8" s="1"/>
  <c r="M44" i="8" l="1"/>
  <c r="N44" i="8" s="1"/>
  <c r="L44" i="8" s="1"/>
  <c r="M45" i="8" l="1"/>
  <c r="N45" i="8" l="1"/>
  <c r="E61" i="8"/>
  <c r="E60" i="8" l="1"/>
  <c r="E62" i="8" s="1"/>
  <c r="E66" i="8" s="1"/>
  <c r="E67" i="8" s="1"/>
  <c r="L45" i="8"/>
  <c r="M46" i="8" l="1"/>
  <c r="G84" i="8"/>
  <c r="E76" i="8"/>
  <c r="E84" i="8" l="1"/>
  <c r="N46" i="8"/>
  <c r="L46" i="8" l="1"/>
  <c r="M47" i="8" l="1"/>
  <c r="N47" i="8" l="1"/>
  <c r="L47" i="8" l="1"/>
  <c r="M48" i="8" l="1"/>
  <c r="N48" i="8" l="1"/>
  <c r="L48" i="8" l="1"/>
  <c r="M49" i="8" l="1"/>
  <c r="N49" i="8" l="1"/>
  <c r="L49" i="8" l="1"/>
  <c r="M50" i="8" l="1"/>
  <c r="N50" i="8" l="1"/>
  <c r="C10" i="3"/>
  <c r="C11" i="3" s="1"/>
  <c r="D14" i="1"/>
  <c r="E14" i="1"/>
  <c r="F14" i="1"/>
  <c r="G14" i="1"/>
  <c r="D10" i="1"/>
  <c r="E10" i="1"/>
  <c r="F10" i="1"/>
  <c r="D6" i="1"/>
  <c r="E6" i="1"/>
  <c r="F6" i="1"/>
  <c r="G6" i="1"/>
  <c r="C14" i="1"/>
  <c r="C10" i="1"/>
  <c r="I7" i="2" l="1"/>
  <c r="E8" i="2"/>
  <c r="I4" i="2"/>
  <c r="D8" i="2"/>
  <c r="L50" i="8"/>
  <c r="C12" i="3"/>
  <c r="D5" i="3"/>
  <c r="E5" i="3" s="1"/>
  <c r="F5" i="3" s="1"/>
  <c r="G5" i="3" s="1"/>
  <c r="D8" i="3"/>
  <c r="E8" i="3" s="1"/>
  <c r="F8" i="3" s="1"/>
  <c r="G8" i="3" s="1"/>
  <c r="D9" i="3"/>
  <c r="E9" i="3" s="1"/>
  <c r="F9" i="3" s="1"/>
  <c r="G9" i="3" s="1"/>
  <c r="I6" i="2" l="1"/>
  <c r="I5" i="2"/>
  <c r="G8" i="2"/>
  <c r="F8" i="2"/>
  <c r="M51" i="8"/>
  <c r="N51" i="8" s="1"/>
  <c r="L51" i="8" s="1"/>
  <c r="D6" i="3"/>
  <c r="D10" i="3" l="1"/>
  <c r="H8" i="2"/>
  <c r="I8" i="2"/>
  <c r="M52" i="8"/>
  <c r="N52" i="8" s="1"/>
  <c r="L52" i="8" s="1"/>
  <c r="F4" i="3"/>
  <c r="E6" i="3"/>
  <c r="D11" i="3"/>
  <c r="D12" i="3" s="1"/>
  <c r="E10" i="3" l="1"/>
  <c r="E11" i="3" s="1"/>
  <c r="D4" i="10"/>
  <c r="M53" i="8"/>
  <c r="N53" i="8" s="1"/>
  <c r="L53" i="8" s="1"/>
  <c r="E12" i="3"/>
  <c r="G4" i="3"/>
  <c r="G6" i="3" s="1"/>
  <c r="F6" i="3"/>
  <c r="D5" i="10" l="1"/>
  <c r="E4" i="10"/>
  <c r="E5" i="10" s="1"/>
  <c r="G10" i="3"/>
  <c r="G11" i="3" s="1"/>
  <c r="F10" i="3"/>
  <c r="F11" i="3" s="1"/>
  <c r="H2" i="10"/>
  <c r="F12" i="3"/>
  <c r="M54" i="8"/>
  <c r="N54" i="8" s="1"/>
  <c r="L54" i="8" s="1"/>
  <c r="G12" i="3"/>
  <c r="D6" i="10" l="1"/>
  <c r="D7" i="10" s="1"/>
  <c r="M55" i="8"/>
  <c r="N55" i="8" s="1"/>
  <c r="L55" i="8" s="1"/>
  <c r="E6" i="10" l="1"/>
  <c r="C10" i="10"/>
  <c r="M56" i="8"/>
  <c r="N56" i="8" s="1"/>
  <c r="L56" i="8" s="1"/>
  <c r="E7" i="10" l="1"/>
  <c r="H6" i="10" s="1" a="1"/>
  <c r="H6" i="10" s="1"/>
  <c r="M57" i="8"/>
  <c r="N57" i="8" l="1"/>
  <c r="F61" i="8"/>
  <c r="F60" i="8" l="1"/>
  <c r="F62" i="8" s="1"/>
  <c r="F66" i="8" s="1"/>
  <c r="F67" i="8" s="1"/>
  <c r="L57" i="8"/>
  <c r="F76" i="8" l="1"/>
  <c r="M58" i="8"/>
  <c r="N58" i="8" l="1"/>
  <c r="L58" i="8" l="1"/>
  <c r="M59" i="8" l="1"/>
  <c r="N59" i="8" l="1"/>
  <c r="L59" i="8" l="1"/>
  <c r="M60" i="8" l="1"/>
  <c r="N60" i="8" l="1"/>
  <c r="L60" i="8" l="1"/>
  <c r="M61" i="8" l="1"/>
  <c r="N61" i="8" l="1"/>
  <c r="L61" i="8" l="1"/>
  <c r="M62" i="8" l="1"/>
  <c r="N62" i="8" l="1"/>
  <c r="L62" i="8" l="1"/>
  <c r="M63" i="8" l="1"/>
  <c r="N63" i="8" s="1"/>
  <c r="L63" i="8" s="1"/>
  <c r="M64" i="8" l="1"/>
  <c r="N64" i="8" s="1"/>
  <c r="L64" i="8" s="1"/>
  <c r="M65" i="8" l="1"/>
  <c r="N65" i="8" s="1"/>
  <c r="L65" i="8" s="1"/>
  <c r="M66" i="8" l="1"/>
  <c r="N66" i="8" s="1"/>
  <c r="L66" i="8" s="1"/>
  <c r="M67" i="8" l="1"/>
  <c r="N67" i="8" s="1"/>
  <c r="L67" i="8" s="1"/>
  <c r="M68" i="8" l="1"/>
  <c r="N68" i="8" s="1"/>
  <c r="L68" i="8" s="1"/>
  <c r="M69" i="8" l="1"/>
  <c r="N69" i="8" l="1"/>
  <c r="M70" i="8"/>
  <c r="G61" i="8"/>
  <c r="N70" i="8" l="1"/>
  <c r="G60" i="8"/>
  <c r="G62" i="8" s="1"/>
  <c r="G66" i="8" s="1"/>
  <c r="G67" i="8" s="1"/>
  <c r="L69" i="8"/>
  <c r="C59" i="8" l="1"/>
  <c r="C62" i="8" s="1"/>
  <c r="C66" i="8" s="1"/>
  <c r="C67" i="8" s="1"/>
  <c r="G76" i="8"/>
  <c r="E73" i="8" s="1"/>
  <c r="C76" i="8" l="1"/>
  <c r="C73" i="8"/>
  <c r="G85" i="8"/>
  <c r="H86" i="8" s="1"/>
  <c r="G73" i="8" s="1"/>
  <c r="E85" i="8"/>
  <c r="F86" i="8" l="1"/>
  <c r="F7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 Alejandro Muñetones Ortiz</author>
  </authors>
  <commentList>
    <comment ref="B28" authorId="0" shapeId="0" xr:uid="{8556DC76-2812-4553-B72D-7F37E5BA7610}">
      <text>
        <r>
          <rPr>
            <b/>
            <sz val="9"/>
            <color indexed="81"/>
            <rFont val="Tahoma"/>
            <family val="2"/>
          </rPr>
          <t>Dani Alejandro Muñetones Ortiz:</t>
        </r>
        <r>
          <rPr>
            <sz val="9"/>
            <color indexed="81"/>
            <rFont val="Tahoma"/>
            <family val="2"/>
          </rPr>
          <t xml:space="preserve">
Servicios publicos
Mantenimiento de maquinaria
Pago a proveedores
</t>
        </r>
      </text>
    </comment>
    <comment ref="B29" authorId="0" shapeId="0" xr:uid="{5D063DA5-C34A-44FE-8E2C-80DDD5D049D2}">
      <text>
        <r>
          <rPr>
            <b/>
            <sz val="9"/>
            <color indexed="81"/>
            <rFont val="Tahoma"/>
            <family val="2"/>
          </rPr>
          <t>Dani Alejandro Muñetones Ortiz:</t>
        </r>
        <r>
          <rPr>
            <sz val="9"/>
            <color indexed="81"/>
            <rFont val="Tahoma"/>
            <family val="2"/>
          </rPr>
          <t xml:space="preserve">
Empaques y presentacion de productos
</t>
        </r>
      </text>
    </comment>
    <comment ref="B31" authorId="0" shapeId="0" xr:uid="{E8FF2FB2-4612-4BCE-BCD4-A69EE9AC3E26}">
      <text>
        <r>
          <rPr>
            <b/>
            <sz val="9"/>
            <color indexed="81"/>
            <rFont val="Tahoma"/>
            <family val="2"/>
          </rPr>
          <t>Dani Alejandro Muñetones Ortiz:</t>
        </r>
        <r>
          <rPr>
            <sz val="9"/>
            <color indexed="81"/>
            <rFont val="Tahoma"/>
            <family val="2"/>
          </rPr>
          <t xml:space="preserve">
Sueldos Personal Administrativo
Suministros de oficina
Seguros
</t>
        </r>
      </text>
    </comment>
    <comment ref="B32" authorId="0" shapeId="0" xr:uid="{05CBAC72-43D8-4667-8624-380624B78A4A}">
      <text>
        <r>
          <rPr>
            <b/>
            <sz val="9"/>
            <color indexed="81"/>
            <rFont val="Tahoma"/>
            <family val="2"/>
          </rPr>
          <t>Dani Alejandro Muñetones Ortiz:</t>
        </r>
        <r>
          <rPr>
            <sz val="9"/>
            <color indexed="81"/>
            <rFont val="Tahoma"/>
            <family val="2"/>
          </rPr>
          <t xml:space="preserve">
Salarios Personal de ventas
Viajes y comidas
Materiales promocionales
Certificaciones de calidad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<sst xmlns="http://schemas.openxmlformats.org/spreadsheetml/2006/main" count="298" uniqueCount="200">
  <si>
    <t>INVERSION INICIAL</t>
  </si>
  <si>
    <t>Rubros</t>
  </si>
  <si>
    <t>Valor</t>
  </si>
  <si>
    <t>%</t>
  </si>
  <si>
    <t>Inversion en activos tangibles</t>
  </si>
  <si>
    <t>Inversion en activos intangibles</t>
  </si>
  <si>
    <t>Capital de trabajo</t>
  </si>
  <si>
    <t>Total Inversion</t>
  </si>
  <si>
    <t>Inversión - Tasa impositiva</t>
  </si>
  <si>
    <t>RUBRO</t>
  </si>
  <si>
    <t>ACTIVOS TANGIBLES</t>
  </si>
  <si>
    <t>ACTIVOS INTANG</t>
  </si>
  <si>
    <t>KW</t>
  </si>
  <si>
    <t>MANO DE OBRA - PERIODO DE PRUEBA</t>
  </si>
  <si>
    <t>Terreno</t>
  </si>
  <si>
    <t>CARGOS</t>
  </si>
  <si>
    <t>CANTIDAD</t>
  </si>
  <si>
    <t>VALOR MENSUAL</t>
  </si>
  <si>
    <t>3 MESES</t>
  </si>
  <si>
    <t>Centro de acopio, instalaciones</t>
  </si>
  <si>
    <t>Ingeniero Civil</t>
  </si>
  <si>
    <t xml:space="preserve">Materia prima </t>
  </si>
  <si>
    <t>Ingeniero Financiero</t>
  </si>
  <si>
    <t>Constitucion del proyecto</t>
  </si>
  <si>
    <t>Contador Publico</t>
  </si>
  <si>
    <t>Muebles</t>
  </si>
  <si>
    <t>Aux. Administrativo</t>
  </si>
  <si>
    <t>Equipos de computo</t>
  </si>
  <si>
    <t>Profesional en Negocios Int.</t>
  </si>
  <si>
    <t>Pagina Web y publicidad</t>
  </si>
  <si>
    <t>Ejecutivo Comercial</t>
  </si>
  <si>
    <t>Sueldos</t>
  </si>
  <si>
    <t>Arquitectos</t>
  </si>
  <si>
    <t>Camiones</t>
  </si>
  <si>
    <t xml:space="preserve">Total de profesionales </t>
  </si>
  <si>
    <t>Total</t>
  </si>
  <si>
    <t>MANO DE OBRA - ANUAL</t>
  </si>
  <si>
    <t>12 MESES</t>
  </si>
  <si>
    <t>Otros</t>
  </si>
  <si>
    <t xml:space="preserve">TOTAL PROFESIONALES  </t>
  </si>
  <si>
    <t>Realizamos un  estudio de factibilidad del crowfunding para obtener como resultado la información siguiente:</t>
  </si>
  <si>
    <t>* El valor de salvamento del activo fijo es del 20%, a excepción del terreno</t>
  </si>
  <si>
    <t xml:space="preserve">* Las actividades por año. </t>
  </si>
  <si>
    <t xml:space="preserve">* El precio de cada proyecto efimero es de </t>
  </si>
  <si>
    <t>* El costo estimado por de la actividad es del 30%.</t>
  </si>
  <si>
    <t>CF</t>
  </si>
  <si>
    <t>CV</t>
  </si>
  <si>
    <t>* Los gastos de ventas se estiman en 4% de las ventas anuales, por año</t>
  </si>
  <si>
    <t>* La tasa impositiva es del 30%</t>
  </si>
  <si>
    <t>Información General</t>
  </si>
  <si>
    <t>Año 0</t>
  </si>
  <si>
    <t>Año 1</t>
  </si>
  <si>
    <t>Año 2</t>
  </si>
  <si>
    <t>Año 3</t>
  </si>
  <si>
    <t>Año 4</t>
  </si>
  <si>
    <t>Año 5</t>
  </si>
  <si>
    <t>TOTAL</t>
  </si>
  <si>
    <t>TASA</t>
  </si>
  <si>
    <t>ANUAL</t>
  </si>
  <si>
    <t>M.V</t>
  </si>
  <si>
    <t>Planes de ventas</t>
  </si>
  <si>
    <t>CUOTA FIJA</t>
  </si>
  <si>
    <t>PRESTAMO</t>
  </si>
  <si>
    <t>No. De actividades</t>
  </si>
  <si>
    <t>Tabla de amortización a 48 meses</t>
  </si>
  <si>
    <t>Precio por actividad</t>
  </si>
  <si>
    <t>Período (mensual)</t>
  </si>
  <si>
    <t>Saldo préstamo</t>
  </si>
  <si>
    <t>Servicio a la deuda</t>
  </si>
  <si>
    <t>Costo por actividad 30%</t>
  </si>
  <si>
    <t>Interés</t>
  </si>
  <si>
    <t>Amortización</t>
  </si>
  <si>
    <t>Cuota</t>
  </si>
  <si>
    <t>Flujo de Caja Operativo (FCO)</t>
  </si>
  <si>
    <t>INGRESOS</t>
  </si>
  <si>
    <t>Ingresos por venta productos</t>
  </si>
  <si>
    <t xml:space="preserve">     Total Ingresos</t>
  </si>
  <si>
    <t>EGRESOS</t>
  </si>
  <si>
    <t>Costo Fijo 30%</t>
  </si>
  <si>
    <t>Costo Variable 15%</t>
  </si>
  <si>
    <t xml:space="preserve">     Subtotal de costos de producción</t>
  </si>
  <si>
    <t>Gastos de administración 10%</t>
  </si>
  <si>
    <t>Gastos de ventas 5%</t>
  </si>
  <si>
    <t>Depreciación</t>
  </si>
  <si>
    <t>Amortización Intangibles</t>
  </si>
  <si>
    <t xml:space="preserve">     Total Egresos</t>
  </si>
  <si>
    <t>Utilidad antes de impuestos (UAI)</t>
  </si>
  <si>
    <t>Impuestos</t>
  </si>
  <si>
    <t>Utilidad neta</t>
  </si>
  <si>
    <t>Flujo de Caja de Capital (FCC)</t>
  </si>
  <si>
    <t>Inversión en activos tangibles</t>
  </si>
  <si>
    <t>Inversión en activos intangibles</t>
  </si>
  <si>
    <t>Valor Residual</t>
  </si>
  <si>
    <t>Flujo de Caja Económico (FCE)</t>
  </si>
  <si>
    <t>Préstamo</t>
  </si>
  <si>
    <t>Amortización - abono a capital</t>
  </si>
  <si>
    <t>Flujo de Caja Financiero (FCF)</t>
  </si>
  <si>
    <t>VA</t>
  </si>
  <si>
    <t xml:space="preserve">Flujos </t>
  </si>
  <si>
    <t>Valor actual neto</t>
  </si>
  <si>
    <t>TIR</t>
  </si>
  <si>
    <t>Costo beneficio</t>
  </si>
  <si>
    <t>Periodo descontable</t>
  </si>
  <si>
    <t>Periodo contables</t>
  </si>
  <si>
    <t>EVALUACIÓN ECONÓMICA</t>
  </si>
  <si>
    <t xml:space="preserve">TIO SIN DEUDA </t>
  </si>
  <si>
    <t>TIR&gt;TIO</t>
  </si>
  <si>
    <t>VIABLE</t>
  </si>
  <si>
    <t>EVALUACIÓN FINANCIERA</t>
  </si>
  <si>
    <t>TIO CON DEUDA</t>
  </si>
  <si>
    <t>TIR&lt;TIO</t>
  </si>
  <si>
    <t>NO ES VIABLE</t>
  </si>
  <si>
    <t>AÑOS</t>
  </si>
  <si>
    <t>TIR=TIO</t>
  </si>
  <si>
    <t>RECUPERO EL VALOR DE LA INVERSIÓN</t>
  </si>
  <si>
    <t>VA ECONOMICO</t>
  </si>
  <si>
    <t>VA FINANCIERO</t>
  </si>
  <si>
    <t>TASA OPORTUNIDAD ECONOMICA</t>
  </si>
  <si>
    <t>AT</t>
  </si>
  <si>
    <t>TASA OPORTUNIDAD FINANCIERA</t>
  </si>
  <si>
    <t>PERIODO DE RECUPERACION</t>
  </si>
  <si>
    <t>SALVAMENTO</t>
  </si>
  <si>
    <t xml:space="preserve">   1 AÑO</t>
  </si>
  <si>
    <t>Depreciacion</t>
  </si>
  <si>
    <t xml:space="preserve">   X AÑOS?</t>
  </si>
  <si>
    <t xml:space="preserve"> AI</t>
  </si>
  <si>
    <t>TASA INTERNA DE OPORTUNIDAD ECONOMICA</t>
  </si>
  <si>
    <t>Tasa del mercado financiero.</t>
  </si>
  <si>
    <t>Tasa esperada de inflacion.</t>
  </si>
  <si>
    <t>Tasa esperada por el inversionista.</t>
  </si>
  <si>
    <t>Tasa esperada por el empresario.</t>
  </si>
  <si>
    <t>TASA INTERNA DE OPORTUNIDAD</t>
  </si>
  <si>
    <t>TASA DE INFLACION ANUAL</t>
  </si>
  <si>
    <t>TASA ESPERADA DE INFLACIÓN</t>
  </si>
  <si>
    <t>Categoría</t>
  </si>
  <si>
    <t>Costo Inicial (COP)</t>
  </si>
  <si>
    <t>Total 5 Años (COP)</t>
  </si>
  <si>
    <t>Diseño y planificación</t>
  </si>
  <si>
    <t>Construcción e infraestructura</t>
  </si>
  <si>
    <t>Operación y gestión inicial</t>
  </si>
  <si>
    <t>Programas comunitarios y educativos</t>
  </si>
  <si>
    <t>Contingencias y fondos de reservas</t>
  </si>
  <si>
    <t>Total General</t>
  </si>
  <si>
    <r>
      <t>Tasa de cambio</t>
    </r>
    <r>
      <rPr>
        <sz val="10"/>
        <rFont val="Arial"/>
        <family val="2"/>
      </rPr>
      <t xml:space="preserve">: Suponiendo una tasa de cambio de </t>
    </r>
    <r>
      <rPr>
        <b/>
        <sz val="10"/>
        <rFont val="Arial"/>
        <family val="2"/>
      </rPr>
      <t>$4,000 COP/USD</t>
    </r>
    <r>
      <rPr>
        <sz val="10"/>
        <rFont val="Arial"/>
        <family val="2"/>
      </rPr>
      <t xml:space="preserve"> (ajustar según tasa vigente).</t>
    </r>
  </si>
  <si>
    <r>
      <t>Proyección a 5 años</t>
    </r>
    <r>
      <rPr>
        <sz val="10"/>
        <rFont val="Arial"/>
        <family val="2"/>
      </rPr>
      <t>: Se aplica una tasa de inflación anual promedio del 5.83% en Colombia para prever el aumento de costos.</t>
    </r>
  </si>
  <si>
    <t>Balance Inicial Proyectado</t>
  </si>
  <si>
    <t>Activos</t>
  </si>
  <si>
    <t>Activo Corriente</t>
  </si>
  <si>
    <t>Activo Fijo (Infraestructura)</t>
  </si>
  <si>
    <t>Total Activos</t>
  </si>
  <si>
    <t>Pasivos</t>
  </si>
  <si>
    <t>Pasivo Corriente</t>
  </si>
  <si>
    <t>Financiamiento a Largo Plazo</t>
  </si>
  <si>
    <t>Total Pasivos</t>
  </si>
  <si>
    <t>Patrimonio</t>
  </si>
  <si>
    <t>Aportaciones Iniciales</t>
  </si>
  <si>
    <t>Utilidades Acumuladas</t>
  </si>
  <si>
    <t>Total Patrimonio</t>
  </si>
  <si>
    <t>Estado de Resultados.</t>
  </si>
  <si>
    <t>Ingresos</t>
  </si>
  <si>
    <t>Ventas del Mercado</t>
  </si>
  <si>
    <t>Actividades Culturales</t>
  </si>
  <si>
    <t>Total Ingresos</t>
  </si>
  <si>
    <t>Costos y Gastos</t>
  </si>
  <si>
    <t>Costos de Operación</t>
  </si>
  <si>
    <t>Total Costos y Gastos</t>
  </si>
  <si>
    <t>Utilidad Bruta</t>
  </si>
  <si>
    <t>Impuestos (30%)</t>
  </si>
  <si>
    <t>Utilidad Neta</t>
  </si>
  <si>
    <t>INGRESOS (Milones)</t>
  </si>
  <si>
    <t>VARIABLES</t>
  </si>
  <si>
    <t>IPC</t>
  </si>
  <si>
    <t xml:space="preserve">Inflación </t>
  </si>
  <si>
    <t>Variación</t>
  </si>
  <si>
    <t>SALARIO</t>
  </si>
  <si>
    <t>DISTRIBUCIÓN PORCENTUAL CARGOS ANUAL</t>
  </si>
  <si>
    <t>DISTRIBUCIÓN PORCENTUAL CARGOS PERIODO DE PRUEBA</t>
  </si>
  <si>
    <t>VALOR DEPRECIADO * AÑO</t>
  </si>
  <si>
    <t>TOTAL DEPRECIACIÓN</t>
  </si>
  <si>
    <t>Beneficios Netos</t>
  </si>
  <si>
    <t>Año</t>
  </si>
  <si>
    <t>Flujo Descontado (11,46%)</t>
  </si>
  <si>
    <t>Acumulado</t>
  </si>
  <si>
    <t>Acumulado Descontado</t>
  </si>
  <si>
    <t>Indicador</t>
  </si>
  <si>
    <t>VAN</t>
  </si>
  <si>
    <t>IR (Índice de Rentabilidad)</t>
  </si>
  <si>
    <t>Payback simple (años)</t>
  </si>
  <si>
    <t>Payback descontado (años)</t>
  </si>
  <si>
    <t>Valores</t>
  </si>
  <si>
    <t xml:space="preserve">Costo de la Inversión </t>
  </si>
  <si>
    <t xml:space="preserve">ROI  Periodo de 5 años </t>
  </si>
  <si>
    <t>ROI  Por año</t>
  </si>
  <si>
    <t>VAN manual:</t>
  </si>
  <si>
    <t xml:space="preserve">Los datos de los estados financieros son simulados y han sido creados con el proposito de ejemplificar la aplicación en la aplicación presupuestal. </t>
  </si>
  <si>
    <t xml:space="preserve">Los datos de los del balance inicial proyectado son simulados y han sido creados con el proposito de ejemplificar la aplicación en la aplicación presupuestal. </t>
  </si>
  <si>
    <t>* Los gastos administrativos estimados son del 10%</t>
  </si>
  <si>
    <t>* Del 100% de la inversión inicial requerida, se cubrirá con un préstamo bancario, los cuales serán pagados mensualmente, durante cuatro años  la tasa es el 7,44% EA</t>
  </si>
  <si>
    <t>Monografia Crowdfunding cívico como herramienta para la recuperación del Parque El Lago “Parque de los Novios”  Mercado Efimero</t>
  </si>
  <si>
    <t>Flujo de Caja Neto 
(Ingresos)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</si>
</sst>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(* #.;_(* \(#.;_(* &quot;-&quot;??_);_(@_ⴆ"/>
    <numFmt numFmtId="166" formatCode="_(* #,##0_);_(* \(#,##0\);_(* &quot;-&quot;??_);_(@_)"/>
    <numFmt numFmtId="167" formatCode="#,##0.0"/>
    <numFmt numFmtId="168" formatCode="_-* #,##0.0_-;\-* #,##0.0_-;_-* &quot;-&quot;??_-;_-@_-"/>
    <numFmt numFmtId="169" formatCode="&quot;$&quot;#,##0;[Red]\-&quot;$&quot;#,##0"/>
    <numFmt numFmtId="170" formatCode="&quot;$&quot;#,##0.00;[Red]\-&quot;$&quot;#,##0.00"/>
    <numFmt numFmtId="171" formatCode="0.0"/>
    <numFmt numFmtId="172" formatCode="0.0%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 Unicode MS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8"/>
      <name val="Berlin Sans FB Demi"/>
      <family val="2"/>
    </font>
    <font>
      <b/>
      <sz val="48"/>
      <color theme="8"/>
      <name val="Berlin Sans FB Demi"/>
      <family val="2"/>
    </font>
    <font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4" fillId="0" borderId="0" xfId="5" applyAlignment="1">
      <alignment wrapText="1"/>
    </xf>
    <xf numFmtId="0" fontId="6" fillId="0" borderId="1" xfId="5" applyFont="1" applyBorder="1" applyAlignment="1">
      <alignment vertical="center" wrapText="1"/>
    </xf>
    <xf numFmtId="6" fontId="6" fillId="0" borderId="1" xfId="5" applyNumberFormat="1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6" fontId="5" fillId="0" borderId="1" xfId="5" applyNumberFormat="1" applyFont="1" applyBorder="1" applyAlignment="1">
      <alignment vertical="center" wrapText="1"/>
    </xf>
    <xf numFmtId="0" fontId="7" fillId="0" borderId="0" xfId="5" applyFont="1"/>
    <xf numFmtId="6" fontId="4" fillId="0" borderId="0" xfId="5" applyNumberFormat="1" applyAlignment="1">
      <alignment wrapText="1"/>
    </xf>
    <xf numFmtId="164" fontId="0" fillId="0" borderId="0" xfId="3" applyNumberFormat="1" applyFont="1"/>
    <xf numFmtId="164" fontId="0" fillId="0" borderId="0" xfId="0" applyNumberFormat="1"/>
    <xf numFmtId="0" fontId="0" fillId="0" borderId="2" xfId="0" applyBorder="1"/>
    <xf numFmtId="0" fontId="0" fillId="2" borderId="2" xfId="0" applyFill="1" applyBorder="1"/>
    <xf numFmtId="164" fontId="0" fillId="0" borderId="2" xfId="3" applyNumberFormat="1" applyFont="1" applyBorder="1"/>
    <xf numFmtId="164" fontId="0" fillId="0" borderId="2" xfId="0" applyNumberFormat="1" applyBorder="1"/>
    <xf numFmtId="0" fontId="0" fillId="0" borderId="2" xfId="0" applyBorder="1" applyAlignment="1">
      <alignment horizontal="center"/>
    </xf>
    <xf numFmtId="164" fontId="0" fillId="3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6" fontId="0" fillId="0" borderId="2" xfId="0" applyNumberFormat="1" applyBorder="1"/>
    <xf numFmtId="0" fontId="0" fillId="3" borderId="2" xfId="0" applyFill="1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0" fillId="0" borderId="0" xfId="3" applyNumberFormat="1" applyFont="1" applyBorder="1"/>
    <xf numFmtId="9" fontId="0" fillId="0" borderId="0" xfId="0" applyNumberFormat="1"/>
    <xf numFmtId="10" fontId="0" fillId="0" borderId="0" xfId="0" applyNumberFormat="1"/>
    <xf numFmtId="164" fontId="9" fillId="0" borderId="2" xfId="3" applyNumberFormat="1" applyFont="1" applyFill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/>
    <xf numFmtId="9" fontId="0" fillId="0" borderId="2" xfId="1" applyNumberFormat="1" applyFont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164" fontId="9" fillId="0" borderId="2" xfId="3" applyNumberFormat="1" applyFont="1" applyBorder="1"/>
    <xf numFmtId="164" fontId="3" fillId="0" borderId="2" xfId="3" applyNumberFormat="1" applyFont="1" applyBorder="1"/>
    <xf numFmtId="165" fontId="0" fillId="0" borderId="2" xfId="1" applyNumberFormat="1" applyFont="1" applyBorder="1"/>
    <xf numFmtId="41" fontId="0" fillId="0" borderId="2" xfId="2" applyFont="1" applyBorder="1"/>
    <xf numFmtId="0" fontId="10" fillId="0" borderId="2" xfId="0" applyFont="1" applyBorder="1"/>
    <xf numFmtId="41" fontId="9" fillId="0" borderId="2" xfId="2" applyFont="1" applyBorder="1"/>
    <xf numFmtId="44" fontId="0" fillId="0" borderId="2" xfId="3" applyFont="1" applyBorder="1"/>
    <xf numFmtId="0" fontId="11" fillId="0" borderId="2" xfId="0" applyFont="1" applyBorder="1"/>
    <xf numFmtId="166" fontId="0" fillId="0" borderId="2" xfId="1" applyNumberFormat="1" applyFont="1" applyBorder="1"/>
    <xf numFmtId="41" fontId="3" fillId="0" borderId="2" xfId="2" applyFont="1" applyBorder="1"/>
    <xf numFmtId="165" fontId="2" fillId="6" borderId="2" xfId="1" applyNumberFormat="1" applyFont="1" applyFill="1" applyBorder="1"/>
    <xf numFmtId="41" fontId="2" fillId="6" borderId="2" xfId="2" applyFont="1" applyFill="1" applyBorder="1"/>
    <xf numFmtId="164" fontId="2" fillId="0" borderId="0" xfId="3" applyNumberFormat="1" applyFont="1" applyBorder="1"/>
    <xf numFmtId="41" fontId="2" fillId="6" borderId="2" xfId="2" applyFont="1" applyFill="1" applyBorder="1" applyAlignment="1">
      <alignment horizontal="center"/>
    </xf>
    <xf numFmtId="41" fontId="0" fillId="0" borderId="2" xfId="2" applyFont="1" applyFill="1" applyBorder="1"/>
    <xf numFmtId="0" fontId="0" fillId="7" borderId="2" xfId="0" applyFill="1" applyBorder="1"/>
    <xf numFmtId="9" fontId="0" fillId="0" borderId="0" xfId="4" applyFont="1"/>
    <xf numFmtId="41" fontId="0" fillId="0" borderId="0" xfId="0" applyNumberFormat="1"/>
    <xf numFmtId="170" fontId="0" fillId="0" borderId="0" xfId="0" applyNumberFormat="1"/>
    <xf numFmtId="169" fontId="0" fillId="0" borderId="0" xfId="0" applyNumberFormat="1"/>
    <xf numFmtId="10" fontId="0" fillId="0" borderId="8" xfId="0" applyNumberFormat="1" applyBorder="1"/>
    <xf numFmtId="9" fontId="0" fillId="0" borderId="2" xfId="0" applyNumberFormat="1" applyBorder="1"/>
    <xf numFmtId="43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3" applyNumberFormat="1" applyFont="1" applyBorder="1" applyAlignment="1">
      <alignment horizontal="center" vertical="center"/>
    </xf>
    <xf numFmtId="164" fontId="0" fillId="0" borderId="0" xfId="3" applyNumberFormat="1" applyFont="1" applyBorder="1" applyAlignment="1">
      <alignment horizontal="center" vertical="center"/>
    </xf>
    <xf numFmtId="9" fontId="0" fillId="0" borderId="0" xfId="4" applyFont="1" applyBorder="1" applyAlignment="1">
      <alignment horizontal="center" vertical="center"/>
    </xf>
    <xf numFmtId="44" fontId="0" fillId="0" borderId="0" xfId="3" applyFont="1" applyAlignment="1">
      <alignment horizontal="center" vertical="center"/>
    </xf>
    <xf numFmtId="164" fontId="0" fillId="0" borderId="0" xfId="3" applyNumberFormat="1" applyFont="1" applyAlignment="1">
      <alignment horizontal="center" vertical="center"/>
    </xf>
    <xf numFmtId="164" fontId="0" fillId="0" borderId="0" xfId="3" applyNumberFormat="1" applyFont="1" applyFill="1" applyBorder="1" applyAlignment="1">
      <alignment horizontal="center" vertical="center"/>
    </xf>
    <xf numFmtId="164" fontId="0" fillId="0" borderId="2" xfId="3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64" fontId="0" fillId="9" borderId="2" xfId="3" applyNumberFormat="1" applyFont="1" applyFill="1" applyBorder="1" applyAlignment="1">
      <alignment horizontal="center" vertical="center"/>
    </xf>
    <xf numFmtId="164" fontId="0" fillId="10" borderId="0" xfId="3" applyNumberFormat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9" fontId="0" fillId="0" borderId="13" xfId="4" applyFont="1" applyBorder="1" applyAlignment="1">
      <alignment horizontal="center" vertical="center"/>
    </xf>
    <xf numFmtId="9" fontId="0" fillId="9" borderId="13" xfId="4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164" fontId="0" fillId="8" borderId="15" xfId="3" applyNumberFormat="1" applyFont="1" applyFill="1" applyBorder="1" applyAlignment="1">
      <alignment horizontal="center" vertical="center"/>
    </xf>
    <xf numFmtId="9" fontId="0" fillId="8" borderId="16" xfId="4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64" fontId="0" fillId="9" borderId="2" xfId="0" applyNumberFormat="1" applyFill="1" applyBorder="1" applyAlignment="1">
      <alignment horizontal="center" vertical="center"/>
    </xf>
    <xf numFmtId="44" fontId="0" fillId="0" borderId="2" xfId="0" applyNumberFormat="1" applyBorder="1"/>
    <xf numFmtId="0" fontId="2" fillId="2" borderId="2" xfId="0" applyFont="1" applyFill="1" applyBorder="1" applyAlignment="1">
      <alignment horizontal="center"/>
    </xf>
    <xf numFmtId="0" fontId="0" fillId="6" borderId="7" xfId="0" applyFill="1" applyBorder="1"/>
    <xf numFmtId="164" fontId="0" fillId="9" borderId="2" xfId="3" applyNumberFormat="1" applyFont="1" applyFill="1" applyBorder="1"/>
    <xf numFmtId="0" fontId="0" fillId="10" borderId="2" xfId="0" applyFill="1" applyBorder="1"/>
    <xf numFmtId="9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10" fontId="0" fillId="9" borderId="2" xfId="4" applyNumberFormat="1" applyFont="1" applyFill="1" applyBorder="1" applyAlignment="1">
      <alignment horizontal="center"/>
    </xf>
    <xf numFmtId="10" fontId="0" fillId="0" borderId="2" xfId="4" applyNumberFormat="1" applyFont="1" applyBorder="1" applyAlignment="1">
      <alignment horizontal="center"/>
    </xf>
    <xf numFmtId="10" fontId="2" fillId="9" borderId="2" xfId="0" applyNumberFormat="1" applyFont="1" applyFill="1" applyBorder="1" applyAlignment="1">
      <alignment horizontal="center"/>
    </xf>
    <xf numFmtId="171" fontId="0" fillId="11" borderId="0" xfId="0" applyNumberFormat="1" applyFill="1"/>
    <xf numFmtId="171" fontId="0" fillId="11" borderId="2" xfId="0" applyNumberFormat="1" applyFill="1" applyBorder="1"/>
    <xf numFmtId="169" fontId="0" fillId="0" borderId="2" xfId="0" applyNumberFormat="1" applyBorder="1"/>
    <xf numFmtId="41" fontId="0" fillId="0" borderId="2" xfId="0" applyNumberFormat="1" applyBorder="1"/>
    <xf numFmtId="2" fontId="0" fillId="0" borderId="2" xfId="0" applyNumberFormat="1" applyBorder="1"/>
    <xf numFmtId="167" fontId="0" fillId="0" borderId="2" xfId="0" applyNumberFormat="1" applyBorder="1"/>
    <xf numFmtId="168" fontId="0" fillId="0" borderId="2" xfId="0" applyNumberFormat="1" applyBorder="1" applyAlignment="1">
      <alignment horizontal="right"/>
    </xf>
    <xf numFmtId="166" fontId="0" fillId="0" borderId="2" xfId="1" applyNumberFormat="1" applyFont="1" applyFill="1" applyBorder="1"/>
    <xf numFmtId="166" fontId="0" fillId="0" borderId="2" xfId="0" applyNumberFormat="1" applyBorder="1"/>
    <xf numFmtId="0" fontId="0" fillId="8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41" fontId="2" fillId="2" borderId="2" xfId="2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10" borderId="0" xfId="0" applyFill="1"/>
    <xf numFmtId="164" fontId="0" fillId="9" borderId="2" xfId="0" applyNumberFormat="1" applyFill="1" applyBorder="1"/>
    <xf numFmtId="0" fontId="2" fillId="6" borderId="2" xfId="0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 wrapText="1"/>
    </xf>
    <xf numFmtId="44" fontId="0" fillId="0" borderId="2" xfId="3" applyFont="1" applyBorder="1" applyAlignment="1">
      <alignment horizontal="center" vertical="center"/>
    </xf>
    <xf numFmtId="9" fontId="0" fillId="0" borderId="2" xfId="4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72" fontId="0" fillId="0" borderId="2" xfId="4" applyNumberFormat="1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10" borderId="0" xfId="0" applyFill="1" applyAlignment="1">
      <alignment horizontal="center"/>
    </xf>
    <xf numFmtId="41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0" fontId="0" fillId="9" borderId="6" xfId="0" applyFill="1" applyBorder="1" applyAlignment="1">
      <alignment horizontal="center"/>
    </xf>
    <xf numFmtId="164" fontId="0" fillId="0" borderId="6" xfId="3" applyNumberFormat="1" applyFont="1" applyBorder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0" fontId="0" fillId="9" borderId="2" xfId="0" applyFill="1" applyBorder="1" applyAlignment="1">
      <alignment horizontal="center"/>
    </xf>
    <xf numFmtId="164" fontId="0" fillId="0" borderId="2" xfId="3" applyNumberFormat="1" applyFont="1" applyBorder="1" applyAlignment="1">
      <alignment horizontal="center"/>
    </xf>
    <xf numFmtId="9" fontId="2" fillId="2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2" fillId="2" borderId="2" xfId="3" applyNumberFormat="1" applyFont="1" applyFill="1" applyBorder="1" applyAlignment="1">
      <alignment horizontal="center"/>
    </xf>
    <xf numFmtId="164" fontId="9" fillId="0" borderId="2" xfId="3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8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4" fontId="0" fillId="0" borderId="2" xfId="3" applyFont="1" applyBorder="1" applyAlignment="1">
      <alignment horizontal="center" vertical="center" wrapText="1"/>
    </xf>
    <xf numFmtId="44" fontId="14" fillId="0" borderId="2" xfId="3" applyFont="1" applyBorder="1" applyAlignment="1">
      <alignment horizontal="center" vertical="center" wrapText="1"/>
    </xf>
    <xf numFmtId="44" fontId="0" fillId="0" borderId="0" xfId="0" applyNumberFormat="1" applyAlignment="1">
      <alignment horizontal="center"/>
    </xf>
    <xf numFmtId="0" fontId="0" fillId="6" borderId="18" xfId="0" applyFill="1" applyBorder="1"/>
    <xf numFmtId="0" fontId="0" fillId="6" borderId="12" xfId="0" applyFill="1" applyBorder="1"/>
    <xf numFmtId="0" fontId="0" fillId="6" borderId="20" xfId="0" applyFill="1" applyBorder="1"/>
    <xf numFmtId="41" fontId="0" fillId="0" borderId="19" xfId="0" applyNumberFormat="1" applyBorder="1"/>
    <xf numFmtId="41" fontId="0" fillId="0" borderId="13" xfId="0" applyNumberFormat="1" applyBorder="1"/>
    <xf numFmtId="9" fontId="0" fillId="0" borderId="21" xfId="4" applyFont="1" applyBorder="1"/>
    <xf numFmtId="0" fontId="15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0" fillId="0" borderId="13" xfId="4" applyFont="1" applyBorder="1"/>
    <xf numFmtId="44" fontId="0" fillId="0" borderId="0" xfId="3" applyFont="1"/>
    <xf numFmtId="8" fontId="0" fillId="0" borderId="0" xfId="0" applyNumberFormat="1" applyAlignment="1">
      <alignment horizontal="center"/>
    </xf>
    <xf numFmtId="10" fontId="3" fillId="0" borderId="0" xfId="0" applyNumberFormat="1" applyFont="1"/>
    <xf numFmtId="6" fontId="19" fillId="0" borderId="2" xfId="0" applyNumberFormat="1" applyFont="1" applyBorder="1"/>
    <xf numFmtId="10" fontId="0" fillId="0" borderId="2" xfId="4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44" fontId="2" fillId="2" borderId="6" xfId="3" applyFont="1" applyFill="1" applyBorder="1" applyAlignment="1">
      <alignment horizontal="center" vertical="center"/>
    </xf>
    <xf numFmtId="44" fontId="2" fillId="2" borderId="17" xfId="3" applyFont="1" applyFill="1" applyBorder="1" applyAlignment="1">
      <alignment horizontal="center" vertical="center"/>
    </xf>
  </cellXfs>
  <cellStyles count="7">
    <cellStyle name="Millares" xfId="1" builtinId="3"/>
    <cellStyle name="Millares [0]" xfId="2" builtinId="6"/>
    <cellStyle name="Moneda" xfId="3" builtinId="4"/>
    <cellStyle name="Normal" xfId="0" builtinId="0"/>
    <cellStyle name="Normal 2" xfId="5" xr:uid="{876E22DD-B9AB-40B7-82B6-A905861C6CA1}"/>
    <cellStyle name="Porcentaje" xfId="4" builtinId="5"/>
    <cellStyle name="Porcentaje 2" xfId="6" xr:uid="{F56C96C9-2D3D-4339-AFE7-4F8C70A68C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Distribución porcentual de</a:t>
            </a:r>
            <a:r>
              <a:rPr lang="es-CO" b="1" baseline="0"/>
              <a:t> mano de obra - Periodo de prueba 3 meses.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673-46EA-88BD-5095643245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FA-4B9B-8EF6-9A48A3E608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FA-4B9B-8EF6-9A48A3E608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FA-4B9B-8EF6-9A48A3E608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FA-4B9B-8EF6-9A48A3E608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4FA-4B9B-8EF6-9A48A3E6085B}"/>
              </c:ext>
            </c:extLst>
          </c:dPt>
          <c:dPt>
            <c:idx val="6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73-46EA-88BD-5095643245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'Inversión Inicial'!$M$11:$M$17</c:f>
              <c:strCache>
                <c:ptCount val="7"/>
                <c:pt idx="0">
                  <c:v>Ingeniero Civil</c:v>
                </c:pt>
                <c:pt idx="1">
                  <c:v>Ingeniero Financiero</c:v>
                </c:pt>
                <c:pt idx="2">
                  <c:v>Contador Publico</c:v>
                </c:pt>
                <c:pt idx="3">
                  <c:v>Aux. Administrativo</c:v>
                </c:pt>
                <c:pt idx="4">
                  <c:v>Profesional en Negocios Int.</c:v>
                </c:pt>
                <c:pt idx="5">
                  <c:v>Ejecutivo Comercial</c:v>
                </c:pt>
                <c:pt idx="6">
                  <c:v>Arquitectos</c:v>
                </c:pt>
              </c:strCache>
            </c:strRef>
          </c:cat>
          <c:val>
            <c:numRef>
              <c:f>'Inversión Inicial'!$N$11:$N$17</c:f>
              <c:numCache>
                <c:formatCode>0%</c:formatCode>
                <c:ptCount val="7"/>
                <c:pt idx="0">
                  <c:v>0.15296367112810708</c:v>
                </c:pt>
                <c:pt idx="1">
                  <c:v>0.17208413001912046</c:v>
                </c:pt>
                <c:pt idx="2">
                  <c:v>5.736137667304015E-2</c:v>
                </c:pt>
                <c:pt idx="3">
                  <c:v>3.4416826003824091E-2</c:v>
                </c:pt>
                <c:pt idx="4">
                  <c:v>8.6042065009560229E-2</c:v>
                </c:pt>
                <c:pt idx="5">
                  <c:v>0.15296367112810708</c:v>
                </c:pt>
                <c:pt idx="6">
                  <c:v>0.34416826003824091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3-46EA-88BD-5095643245C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Distribució</a:t>
            </a:r>
            <a:r>
              <a:rPr lang="es-CO" b="1" baseline="0"/>
              <a:t>n porcentual de mano de obra anual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27-43F9-A839-CE40721649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197-9679-8D86D4853C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197-9679-8D86D4853CAF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27-43F9-A839-CE40721649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D0E-4197-9679-8D86D4853CA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D0E-4197-9679-8D86D4853CAF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27-43F9-A839-CE40721649F3}"/>
              </c:ext>
            </c:extLst>
          </c:dPt>
          <c:dPt>
            <c:idx val="7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27-43F9-A839-CE40721649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'Inversión Inicial'!$M$24:$M$31</c:f>
              <c:strCache>
                <c:ptCount val="8"/>
                <c:pt idx="0">
                  <c:v>Ingeniero Civil</c:v>
                </c:pt>
                <c:pt idx="1">
                  <c:v>Ingeniero Financiero</c:v>
                </c:pt>
                <c:pt idx="2">
                  <c:v>Contador Publico</c:v>
                </c:pt>
                <c:pt idx="3">
                  <c:v>Aux. Administrativo</c:v>
                </c:pt>
                <c:pt idx="4">
                  <c:v>Profesional en Negocios Int.</c:v>
                </c:pt>
                <c:pt idx="5">
                  <c:v>Ejecutivo Comercial</c:v>
                </c:pt>
                <c:pt idx="6">
                  <c:v>Arquitectos</c:v>
                </c:pt>
                <c:pt idx="7">
                  <c:v>Otros</c:v>
                </c:pt>
              </c:strCache>
            </c:strRef>
          </c:cat>
          <c:val>
            <c:numRef>
              <c:f>'Inversión Inicial'!$N$24:$N$31</c:f>
              <c:numCache>
                <c:formatCode>0%</c:formatCode>
                <c:ptCount val="8"/>
                <c:pt idx="0">
                  <c:v>0.16763229855312373</c:v>
                </c:pt>
                <c:pt idx="1">
                  <c:v>0.1885863358722642</c:v>
                </c:pt>
                <c:pt idx="2">
                  <c:v>6.286211195742139E-2</c:v>
                </c:pt>
                <c:pt idx="3">
                  <c:v>3.771726717445284E-2</c:v>
                </c:pt>
                <c:pt idx="4">
                  <c:v>9.42931679361321E-2</c:v>
                </c:pt>
                <c:pt idx="5">
                  <c:v>0.16763229855312373</c:v>
                </c:pt>
                <c:pt idx="6">
                  <c:v>0.25144844782968556</c:v>
                </c:pt>
                <c:pt idx="7">
                  <c:v>2.9828072123796453E-2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7-43F9-A839-CE40721649F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Historico</a:t>
            </a:r>
            <a:r>
              <a:rPr lang="es-CO" b="1" baseline="0"/>
              <a:t> en tasa de inflación.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'Flujo de caja.'!$C$97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'Flujo de caja.'!$B$98:$B$107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xVal>
          <c:yVal>
            <c:numRef>
              <c:f>'Flujo de caja.'!$C$98:$C$107</c:f>
              <c:numCache>
                <c:formatCode>0.00%</c:formatCode>
                <c:ptCount val="10"/>
                <c:pt idx="0">
                  <c:v>6.7699999999999996E-2</c:v>
                </c:pt>
                <c:pt idx="1">
                  <c:v>5.7500000000000002E-2</c:v>
                </c:pt>
                <c:pt idx="2">
                  <c:v>4.0899999999999999E-2</c:v>
                </c:pt>
                <c:pt idx="3">
                  <c:v>3.1800000000000002E-2</c:v>
                </c:pt>
                <c:pt idx="4">
                  <c:v>3.7999999999999999E-2</c:v>
                </c:pt>
                <c:pt idx="5">
                  <c:v>1.61E-2</c:v>
                </c:pt>
                <c:pt idx="6">
                  <c:v>5.62E-2</c:v>
                </c:pt>
                <c:pt idx="7">
                  <c:v>0.13120000000000001</c:v>
                </c:pt>
                <c:pt idx="8">
                  <c:v>9.2799999999999994E-2</c:v>
                </c:pt>
                <c:pt idx="9">
                  <c:v>5.1999999999999998E-2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ED-4894-908C-07284362812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624332016"/>
        <c:axId val="1624331056"/>
      </c:scatterChart>
      <c:scatterChart>
        <c:scatterStyle val="smoothMarker"/>
        <c:varyColors val="0"/>
        <c:ser>
          <c:idx val="1"/>
          <c:order val="1"/>
          <c:tx>
            <c:v>Tasa esperada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'Flujo de caja.'!$B$98:$B$107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xVal>
          <c:yVal>
            <c:numRef>
              <c:f>'Flujo de caja.'!$D$98:$D$107</c:f>
              <c:numCache>
                <c:formatCode>0.00%</c:formatCode>
                <c:ptCount val="10"/>
                <c:pt idx="0">
                  <c:v>5.8400000000000001E-2</c:v>
                </c:pt>
                <c:pt idx="1">
                  <c:v>5.8400000000000001E-2</c:v>
                </c:pt>
                <c:pt idx="2">
                  <c:v>5.8400000000000001E-2</c:v>
                </c:pt>
                <c:pt idx="3">
                  <c:v>5.8400000000000001E-2</c:v>
                </c:pt>
                <c:pt idx="4">
                  <c:v>5.8400000000000001E-2</c:v>
                </c:pt>
                <c:pt idx="5">
                  <c:v>5.8400000000000001E-2</c:v>
                </c:pt>
                <c:pt idx="6">
                  <c:v>5.8400000000000001E-2</c:v>
                </c:pt>
                <c:pt idx="7">
                  <c:v>5.8400000000000001E-2</c:v>
                </c:pt>
                <c:pt idx="8">
                  <c:v>5.8400000000000001E-2</c:v>
                </c:pt>
                <c:pt idx="9">
                  <c:v>5.8400000000000001E-2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BED-4894-908C-07284362812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624332016"/>
        <c:axId val="1624331056"/>
      </c:scatterChart>
      <c:valAx>
        <c:axId val="162433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4331056"/>
        <c:crosses val="autoZero"/>
        <c:crossBetween val="midCat"/>
      </c:valAx>
      <c:valAx>
        <c:axId val="162433105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433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Proyección de presupuesto con respecto a la inflación.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'Presupuesto proyectado '!$B$3</c:f>
              <c:strCache>
                <c:ptCount val="1"/>
                <c:pt idx="0">
                  <c:v>Diseño y planificación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'Presupuesto proyectado '!$D$3:$H$3</c:f>
              <c:numCache>
                <c:formatCode>"$"#,##0_);[Red]\("$"#,##0\)</c:formatCode>
                <c:ptCount val="5"/>
                <c:pt idx="0">
                  <c:v>158745000</c:v>
                </c:pt>
                <c:pt idx="1">
                  <c:v>167999833.5</c:v>
                </c:pt>
                <c:pt idx="2">
                  <c:v>177794223.79304999</c:v>
                </c:pt>
                <c:pt idx="3">
                  <c:v>188159627.0401848</c:v>
                </c:pt>
                <c:pt idx="4">
                  <c:v>199129333.29662758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1-4B9B-B293-225D35D7A4BE}"/>
            </c:ext>
          </c:extLst>
        </c:ser>
        <c:ser>
          <c:idx val="1"/>
          <c:order val="1"/>
          <c:tx>
            <c:strRef>
              <c:f>'Presupuesto proyectado '!$B$4</c:f>
              <c:strCache>
                <c:ptCount val="1"/>
                <c:pt idx="0">
                  <c:v>Construcción e infraestructura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'Presupuesto proyectado '!$D$4:$H$4</c:f>
              <c:numCache>
                <c:formatCode>"$"#,##0_);[Red]\("$"#,##0\)</c:formatCode>
                <c:ptCount val="5"/>
                <c:pt idx="0">
                  <c:v>846640000</c:v>
                </c:pt>
                <c:pt idx="1">
                  <c:v>895999112</c:v>
                </c:pt>
                <c:pt idx="2">
                  <c:v>948235860.22959995</c:v>
                </c:pt>
                <c:pt idx="3">
                  <c:v>1003518010.8809856</c:v>
                </c:pt>
                <c:pt idx="4">
                  <c:v>1062023110.9153471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1-4B9B-B293-225D35D7A4BE}"/>
            </c:ext>
          </c:extLst>
        </c:ser>
        <c:ser>
          <c:idx val="2"/>
          <c:order val="2"/>
          <c:tx>
            <c:strRef>
              <c:f>'Presupuesto proyectado '!$B$5</c:f>
              <c:strCache>
                <c:ptCount val="1"/>
                <c:pt idx="0">
                  <c:v>Operación y gestión inicial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'Presupuesto proyectado '!$D$5:$H$5</c:f>
              <c:numCache>
                <c:formatCode>"$"#,##0_);[Red]\("$"#,##0\)</c:formatCode>
                <c:ptCount val="5"/>
                <c:pt idx="0">
                  <c:v>423320000</c:v>
                </c:pt>
                <c:pt idx="1">
                  <c:v>447999556</c:v>
                </c:pt>
                <c:pt idx="2">
                  <c:v>474117930.11479998</c:v>
                </c:pt>
                <c:pt idx="3">
                  <c:v>501759005.44049281</c:v>
                </c:pt>
                <c:pt idx="4">
                  <c:v>531011555.45767355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1-4B9B-B293-225D35D7A4BE}"/>
            </c:ext>
          </c:extLst>
        </c:ser>
        <c:ser>
          <c:idx val="3"/>
          <c:order val="3"/>
          <c:tx>
            <c:strRef>
              <c:f>'Presupuesto proyectado '!$B$6</c:f>
              <c:strCache>
                <c:ptCount val="1"/>
                <c:pt idx="0">
                  <c:v>Programas comunitarios y educativos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'Presupuesto proyectado '!$D$6:$H$6</c:f>
              <c:numCache>
                <c:formatCode>"$"#,##0_);[Red]\("$"#,##0\)</c:formatCode>
                <c:ptCount val="5"/>
                <c:pt idx="0">
                  <c:v>126996000</c:v>
                </c:pt>
                <c:pt idx="1">
                  <c:v>134399866.80000001</c:v>
                </c:pt>
                <c:pt idx="2">
                  <c:v>142235379.03444001</c:v>
                </c:pt>
                <c:pt idx="3">
                  <c:v>150527701.63214788</c:v>
                </c:pt>
                <c:pt idx="4">
                  <c:v>159303466.6373021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1-4B9B-B293-225D35D7A4BE}"/>
            </c:ext>
          </c:extLst>
        </c:ser>
        <c:ser>
          <c:idx val="4"/>
          <c:order val="4"/>
          <c:tx>
            <c:strRef>
              <c:f>'Presupuesto proyectado '!$B$7</c:f>
              <c:strCache>
                <c:ptCount val="1"/>
                <c:pt idx="0">
                  <c:v>Contingencias y fondos de reservas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'Presupuesto proyectado '!$D$7:$H$7</c:f>
              <c:numCache>
                <c:formatCode>"$"#,##0_);[Red]\("$"#,##0\)</c:formatCode>
                <c:ptCount val="5"/>
                <c:pt idx="0">
                  <c:v>84664000</c:v>
                </c:pt>
                <c:pt idx="1">
                  <c:v>89599911.200000003</c:v>
                </c:pt>
                <c:pt idx="2">
                  <c:v>94823586.022960007</c:v>
                </c:pt>
                <c:pt idx="3">
                  <c:v>100351801.08809857</c:v>
                </c:pt>
                <c:pt idx="4">
                  <c:v>106202311.09153472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71-4B9B-B293-225D35D7A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5371343"/>
        <c:axId val="2085380943"/>
      </c:barChart>
      <c:catAx>
        <c:axId val="2085371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b="1"/>
                  <a:t>Años proyectados</a:t>
                </a:r>
              </a:p>
            </c:rich>
          </c:tx>
          <c:layout>
            <c:manualLayout>
              <c:xMode val="edge"/>
              <c:yMode val="edge"/>
              <c:x val="0.45548764446402251"/>
              <c:y val="0.734802557575039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85380943"/>
        <c:crosses val="autoZero"/>
        <c:auto val="1"/>
        <c:lblAlgn val="ctr"/>
        <c:lblOffset val="100"/>
        <c:noMultiLvlLbl val="0"/>
      </c:catAx>
      <c:valAx>
        <c:axId val="208538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b="1"/>
                  <a:t>Costo</a:t>
                </a:r>
                <a:r>
                  <a:rPr lang="es-CO" b="1" baseline="0"/>
                  <a:t> proyectado.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85371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Proyeccion de ingresos con respecto a inflación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Ingresos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'Proyección ing - infl'!$C$2:$G$2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'Proyección ing - infl'!$C$3:$G$3</c:f>
              <c:numCache>
                <c:formatCode>_("$"* #,##0.00_);_("$"* \(#,##0.00\);_("$"* "-"??_);_(@_)</c:formatCode>
                <c:ptCount val="5"/>
                <c:pt idx="0">
                  <c:v>1617600000</c:v>
                </c:pt>
                <c:pt idx="1">
                  <c:v>1649952000</c:v>
                </c:pt>
                <c:pt idx="2">
                  <c:v>1724199840</c:v>
                </c:pt>
                <c:pt idx="3">
                  <c:v>1787995234.0799999</c:v>
                </c:pt>
                <c:pt idx="4">
                  <c:v>1859515043.4431999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B-40EB-89FC-7DB5FCE2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178896"/>
        <c:axId val="1998183696"/>
      </c:barChart>
      <c:lineChart>
        <c:grouping val="standard"/>
        <c:varyColors val="0"/>
        <c:ser>
          <c:idx val="1"/>
          <c:order val="1"/>
          <c:tx>
            <c:v>Inflación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'Proyección ing - infl'!$C$2:$G$2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'Proyección ing - infl'!$C$7:$G$7</c:f>
              <c:numCache>
                <c:formatCode>0.0%</c:formatCode>
                <c:ptCount val="5"/>
                <c:pt idx="0" formatCode="0.00%">
                  <c:v>5.0200000000000002E-2</c:v>
                </c:pt>
                <c:pt idx="1">
                  <c:v>5.2710000000000007E-2</c:v>
                </c:pt>
                <c:pt idx="2">
                  <c:v>5.5872600000000008E-2</c:v>
                </c:pt>
                <c:pt idx="3">
                  <c:v>5.9224956000000009E-2</c:v>
                </c:pt>
                <c:pt idx="4">
                  <c:v>6.3370702920000008E-2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B-40EB-89FC-7DB5FCE2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79856"/>
        <c:axId val="1998181296"/>
      </c:lineChart>
      <c:catAx>
        <c:axId val="199817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8183696"/>
        <c:crosses val="autoZero"/>
        <c:auto val="1"/>
        <c:lblAlgn val="ctr"/>
        <c:lblOffset val="100"/>
        <c:noMultiLvlLbl val="0"/>
      </c:catAx>
      <c:valAx>
        <c:axId val="199818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817889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valAx>
        <c:axId val="1998181296"/>
        <c:scaling>
          <c:orientation val="minMax"/>
          <c:min val="4.0000000000000008E-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8179856"/>
        <c:crosses val="max"/>
        <c:crossBetween val="between"/>
      </c:valAx>
      <c:catAx>
        <c:axId val="19981798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818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304800</xdr:colOff>
      <xdr:row>9</xdr:row>
      <xdr:rowOff>3810</xdr:rowOff>
    </xdr:from>
    <xdr:to>
      <xdr:col>21</xdr:col>
      <xdr:colOff>213360</xdr:colOff>
      <xdr:row>25</xdr:row>
      <xdr:rowOff>68580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F09338-A87D-53E9-2774-DE15F5F74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358140</xdr:colOff>
      <xdr:row>26</xdr:row>
      <xdr:rowOff>95250</xdr:rowOff>
    </xdr:from>
    <xdr:to>
      <xdr:col>20</xdr:col>
      <xdr:colOff>449580</xdr:colOff>
      <xdr:row>41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8B91BB-22E4-2BAF-F808-BB31BC3D68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457201</xdr:colOff>
      <xdr:row>88</xdr:row>
      <xdr:rowOff>152400</xdr:rowOff>
    </xdr:from>
    <xdr:to>
      <xdr:col>10</xdr:col>
      <xdr:colOff>142876</xdr:colOff>
      <xdr:row>111</xdr:row>
      <xdr:rowOff>85724</xdr:rowOff>
    </xdr:to>
    <xdr:graphicFrame macro="">
      <xdr:nvGraphicFramePr>
        <xdr:cNvPr id="81" name="Gráfico 1">
          <a:extLst>
            <a:ext uri="{FF2B5EF4-FFF2-40B4-BE49-F238E27FC236}">
              <a16:creationId xmlns:a16="http://schemas.microsoft.com/office/drawing/2014/main" id="{A66F4E88-BAE7-01EF-A69C-23D604C0BD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0.64721</cdr:x>
      <cdr:y>0.7186</cdr:y>
    </cdr:from>
    <cdr:to>
      <cdr:x>0.93899</cdr:x>
      <cdr:y>0.78372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C08B94D-DC37-FBF6-B25A-9AFAB0EC1DC6}"/>
            </a:ext>
          </a:extLst>
        </cdr:cNvPr>
        <cdr:cNvSpPr txBox="1"/>
      </cdr:nvSpPr>
      <cdr:spPr>
        <a:xfrm xmlns:a="http://schemas.openxmlformats.org/drawingml/2006/main">
          <a:off x="4648199" y="2943225"/>
          <a:ext cx="20955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kern="1200"/>
            <a:t>Tasa esperada</a:t>
          </a:r>
          <a:r>
            <a:rPr lang="es-CO" sz="1100" kern="1200" baseline="0"/>
            <a:t> de inflación 5.84%</a:t>
          </a:r>
          <a:endParaRPr lang="es-CO" sz="1100" kern="12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1600200</xdr:colOff>
      <xdr:row>12</xdr:row>
      <xdr:rowOff>160020</xdr:rowOff>
    </xdr:from>
    <xdr:to>
      <xdr:col>8</xdr:col>
      <xdr:colOff>457200</xdr:colOff>
      <xdr:row>37</xdr:row>
      <xdr:rowOff>22860</xdr:rowOff>
    </xdr:to>
    <xdr:graphicFrame macro="">
      <xdr:nvGraphicFramePr>
        <xdr:cNvPr id="26" name="Gráfico 20">
          <a:extLst>
            <a:ext uri="{FF2B5EF4-FFF2-40B4-BE49-F238E27FC236}">
              <a16:creationId xmlns:a16="http://schemas.microsoft.com/office/drawing/2014/main" id="{573D0444-B8B5-2B26-9200-2482AD1316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937260</xdr:colOff>
      <xdr:row>9</xdr:row>
      <xdr:rowOff>102870</xdr:rowOff>
    </xdr:from>
    <xdr:to>
      <xdr:col>6</xdr:col>
      <xdr:colOff>533400</xdr:colOff>
      <xdr:row>27</xdr:row>
      <xdr:rowOff>38100</xdr:rowOff>
    </xdr:to>
    <xdr:graphicFrame macro="">
      <xdr:nvGraphicFramePr>
        <xdr:cNvPr id="51" name="Gráfico 3">
          <a:extLst>
            <a:ext uri="{FF2B5EF4-FFF2-40B4-BE49-F238E27FC236}">
              <a16:creationId xmlns:a16="http://schemas.microsoft.com/office/drawing/2014/main" id="{EEBBCB48-BF24-430B-ACBD-59D9A8EC4C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29A8-5DE5-4803-B322-8693D7E7490B}">
  <dimension ref="A1:N33"/>
  <sheetViews>
    <sheetView showGridLines="0" workbookViewId="0">
      <selection activeCell="C33" sqref="C33"/>
    </sheetView>
  </sheetViews>
  <sheetFormatPr baseColWidth="10" defaultColWidth="10.88671875" defaultRowHeight="14.4"/>
  <cols>
    <col min="1" max="1" width="1.88671875" style="56" bestFit="1" customWidth="1"/>
    <col min="2" max="2" width="30.5546875" style="56" customWidth="1"/>
    <col min="3" max="3" width="19.44140625" style="56" bestFit="1" customWidth="1"/>
    <col min="4" max="4" width="16.44140625" style="56" bestFit="1" customWidth="1"/>
    <col min="5" max="5" width="16.44140625" style="56" customWidth="1"/>
    <col min="6" max="6" width="5.44140625" style="56" customWidth="1"/>
    <col min="7" max="7" width="29.109375" style="56" customWidth="1"/>
    <col min="8" max="8" width="10.33203125" style="56" customWidth="1"/>
    <col min="9" max="9" width="13" style="56" bestFit="1" customWidth="1"/>
    <col min="10" max="10" width="18.44140625" style="56" customWidth="1"/>
    <col min="11" max="11" width="19.109375" style="56" customWidth="1"/>
    <col min="12" max="12" width="10.88671875" style="56"/>
    <col min="13" max="13" width="29.77734375" style="56" customWidth="1"/>
    <col min="14" max="14" width="22.77734375" style="56" customWidth="1"/>
    <col min="15" max="16384" width="10.88671875" style="56"/>
  </cols>
  <sheetData>
    <row r="1" spans="1:14" ht="15" thickBot="1"/>
    <row r="2" spans="1:14">
      <c r="B2" s="155" t="s">
        <v>0</v>
      </c>
      <c r="C2" s="156"/>
      <c r="D2" s="157"/>
      <c r="G2" s="57"/>
      <c r="H2" s="57"/>
      <c r="I2" s="57"/>
      <c r="J2" s="57"/>
    </row>
    <row r="3" spans="1:14">
      <c r="B3" s="69" t="s">
        <v>1</v>
      </c>
      <c r="C3" s="66" t="s">
        <v>2</v>
      </c>
      <c r="D3" s="70" t="s">
        <v>3</v>
      </c>
      <c r="E3" s="57"/>
      <c r="G3" s="57"/>
      <c r="H3" s="57"/>
      <c r="I3" s="57"/>
      <c r="J3" s="57"/>
    </row>
    <row r="4" spans="1:14">
      <c r="B4" s="71" t="s">
        <v>4</v>
      </c>
      <c r="C4" s="59">
        <f>C20</f>
        <v>920000000</v>
      </c>
      <c r="D4" s="72">
        <f>+C4/$C$7</f>
        <v>0.84179705371031199</v>
      </c>
      <c r="G4" s="57"/>
      <c r="H4" s="60"/>
      <c r="I4" s="60"/>
      <c r="J4" s="61"/>
    </row>
    <row r="5" spans="1:14">
      <c r="B5" s="71" t="s">
        <v>5</v>
      </c>
      <c r="C5" s="59">
        <f>D20</f>
        <v>16000000</v>
      </c>
      <c r="D5" s="72">
        <f>+C5/$C$7</f>
        <v>1.4639948760179339E-2</v>
      </c>
      <c r="G5" s="57"/>
      <c r="H5" s="60"/>
      <c r="I5" s="60"/>
      <c r="J5" s="61"/>
    </row>
    <row r="6" spans="1:14">
      <c r="B6" s="71" t="s">
        <v>6</v>
      </c>
      <c r="C6" s="59">
        <f>E20</f>
        <v>156900000</v>
      </c>
      <c r="D6" s="72">
        <f>+C6/$C$7</f>
        <v>0.14356299752950866</v>
      </c>
      <c r="G6" s="57"/>
      <c r="H6" s="60"/>
      <c r="I6" s="60"/>
      <c r="J6" s="61"/>
    </row>
    <row r="7" spans="1:14">
      <c r="B7" s="69" t="s">
        <v>7</v>
      </c>
      <c r="C7" s="67">
        <f>+SUM(C4:C6)</f>
        <v>1092900000</v>
      </c>
      <c r="D7" s="73">
        <f>+SUM(D4:D6)</f>
        <v>1</v>
      </c>
      <c r="G7" s="57"/>
      <c r="H7" s="60"/>
      <c r="I7" s="60"/>
      <c r="J7" s="61"/>
    </row>
    <row r="8" spans="1:14" ht="15" thickBot="1">
      <c r="B8" s="74" t="s">
        <v>8</v>
      </c>
      <c r="C8" s="75">
        <f>+C7*70%</f>
        <v>765030000</v>
      </c>
      <c r="D8" s="76">
        <v>0.7</v>
      </c>
      <c r="E8" s="68"/>
      <c r="G8" s="57"/>
      <c r="H8" s="60"/>
      <c r="I8" s="60"/>
      <c r="J8" s="61"/>
    </row>
    <row r="9" spans="1:14">
      <c r="G9" s="62"/>
      <c r="H9" s="62"/>
      <c r="I9" s="62"/>
    </row>
    <row r="10" spans="1:14">
      <c r="B10" s="77" t="s">
        <v>9</v>
      </c>
      <c r="C10" s="77" t="s">
        <v>10</v>
      </c>
      <c r="D10" s="77" t="s">
        <v>11</v>
      </c>
      <c r="E10" s="77" t="s">
        <v>12</v>
      </c>
      <c r="G10" s="158" t="s">
        <v>13</v>
      </c>
      <c r="H10" s="158"/>
      <c r="I10" s="158"/>
      <c r="J10" s="158"/>
      <c r="K10" s="158"/>
      <c r="M10" s="159" t="s">
        <v>176</v>
      </c>
      <c r="N10" s="160"/>
    </row>
    <row r="11" spans="1:14">
      <c r="A11" s="19">
        <v>1</v>
      </c>
      <c r="B11" s="58" t="s">
        <v>14</v>
      </c>
      <c r="C11" s="59">
        <v>0</v>
      </c>
      <c r="D11" s="59"/>
      <c r="E11" s="59"/>
      <c r="G11" s="77" t="s">
        <v>15</v>
      </c>
      <c r="H11" s="77" t="s">
        <v>16</v>
      </c>
      <c r="I11" s="77" t="s">
        <v>174</v>
      </c>
      <c r="J11" s="77" t="s">
        <v>17</v>
      </c>
      <c r="K11" s="77" t="s">
        <v>18</v>
      </c>
      <c r="M11" s="58" t="s">
        <v>20</v>
      </c>
      <c r="N11" s="115">
        <f t="shared" ref="N11:N17" si="0">K12/$K$19</f>
        <v>0.15296367112810708</v>
      </c>
    </row>
    <row r="12" spans="1:14">
      <c r="A12" s="19">
        <f>+A11+1</f>
        <v>2</v>
      </c>
      <c r="B12" s="58" t="s">
        <v>19</v>
      </c>
      <c r="C12" s="59">
        <v>150000000</v>
      </c>
      <c r="D12" s="59"/>
      <c r="E12" s="59"/>
      <c r="G12" s="58" t="s">
        <v>20</v>
      </c>
      <c r="H12" s="19">
        <v>2</v>
      </c>
      <c r="I12" s="59">
        <v>4000000</v>
      </c>
      <c r="J12" s="116">
        <f>H12*I12</f>
        <v>8000000</v>
      </c>
      <c r="K12" s="59">
        <f>+J12*3</f>
        <v>24000000</v>
      </c>
      <c r="M12" s="58" t="s">
        <v>22</v>
      </c>
      <c r="N12" s="115">
        <f t="shared" si="0"/>
        <v>0.17208413001912046</v>
      </c>
    </row>
    <row r="13" spans="1:14">
      <c r="A13" s="19">
        <f t="shared" ref="A13:A19" si="1">+A12+1</f>
        <v>3</v>
      </c>
      <c r="B13" s="58" t="s">
        <v>21</v>
      </c>
      <c r="C13" s="59">
        <v>400000000</v>
      </c>
      <c r="D13" s="59"/>
      <c r="E13" s="59"/>
      <c r="G13" s="58" t="s">
        <v>22</v>
      </c>
      <c r="H13" s="19">
        <v>2</v>
      </c>
      <c r="I13" s="59">
        <v>4500000</v>
      </c>
      <c r="J13" s="116">
        <f t="shared" ref="J13:J18" si="2">H13*I13</f>
        <v>9000000</v>
      </c>
      <c r="K13" s="59">
        <f t="shared" ref="K13:K18" si="3">+J13*3</f>
        <v>27000000</v>
      </c>
      <c r="M13" s="58" t="s">
        <v>24</v>
      </c>
      <c r="N13" s="115">
        <f t="shared" si="0"/>
        <v>5.736137667304015E-2</v>
      </c>
    </row>
    <row r="14" spans="1:14">
      <c r="A14" s="19">
        <f t="shared" si="1"/>
        <v>4</v>
      </c>
      <c r="B14" s="58" t="s">
        <v>23</v>
      </c>
      <c r="C14" s="59"/>
      <c r="D14" s="59">
        <v>6000000</v>
      </c>
      <c r="E14" s="59"/>
      <c r="G14" s="58" t="s">
        <v>24</v>
      </c>
      <c r="H14" s="19">
        <v>1</v>
      </c>
      <c r="I14" s="59">
        <v>3000000</v>
      </c>
      <c r="J14" s="116">
        <f t="shared" si="2"/>
        <v>3000000</v>
      </c>
      <c r="K14" s="59">
        <f t="shared" si="3"/>
        <v>9000000</v>
      </c>
      <c r="M14" s="58" t="s">
        <v>26</v>
      </c>
      <c r="N14" s="115">
        <f t="shared" si="0"/>
        <v>3.4416826003824091E-2</v>
      </c>
    </row>
    <row r="15" spans="1:14">
      <c r="A15" s="19">
        <f t="shared" si="1"/>
        <v>5</v>
      </c>
      <c r="B15" s="58" t="s">
        <v>25</v>
      </c>
      <c r="C15" s="59">
        <v>180000000</v>
      </c>
      <c r="D15" s="59"/>
      <c r="E15" s="59"/>
      <c r="G15" s="58" t="s">
        <v>26</v>
      </c>
      <c r="H15" s="19">
        <v>1</v>
      </c>
      <c r="I15" s="59">
        <v>1800000</v>
      </c>
      <c r="J15" s="116">
        <f t="shared" si="2"/>
        <v>1800000</v>
      </c>
      <c r="K15" s="59">
        <f t="shared" si="3"/>
        <v>5400000</v>
      </c>
      <c r="M15" s="58" t="s">
        <v>28</v>
      </c>
      <c r="N15" s="115">
        <f t="shared" si="0"/>
        <v>8.6042065009560229E-2</v>
      </c>
    </row>
    <row r="16" spans="1:14">
      <c r="A16" s="19">
        <f t="shared" si="1"/>
        <v>6</v>
      </c>
      <c r="B16" s="58" t="s">
        <v>27</v>
      </c>
      <c r="C16" s="59">
        <v>40000000</v>
      </c>
      <c r="D16" s="59"/>
      <c r="E16" s="59"/>
      <c r="G16" s="58" t="s">
        <v>28</v>
      </c>
      <c r="H16" s="19">
        <v>1</v>
      </c>
      <c r="I16" s="59">
        <v>4500000</v>
      </c>
      <c r="J16" s="116">
        <f t="shared" si="2"/>
        <v>4500000</v>
      </c>
      <c r="K16" s="59">
        <f t="shared" si="3"/>
        <v>13500000</v>
      </c>
      <c r="M16" s="58" t="s">
        <v>30</v>
      </c>
      <c r="N16" s="115">
        <f t="shared" si="0"/>
        <v>0.15296367112810708</v>
      </c>
    </row>
    <row r="17" spans="1:14">
      <c r="A17" s="19">
        <f t="shared" si="1"/>
        <v>7</v>
      </c>
      <c r="B17" s="58" t="s">
        <v>29</v>
      </c>
      <c r="C17" s="59"/>
      <c r="D17" s="59">
        <v>10000000</v>
      </c>
      <c r="E17" s="59"/>
      <c r="G17" s="58" t="s">
        <v>30</v>
      </c>
      <c r="H17" s="19">
        <v>2</v>
      </c>
      <c r="I17" s="59">
        <v>4000000</v>
      </c>
      <c r="J17" s="116">
        <f t="shared" si="2"/>
        <v>8000000</v>
      </c>
      <c r="K17" s="59">
        <f t="shared" si="3"/>
        <v>24000000</v>
      </c>
      <c r="M17" s="58" t="s">
        <v>32</v>
      </c>
      <c r="N17" s="115">
        <f t="shared" si="0"/>
        <v>0.34416826003824091</v>
      </c>
    </row>
    <row r="18" spans="1:14">
      <c r="A18" s="19">
        <f t="shared" si="1"/>
        <v>8</v>
      </c>
      <c r="B18" s="58" t="s">
        <v>31</v>
      </c>
      <c r="C18" s="59"/>
      <c r="D18" s="59"/>
      <c r="E18" s="59">
        <f>K19</f>
        <v>156900000</v>
      </c>
      <c r="G18" s="58" t="s">
        <v>32</v>
      </c>
      <c r="H18" s="19">
        <v>3</v>
      </c>
      <c r="I18" s="59">
        <v>6000000</v>
      </c>
      <c r="J18" s="116">
        <f t="shared" si="2"/>
        <v>18000000</v>
      </c>
      <c r="K18" s="59">
        <f t="shared" si="3"/>
        <v>54000000</v>
      </c>
    </row>
    <row r="19" spans="1:14">
      <c r="A19" s="19">
        <f t="shared" si="1"/>
        <v>9</v>
      </c>
      <c r="B19" s="58" t="s">
        <v>33</v>
      </c>
      <c r="C19" s="59">
        <v>150000000</v>
      </c>
      <c r="D19" s="59"/>
      <c r="E19" s="59"/>
      <c r="G19" s="66" t="s">
        <v>34</v>
      </c>
      <c r="H19" s="66">
        <f>SUM(H12:H18)</f>
        <v>12</v>
      </c>
      <c r="I19" s="66"/>
      <c r="J19" s="67">
        <f>+SUM(I12:I18)</f>
        <v>27800000</v>
      </c>
      <c r="K19" s="67">
        <f>+SUM(K12:K18)</f>
        <v>156900000</v>
      </c>
    </row>
    <row r="20" spans="1:14">
      <c r="B20" s="66" t="s">
        <v>35</v>
      </c>
      <c r="C20" s="67">
        <f>+SUM(C11:C19)</f>
        <v>920000000</v>
      </c>
      <c r="D20" s="67">
        <f>+SUM(D11:D19)</f>
        <v>16000000</v>
      </c>
      <c r="E20" s="67">
        <f>SUM(E11:E19)</f>
        <v>156900000</v>
      </c>
      <c r="K20" s="64"/>
    </row>
    <row r="22" spans="1:14">
      <c r="C22" s="63"/>
      <c r="D22" s="60"/>
      <c r="E22" s="63"/>
      <c r="G22" s="158" t="s">
        <v>36</v>
      </c>
      <c r="H22" s="158"/>
      <c r="I22" s="158"/>
      <c r="J22" s="158"/>
      <c r="K22" s="158"/>
    </row>
    <row r="23" spans="1:14">
      <c r="C23" s="60"/>
      <c r="D23" s="60"/>
      <c r="E23" s="63"/>
      <c r="G23" s="77" t="s">
        <v>15</v>
      </c>
      <c r="H23" s="77" t="s">
        <v>16</v>
      </c>
      <c r="I23" s="77" t="s">
        <v>174</v>
      </c>
      <c r="J23" s="77" t="s">
        <v>17</v>
      </c>
      <c r="K23" s="77" t="s">
        <v>37</v>
      </c>
      <c r="M23" s="159" t="s">
        <v>175</v>
      </c>
      <c r="N23" s="160"/>
    </row>
    <row r="24" spans="1:14">
      <c r="C24" s="60"/>
      <c r="D24" s="60"/>
      <c r="E24" s="63"/>
      <c r="G24" s="58" t="s">
        <v>20</v>
      </c>
      <c r="H24" s="19">
        <v>2</v>
      </c>
      <c r="I24" s="59">
        <v>4000000</v>
      </c>
      <c r="J24" s="59">
        <f>I24*H24</f>
        <v>8000000</v>
      </c>
      <c r="K24" s="59">
        <f>+J24*12</f>
        <v>96000000</v>
      </c>
      <c r="M24" s="58" t="s">
        <v>20</v>
      </c>
      <c r="N24" s="115">
        <f>K24/$K$32</f>
        <v>0.16763229855312373</v>
      </c>
    </row>
    <row r="25" spans="1:14">
      <c r="C25" s="60"/>
      <c r="D25" s="60"/>
      <c r="E25" s="63"/>
      <c r="G25" s="58" t="s">
        <v>22</v>
      </c>
      <c r="H25" s="19">
        <v>2</v>
      </c>
      <c r="I25" s="59">
        <v>4500000</v>
      </c>
      <c r="J25" s="59">
        <f t="shared" ref="J25:J31" si="4">I25*H25</f>
        <v>9000000</v>
      </c>
      <c r="K25" s="59">
        <f t="shared" ref="K25:K31" si="5">+J25*12</f>
        <v>108000000</v>
      </c>
      <c r="M25" s="58" t="s">
        <v>22</v>
      </c>
      <c r="N25" s="115">
        <f t="shared" ref="N25:N31" si="6">K25/$K$32</f>
        <v>0.1885863358722642</v>
      </c>
    </row>
    <row r="26" spans="1:14">
      <c r="C26" s="60"/>
      <c r="D26" s="60"/>
      <c r="E26" s="63"/>
      <c r="G26" s="58" t="s">
        <v>24</v>
      </c>
      <c r="H26" s="19">
        <v>1</v>
      </c>
      <c r="I26" s="59">
        <v>3000000</v>
      </c>
      <c r="J26" s="59">
        <f t="shared" si="4"/>
        <v>3000000</v>
      </c>
      <c r="K26" s="59">
        <f t="shared" si="5"/>
        <v>36000000</v>
      </c>
      <c r="M26" s="58" t="s">
        <v>24</v>
      </c>
      <c r="N26" s="115">
        <f t="shared" si="6"/>
        <v>6.286211195742139E-2</v>
      </c>
    </row>
    <row r="27" spans="1:14">
      <c r="C27" s="60"/>
      <c r="D27" s="60"/>
      <c r="E27" s="63"/>
      <c r="G27" s="58" t="s">
        <v>26</v>
      </c>
      <c r="H27" s="19">
        <v>1</v>
      </c>
      <c r="I27" s="59">
        <v>1800000</v>
      </c>
      <c r="J27" s="59">
        <f t="shared" si="4"/>
        <v>1800000</v>
      </c>
      <c r="K27" s="59">
        <f t="shared" si="5"/>
        <v>21600000</v>
      </c>
      <c r="M27" s="58" t="s">
        <v>26</v>
      </c>
      <c r="N27" s="115">
        <f t="shared" si="6"/>
        <v>3.771726717445284E-2</v>
      </c>
    </row>
    <row r="28" spans="1:14">
      <c r="C28" s="60"/>
      <c r="D28" s="60"/>
      <c r="E28" s="63"/>
      <c r="G28" s="58" t="s">
        <v>28</v>
      </c>
      <c r="H28" s="19">
        <v>1</v>
      </c>
      <c r="I28" s="59">
        <v>4500000</v>
      </c>
      <c r="J28" s="59">
        <f t="shared" si="4"/>
        <v>4500000</v>
      </c>
      <c r="K28" s="59">
        <f t="shared" si="5"/>
        <v>54000000</v>
      </c>
      <c r="M28" s="58" t="s">
        <v>28</v>
      </c>
      <c r="N28" s="115">
        <f t="shared" si="6"/>
        <v>9.42931679361321E-2</v>
      </c>
    </row>
    <row r="29" spans="1:14">
      <c r="C29" s="60"/>
      <c r="D29" s="60"/>
      <c r="E29" s="63"/>
      <c r="G29" s="58" t="s">
        <v>30</v>
      </c>
      <c r="H29" s="19">
        <v>2</v>
      </c>
      <c r="I29" s="59">
        <v>4000000</v>
      </c>
      <c r="J29" s="59">
        <f t="shared" si="4"/>
        <v>8000000</v>
      </c>
      <c r="K29" s="59">
        <f t="shared" si="5"/>
        <v>96000000</v>
      </c>
      <c r="M29" s="58" t="s">
        <v>30</v>
      </c>
      <c r="N29" s="115">
        <f t="shared" si="6"/>
        <v>0.16763229855312373</v>
      </c>
    </row>
    <row r="30" spans="1:14">
      <c r="C30" s="60"/>
      <c r="D30" s="60"/>
      <c r="E30" s="63"/>
      <c r="G30" s="58" t="s">
        <v>32</v>
      </c>
      <c r="H30" s="19">
        <v>2</v>
      </c>
      <c r="I30" s="59">
        <v>6000000</v>
      </c>
      <c r="J30" s="59">
        <f t="shared" si="4"/>
        <v>12000000</v>
      </c>
      <c r="K30" s="59">
        <f t="shared" si="5"/>
        <v>144000000</v>
      </c>
      <c r="M30" s="58" t="s">
        <v>32</v>
      </c>
      <c r="N30" s="115">
        <f t="shared" si="6"/>
        <v>0.25144844782968556</v>
      </c>
    </row>
    <row r="31" spans="1:14">
      <c r="C31" s="60"/>
      <c r="D31" s="60"/>
      <c r="E31" s="63"/>
      <c r="G31" s="58" t="s">
        <v>38</v>
      </c>
      <c r="H31" s="19">
        <v>1</v>
      </c>
      <c r="I31" s="65">
        <v>1423500</v>
      </c>
      <c r="J31" s="59">
        <f t="shared" si="4"/>
        <v>1423500</v>
      </c>
      <c r="K31" s="59">
        <f t="shared" si="5"/>
        <v>17082000</v>
      </c>
      <c r="M31" s="58" t="s">
        <v>38</v>
      </c>
      <c r="N31" s="115">
        <f t="shared" si="6"/>
        <v>2.9828072123796453E-2</v>
      </c>
    </row>
    <row r="32" spans="1:14">
      <c r="C32" s="63"/>
      <c r="D32" s="63"/>
      <c r="E32" s="63"/>
      <c r="G32" s="66" t="s">
        <v>39</v>
      </c>
      <c r="H32" s="78">
        <f>SUM(H24:H31)</f>
        <v>12</v>
      </c>
      <c r="I32" s="79">
        <f>SUM(I24:I31)</f>
        <v>29223500</v>
      </c>
      <c r="J32" s="79">
        <f>SUM(J24:J31)</f>
        <v>47723500</v>
      </c>
      <c r="K32" s="79">
        <f>+SUM(K24:K31)</f>
        <v>572682000</v>
      </c>
      <c r="N32" s="119"/>
    </row>
    <row r="33" spans="3:5">
      <c r="C33" s="63"/>
      <c r="D33" s="63"/>
      <c r="E33" s="63"/>
    </row>
  </sheetData>
  <mergeCells count="5">
    <mergeCell ref="B2:D2"/>
    <mergeCell ref="G10:K10"/>
    <mergeCell ref="G22:K22"/>
    <mergeCell ref="M10:N10"/>
    <mergeCell ref="M23:N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5CBC-6FB4-4539-9D47-39E6F9BDD06C}">
  <dimension ref="B2:O108"/>
  <sheetViews>
    <sheetView showGridLines="0" topLeftCell="A57" zoomScale="70" zoomScaleNormal="70" workbookViewId="0">
      <selection activeCell="C87" sqref="C87"/>
    </sheetView>
  </sheetViews>
  <sheetFormatPr baseColWidth="10" defaultColWidth="11.44140625" defaultRowHeight="14.4"/>
  <cols>
    <col min="1" max="1" width="3" customWidth="1"/>
    <col min="2" max="2" width="32.6640625" customWidth="1"/>
    <col min="3" max="3" width="17.6640625" bestFit="1" customWidth="1"/>
    <col min="4" max="4" width="18.6640625" customWidth="1"/>
    <col min="5" max="5" width="16.33203125" customWidth="1"/>
    <col min="6" max="6" width="19.6640625" bestFit="1" customWidth="1"/>
    <col min="7" max="7" width="19.109375" customWidth="1"/>
    <col min="8" max="8" width="22.5546875" customWidth="1"/>
    <col min="9" max="9" width="16.44140625" bestFit="1" customWidth="1"/>
    <col min="10" max="10" width="15.109375" customWidth="1"/>
    <col min="11" max="11" width="20.88671875" customWidth="1"/>
    <col min="12" max="12" width="17" customWidth="1"/>
    <col min="13" max="13" width="22" customWidth="1"/>
    <col min="14" max="14" width="24.5546875" customWidth="1"/>
    <col min="15" max="15" width="15.5546875" customWidth="1"/>
    <col min="16" max="16" width="17" customWidth="1"/>
    <col min="17" max="17" width="18" customWidth="1"/>
    <col min="18" max="18" width="14.33203125" customWidth="1"/>
    <col min="19" max="19" width="16.88671875" customWidth="1"/>
    <col min="20" max="20" width="15" customWidth="1"/>
    <col min="21" max="21" width="16.44140625" customWidth="1"/>
  </cols>
  <sheetData>
    <row r="2" spans="2:15" ht="69.599999999999994" customHeight="1">
      <c r="B2" s="164" t="s">
        <v>198</v>
      </c>
      <c r="C2" s="165"/>
      <c r="D2" s="165"/>
      <c r="E2" s="165"/>
      <c r="F2" s="165"/>
      <c r="G2" s="165"/>
    </row>
    <row r="5" spans="2:15">
      <c r="B5" t="s">
        <v>40</v>
      </c>
    </row>
    <row r="6" spans="2:15">
      <c r="B6" t="s">
        <v>41</v>
      </c>
    </row>
    <row r="7" spans="2:15">
      <c r="B7" t="s">
        <v>42</v>
      </c>
      <c r="F7">
        <v>12</v>
      </c>
    </row>
    <row r="8" spans="2:15">
      <c r="B8" t="s">
        <v>43</v>
      </c>
      <c r="F8" s="8">
        <f>I20</f>
        <v>15124167.822666667</v>
      </c>
    </row>
    <row r="9" spans="2:15">
      <c r="B9" t="s">
        <v>44</v>
      </c>
      <c r="F9" s="24">
        <v>0.8</v>
      </c>
      <c r="G9" t="s">
        <v>45</v>
      </c>
      <c r="H9" s="24">
        <v>0.2</v>
      </c>
      <c r="I9" t="s">
        <v>46</v>
      </c>
    </row>
    <row r="10" spans="2:15">
      <c r="B10" t="s">
        <v>47</v>
      </c>
    </row>
    <row r="11" spans="2:15">
      <c r="B11" t="s">
        <v>196</v>
      </c>
    </row>
    <row r="12" spans="2:15">
      <c r="B12" t="s">
        <v>197</v>
      </c>
    </row>
    <row r="13" spans="2:15">
      <c r="B13" t="s">
        <v>48</v>
      </c>
    </row>
    <row r="14" spans="2:15">
      <c r="E14">
        <f>E19/D19</f>
        <v>1.0370326409495549</v>
      </c>
      <c r="F14">
        <f>F19/E19</f>
        <v>1.0371600663843425</v>
      </c>
    </row>
    <row r="16" spans="2:15">
      <c r="B16" s="27" t="s">
        <v>49</v>
      </c>
      <c r="C16" s="28" t="s">
        <v>50</v>
      </c>
      <c r="D16" s="28" t="s">
        <v>51</v>
      </c>
      <c r="E16" s="28" t="s">
        <v>52</v>
      </c>
      <c r="F16" s="28" t="s">
        <v>53</v>
      </c>
      <c r="G16" s="28" t="s">
        <v>54</v>
      </c>
      <c r="H16" s="28" t="s">
        <v>55</v>
      </c>
      <c r="I16" s="28" t="s">
        <v>56</v>
      </c>
      <c r="K16" s="109" t="s">
        <v>57</v>
      </c>
      <c r="L16" s="110">
        <f>+(1+N16)^12-1</f>
        <v>7.4424167721924617E-2</v>
      </c>
      <c r="M16" s="58" t="s">
        <v>58</v>
      </c>
      <c r="N16" s="110">
        <v>6.0000000000000001E-3</v>
      </c>
      <c r="O16" s="58" t="s">
        <v>59</v>
      </c>
    </row>
    <row r="17" spans="2:15">
      <c r="B17" s="10" t="s">
        <v>60</v>
      </c>
      <c r="C17" s="21"/>
      <c r="D17" s="30">
        <v>0.7</v>
      </c>
      <c r="E17" s="30">
        <v>0.75</v>
      </c>
      <c r="F17" s="30">
        <v>0.8</v>
      </c>
      <c r="G17" s="30">
        <v>0.9</v>
      </c>
      <c r="H17" s="30">
        <v>1</v>
      </c>
      <c r="I17" s="53">
        <v>1</v>
      </c>
      <c r="K17" s="109" t="s">
        <v>61</v>
      </c>
      <c r="L17" s="111">
        <f>+(((1+N16)^48*N16)/((1+N16)^48-1))*L21</f>
        <v>18390666.212225404</v>
      </c>
      <c r="M17" s="57"/>
      <c r="N17" s="58" t="s">
        <v>62</v>
      </c>
      <c r="O17" s="112">
        <f>L21</f>
        <v>765030000</v>
      </c>
    </row>
    <row r="18" spans="2:15">
      <c r="B18" s="10" t="s">
        <v>63</v>
      </c>
      <c r="C18" s="10"/>
      <c r="D18" s="10">
        <v>12</v>
      </c>
      <c r="E18" s="10">
        <v>12</v>
      </c>
      <c r="F18" s="10">
        <v>12</v>
      </c>
      <c r="G18" s="10">
        <v>12</v>
      </c>
      <c r="H18" s="10">
        <v>12</v>
      </c>
      <c r="I18" s="10">
        <v>48</v>
      </c>
      <c r="K18" s="166" t="s">
        <v>64</v>
      </c>
      <c r="L18" s="166"/>
      <c r="M18" s="166"/>
      <c r="N18" s="166"/>
      <c r="O18" s="166"/>
    </row>
    <row r="19" spans="2:15">
      <c r="B19" s="10" t="s">
        <v>65</v>
      </c>
      <c r="C19" s="10"/>
      <c r="D19" s="12">
        <v>134800000</v>
      </c>
      <c r="E19" s="12">
        <v>139792000</v>
      </c>
      <c r="F19" s="12">
        <v>144986680</v>
      </c>
      <c r="G19" s="12">
        <v>150383027.19999999</v>
      </c>
      <c r="H19" s="12">
        <v>155998348.28799999</v>
      </c>
      <c r="I19" s="13">
        <f>SUM(D19:H19)</f>
        <v>725960055.48800004</v>
      </c>
      <c r="J19" s="9"/>
      <c r="K19" s="167" t="s">
        <v>66</v>
      </c>
      <c r="L19" s="167" t="s">
        <v>67</v>
      </c>
      <c r="M19" s="168" t="s">
        <v>68</v>
      </c>
      <c r="N19" s="168"/>
      <c r="O19" s="168"/>
    </row>
    <row r="20" spans="2:15">
      <c r="B20" s="10" t="s">
        <v>69</v>
      </c>
      <c r="C20" s="10"/>
      <c r="D20" s="12">
        <f>+D19*30%</f>
        <v>40440000</v>
      </c>
      <c r="E20" s="12">
        <f>+E19*30%</f>
        <v>41937600</v>
      </c>
      <c r="F20" s="12">
        <f t="shared" ref="F20:G20" si="0">+F19*30%</f>
        <v>43496004</v>
      </c>
      <c r="G20" s="12">
        <f t="shared" si="0"/>
        <v>45114908.159999996</v>
      </c>
      <c r="H20" s="12">
        <f>+H19*30%</f>
        <v>46799504.486399993</v>
      </c>
      <c r="I20" s="80">
        <f>I19/I18</f>
        <v>15124167.822666667</v>
      </c>
      <c r="J20" s="55"/>
      <c r="K20" s="167"/>
      <c r="L20" s="167"/>
      <c r="M20" s="31" t="s">
        <v>70</v>
      </c>
      <c r="N20" s="31" t="s">
        <v>71</v>
      </c>
      <c r="O20" s="31" t="s">
        <v>72</v>
      </c>
    </row>
    <row r="21" spans="2:15">
      <c r="E21" s="25"/>
      <c r="K21" s="14">
        <v>0</v>
      </c>
      <c r="L21" s="32">
        <f>'Inversión Inicial'!C8</f>
        <v>765030000</v>
      </c>
      <c r="M21" s="33"/>
      <c r="N21" s="33"/>
      <c r="O21" s="33"/>
    </row>
    <row r="22" spans="2:15">
      <c r="B22" s="27" t="s">
        <v>73</v>
      </c>
      <c r="C22" s="28" t="s">
        <v>50</v>
      </c>
      <c r="D22" s="28" t="s">
        <v>51</v>
      </c>
      <c r="E22" s="28" t="s">
        <v>52</v>
      </c>
      <c r="F22" s="28" t="s">
        <v>53</v>
      </c>
      <c r="G22" s="28" t="s">
        <v>54</v>
      </c>
      <c r="H22" s="28" t="s">
        <v>55</v>
      </c>
      <c r="K22" s="14">
        <v>1</v>
      </c>
      <c r="L22" s="32">
        <f>+L21-N22</f>
        <v>751229513.78777456</v>
      </c>
      <c r="M22" s="32">
        <f t="shared" ref="M22:M69" si="1">+L21*$N$16</f>
        <v>4590180</v>
      </c>
      <c r="N22" s="26">
        <f>+O22-M22</f>
        <v>13800486.212225404</v>
      </c>
      <c r="O22" s="26">
        <f>+$L$17</f>
        <v>18390666.212225404</v>
      </c>
    </row>
    <row r="23" spans="2:15">
      <c r="B23" s="22" t="s">
        <v>74</v>
      </c>
      <c r="C23" s="10"/>
      <c r="D23" s="12"/>
      <c r="E23" s="12"/>
      <c r="F23" s="12"/>
      <c r="G23" s="12"/>
      <c r="H23" s="12"/>
      <c r="K23" s="14">
        <f>+K22+1</f>
        <v>2</v>
      </c>
      <c r="L23" s="32">
        <f t="shared" ref="L23:L68" si="2">+L22-N23</f>
        <v>737346224.65827584</v>
      </c>
      <c r="M23" s="32">
        <f t="shared" si="1"/>
        <v>4507377.0827266471</v>
      </c>
      <c r="N23" s="26">
        <f t="shared" ref="N23:N69" si="3">+O23-M23</f>
        <v>13883289.129498757</v>
      </c>
      <c r="O23" s="26">
        <f t="shared" ref="O23:O69" si="4">+$L$17</f>
        <v>18390666.212225404</v>
      </c>
    </row>
    <row r="24" spans="2:15">
      <c r="B24" s="10" t="s">
        <v>75</v>
      </c>
      <c r="C24" s="34"/>
      <c r="D24" s="35">
        <f>+D19*D18</f>
        <v>1617600000</v>
      </c>
      <c r="E24" s="35">
        <f t="shared" ref="E24:G24" si="5">+E19*E18</f>
        <v>1677504000</v>
      </c>
      <c r="F24" s="35">
        <f t="shared" si="5"/>
        <v>1739840160</v>
      </c>
      <c r="G24" s="35">
        <f t="shared" si="5"/>
        <v>1804596326.3999999</v>
      </c>
      <c r="H24" s="35">
        <f>+H19*H18</f>
        <v>1871980179.4559999</v>
      </c>
      <c r="K24" s="14">
        <f t="shared" ref="K24:K69" si="6">+K23+1</f>
        <v>3</v>
      </c>
      <c r="L24" s="32">
        <f t="shared" si="2"/>
        <v>723379635.79400015</v>
      </c>
      <c r="M24" s="32">
        <f t="shared" si="1"/>
        <v>4424077.3479496548</v>
      </c>
      <c r="N24" s="26">
        <f t="shared" si="3"/>
        <v>13966588.86427575</v>
      </c>
      <c r="O24" s="26">
        <f t="shared" si="4"/>
        <v>18390666.212225404</v>
      </c>
    </row>
    <row r="25" spans="2:15">
      <c r="B25" s="36" t="s">
        <v>76</v>
      </c>
      <c r="C25" s="34"/>
      <c r="D25" s="35">
        <f>+D24</f>
        <v>1617600000</v>
      </c>
      <c r="E25" s="35">
        <f t="shared" ref="E25:G25" si="7">+E24</f>
        <v>1677504000</v>
      </c>
      <c r="F25" s="35">
        <f t="shared" si="7"/>
        <v>1739840160</v>
      </c>
      <c r="G25" s="35">
        <f t="shared" si="7"/>
        <v>1804596326.3999999</v>
      </c>
      <c r="H25" s="35">
        <f>+H24</f>
        <v>1871980179.4559999</v>
      </c>
      <c r="K25" s="14">
        <f t="shared" si="6"/>
        <v>4</v>
      </c>
      <c r="L25" s="32">
        <f t="shared" si="2"/>
        <v>709329247.39653873</v>
      </c>
      <c r="M25" s="32">
        <f t="shared" si="1"/>
        <v>4340277.8147640014</v>
      </c>
      <c r="N25" s="26">
        <f t="shared" si="3"/>
        <v>14050388.397461403</v>
      </c>
      <c r="O25" s="26">
        <f t="shared" si="4"/>
        <v>18390666.212225404</v>
      </c>
    </row>
    <row r="26" spans="2:15">
      <c r="B26" s="10"/>
      <c r="C26" s="10"/>
      <c r="D26" s="12"/>
      <c r="E26" s="12"/>
      <c r="F26" s="12"/>
      <c r="G26" s="12"/>
      <c r="H26" s="12"/>
      <c r="K26" s="14">
        <f t="shared" si="6"/>
        <v>5</v>
      </c>
      <c r="L26" s="32">
        <f t="shared" si="2"/>
        <v>695194556.66869259</v>
      </c>
      <c r="M26" s="32">
        <f t="shared" si="1"/>
        <v>4255975.4843792329</v>
      </c>
      <c r="N26" s="26">
        <f t="shared" si="3"/>
        <v>14134690.727846172</v>
      </c>
      <c r="O26" s="26">
        <f t="shared" si="4"/>
        <v>18390666.212225404</v>
      </c>
    </row>
    <row r="27" spans="2:15">
      <c r="B27" s="22" t="s">
        <v>77</v>
      </c>
      <c r="C27" s="34"/>
      <c r="D27" s="34"/>
      <c r="E27" s="34"/>
      <c r="F27" s="34"/>
      <c r="G27" s="34"/>
      <c r="H27" s="34"/>
      <c r="K27" s="14">
        <f t="shared" si="6"/>
        <v>6</v>
      </c>
      <c r="L27" s="32">
        <f t="shared" si="2"/>
        <v>680975057.79647934</v>
      </c>
      <c r="M27" s="32">
        <f t="shared" si="1"/>
        <v>4171167.3400121555</v>
      </c>
      <c r="N27" s="26">
        <f t="shared" si="3"/>
        <v>14219498.872213248</v>
      </c>
      <c r="O27" s="26">
        <f t="shared" si="4"/>
        <v>18390666.212225404</v>
      </c>
    </row>
    <row r="28" spans="2:15">
      <c r="B28" s="10" t="s">
        <v>78</v>
      </c>
      <c r="C28" s="34"/>
      <c r="D28" s="37">
        <f>+(D20*D18)*30%</f>
        <v>145584000</v>
      </c>
      <c r="E28" s="37">
        <f t="shared" ref="E28:H28" si="8">+(E20*E18)*30%</f>
        <v>150975360</v>
      </c>
      <c r="F28" s="37">
        <f t="shared" si="8"/>
        <v>156585614.40000001</v>
      </c>
      <c r="G28" s="37">
        <f t="shared" si="8"/>
        <v>162413669.37599999</v>
      </c>
      <c r="H28" s="37">
        <f t="shared" si="8"/>
        <v>168478216.15103996</v>
      </c>
      <c r="K28" s="14">
        <f t="shared" si="6"/>
        <v>7</v>
      </c>
      <c r="L28" s="32">
        <f t="shared" si="2"/>
        <v>666670241.93103278</v>
      </c>
      <c r="M28" s="32">
        <f t="shared" si="1"/>
        <v>4085850.3467788761</v>
      </c>
      <c r="N28" s="26">
        <f t="shared" si="3"/>
        <v>14304815.865446527</v>
      </c>
      <c r="O28" s="26">
        <f t="shared" si="4"/>
        <v>18390666.212225404</v>
      </c>
    </row>
    <row r="29" spans="2:15">
      <c r="B29" s="10" t="s">
        <v>79</v>
      </c>
      <c r="C29" s="38"/>
      <c r="D29" s="37">
        <f>+(D20*D18)*15%</f>
        <v>72792000</v>
      </c>
      <c r="E29" s="37">
        <f t="shared" ref="E29:H29" si="9">+(E20*E18)*15%</f>
        <v>75487680</v>
      </c>
      <c r="F29" s="37">
        <f t="shared" si="9"/>
        <v>78292807.200000003</v>
      </c>
      <c r="G29" s="37">
        <f t="shared" si="9"/>
        <v>81206834.687999994</v>
      </c>
      <c r="H29" s="37">
        <f t="shared" si="9"/>
        <v>84239108.075519979</v>
      </c>
      <c r="K29" s="14">
        <f t="shared" si="6"/>
        <v>8</v>
      </c>
      <c r="L29" s="32">
        <f t="shared" si="2"/>
        <v>652279597.17039359</v>
      </c>
      <c r="M29" s="32">
        <f t="shared" si="1"/>
        <v>4000021.4515861967</v>
      </c>
      <c r="N29" s="26">
        <f t="shared" si="3"/>
        <v>14390644.760639207</v>
      </c>
      <c r="O29" s="26">
        <f t="shared" si="4"/>
        <v>18390666.212225404</v>
      </c>
    </row>
    <row r="30" spans="2:15">
      <c r="B30" s="39" t="s">
        <v>80</v>
      </c>
      <c r="C30" s="34"/>
      <c r="D30" s="37">
        <f>+D28+D29</f>
        <v>218376000</v>
      </c>
      <c r="E30" s="37">
        <f t="shared" ref="E30:H30" si="10">+E28+E29</f>
        <v>226463040</v>
      </c>
      <c r="F30" s="37">
        <f t="shared" si="10"/>
        <v>234878421.60000002</v>
      </c>
      <c r="G30" s="37">
        <f t="shared" si="10"/>
        <v>243620504.06399998</v>
      </c>
      <c r="H30" s="37">
        <f t="shared" si="10"/>
        <v>252717324.22655994</v>
      </c>
      <c r="K30" s="14">
        <f t="shared" si="6"/>
        <v>9</v>
      </c>
      <c r="L30" s="32">
        <f t="shared" si="2"/>
        <v>637802608.54119051</v>
      </c>
      <c r="M30" s="32">
        <f t="shared" si="1"/>
        <v>3913677.5830223616</v>
      </c>
      <c r="N30" s="26">
        <f t="shared" si="3"/>
        <v>14476988.629203042</v>
      </c>
      <c r="O30" s="26">
        <f t="shared" si="4"/>
        <v>18390666.212225404</v>
      </c>
    </row>
    <row r="31" spans="2:15">
      <c r="B31" s="10" t="s">
        <v>81</v>
      </c>
      <c r="C31" s="34"/>
      <c r="D31" s="40">
        <f>+D25*10%</f>
        <v>161760000</v>
      </c>
      <c r="E31" s="40">
        <f t="shared" ref="E31:G31" si="11">+E25*10%</f>
        <v>167750400</v>
      </c>
      <c r="F31" s="40">
        <f t="shared" si="11"/>
        <v>173984016</v>
      </c>
      <c r="G31" s="40">
        <f t="shared" si="11"/>
        <v>180459632.63999999</v>
      </c>
      <c r="H31" s="40">
        <f>+H25*10%</f>
        <v>187198017.9456</v>
      </c>
      <c r="I31" s="54"/>
      <c r="J31" s="54"/>
      <c r="K31" s="14">
        <f t="shared" si="6"/>
        <v>10</v>
      </c>
      <c r="L31" s="32">
        <f t="shared" si="2"/>
        <v>623238757.98021221</v>
      </c>
      <c r="M31" s="32">
        <f t="shared" si="1"/>
        <v>3826815.6512471433</v>
      </c>
      <c r="N31" s="26">
        <f t="shared" si="3"/>
        <v>14563850.56097826</v>
      </c>
      <c r="O31" s="26">
        <f t="shared" si="4"/>
        <v>18390666.212225404</v>
      </c>
    </row>
    <row r="32" spans="2:15">
      <c r="B32" s="10" t="s">
        <v>82</v>
      </c>
      <c r="C32" s="34"/>
      <c r="D32" s="37">
        <f>+D25*5%</f>
        <v>80880000</v>
      </c>
      <c r="E32" s="37">
        <f t="shared" ref="E32:H32" si="12">+E25*5%</f>
        <v>83875200</v>
      </c>
      <c r="F32" s="37">
        <f t="shared" si="12"/>
        <v>86992008</v>
      </c>
      <c r="G32" s="37">
        <f t="shared" si="12"/>
        <v>90229816.319999993</v>
      </c>
      <c r="H32" s="37">
        <f t="shared" si="12"/>
        <v>93599008.972800002</v>
      </c>
      <c r="K32" s="14">
        <f t="shared" si="6"/>
        <v>11</v>
      </c>
      <c r="L32" s="32">
        <f t="shared" si="2"/>
        <v>608587524.31586814</v>
      </c>
      <c r="M32" s="32">
        <f t="shared" si="1"/>
        <v>3739432.5478812736</v>
      </c>
      <c r="N32" s="26">
        <f t="shared" si="3"/>
        <v>14651233.66434413</v>
      </c>
      <c r="O32" s="26">
        <f t="shared" si="4"/>
        <v>18390666.212225404</v>
      </c>
    </row>
    <row r="33" spans="2:15">
      <c r="B33" s="10" t="s">
        <v>83</v>
      </c>
      <c r="C33" s="34"/>
      <c r="D33" s="37">
        <f>+$N$80</f>
        <v>55200000</v>
      </c>
      <c r="E33" s="37">
        <f>+$N$80</f>
        <v>55200000</v>
      </c>
      <c r="F33" s="37">
        <f>+$N$80</f>
        <v>55200000</v>
      </c>
      <c r="G33" s="37">
        <f>+$N$80</f>
        <v>55200000</v>
      </c>
      <c r="H33" s="37">
        <f>+$N$80</f>
        <v>55200000</v>
      </c>
      <c r="K33" s="14">
        <f t="shared" si="6"/>
        <v>12</v>
      </c>
      <c r="L33" s="32">
        <f t="shared" si="2"/>
        <v>593848383.24953794</v>
      </c>
      <c r="M33" s="32">
        <f t="shared" si="1"/>
        <v>3651525.1458952087</v>
      </c>
      <c r="N33" s="26">
        <f t="shared" si="3"/>
        <v>14739141.066330194</v>
      </c>
      <c r="O33" s="26">
        <f t="shared" si="4"/>
        <v>18390666.212225404</v>
      </c>
    </row>
    <row r="34" spans="2:15">
      <c r="B34" s="10" t="s">
        <v>84</v>
      </c>
      <c r="C34" s="34"/>
      <c r="D34" s="37">
        <f>+$K$82</f>
        <v>3200000</v>
      </c>
      <c r="E34" s="37">
        <f>+$K$82</f>
        <v>3200000</v>
      </c>
      <c r="F34" s="37">
        <f>+$K$82</f>
        <v>3200000</v>
      </c>
      <c r="G34" s="37">
        <f>+$K$82</f>
        <v>3200000</v>
      </c>
      <c r="H34" s="37">
        <f>+$K$82</f>
        <v>3200000</v>
      </c>
      <c r="K34" s="14">
        <f t="shared" si="6"/>
        <v>13</v>
      </c>
      <c r="L34" s="32">
        <f t="shared" si="2"/>
        <v>579020807.33680975</v>
      </c>
      <c r="M34" s="32">
        <f t="shared" si="1"/>
        <v>3563090.2994972277</v>
      </c>
      <c r="N34" s="26">
        <f t="shared" si="3"/>
        <v>14827575.912728176</v>
      </c>
      <c r="O34" s="26">
        <f t="shared" si="4"/>
        <v>18390666.212225404</v>
      </c>
    </row>
    <row r="35" spans="2:15">
      <c r="B35" s="36" t="s">
        <v>85</v>
      </c>
      <c r="C35" s="34"/>
      <c r="D35" s="37">
        <f>+D30+D31+D32+D33+D34</f>
        <v>519416000</v>
      </c>
      <c r="E35" s="37">
        <f t="shared" ref="E35:H35" si="13">+E30+E31+E32+E33+E34</f>
        <v>536488640</v>
      </c>
      <c r="F35" s="37">
        <f t="shared" si="13"/>
        <v>554254445.60000002</v>
      </c>
      <c r="G35" s="37">
        <f t="shared" si="13"/>
        <v>572709953.02399993</v>
      </c>
      <c r="H35" s="37">
        <f t="shared" si="13"/>
        <v>591914351.14495993</v>
      </c>
      <c r="K35" s="14">
        <f t="shared" si="6"/>
        <v>14</v>
      </c>
      <c r="L35" s="32">
        <f t="shared" si="2"/>
        <v>564104265.96860516</v>
      </c>
      <c r="M35" s="32">
        <f t="shared" si="1"/>
        <v>3474124.8440208584</v>
      </c>
      <c r="N35" s="26">
        <f t="shared" si="3"/>
        <v>14916541.368204545</v>
      </c>
      <c r="O35" s="26">
        <f t="shared" si="4"/>
        <v>18390666.212225404</v>
      </c>
    </row>
    <row r="36" spans="2:15">
      <c r="B36" s="10"/>
      <c r="C36" s="34"/>
      <c r="D36" s="41"/>
      <c r="E36" s="41"/>
      <c r="F36" s="41"/>
      <c r="G36" s="41"/>
      <c r="H36" s="41"/>
      <c r="K36" s="14">
        <f t="shared" si="6"/>
        <v>15</v>
      </c>
      <c r="L36" s="32">
        <f t="shared" si="2"/>
        <v>549098225.35219145</v>
      </c>
      <c r="M36" s="32">
        <f t="shared" si="1"/>
        <v>3384625.5958116311</v>
      </c>
      <c r="N36" s="26">
        <f t="shared" si="3"/>
        <v>15006040.616413772</v>
      </c>
      <c r="O36" s="26">
        <f t="shared" si="4"/>
        <v>18390666.212225404</v>
      </c>
    </row>
    <row r="37" spans="2:15">
      <c r="B37" s="10" t="s">
        <v>86</v>
      </c>
      <c r="C37" s="34"/>
      <c r="D37" s="37">
        <f>+D25-D35</f>
        <v>1098184000</v>
      </c>
      <c r="E37" s="37">
        <f t="shared" ref="E37:G37" si="14">+E25-E35</f>
        <v>1141015360</v>
      </c>
      <c r="F37" s="37">
        <f t="shared" si="14"/>
        <v>1185585714.4000001</v>
      </c>
      <c r="G37" s="37">
        <f t="shared" si="14"/>
        <v>1231886373.3759999</v>
      </c>
      <c r="H37" s="37">
        <f>+H25-H35</f>
        <v>1280065828.3110399</v>
      </c>
      <c r="K37" s="14">
        <f t="shared" si="6"/>
        <v>16</v>
      </c>
      <c r="L37" s="32">
        <f t="shared" si="2"/>
        <v>534002148.4920792</v>
      </c>
      <c r="M37" s="32">
        <f t="shared" si="1"/>
        <v>3294589.3521131487</v>
      </c>
      <c r="N37" s="26">
        <f t="shared" si="3"/>
        <v>15096076.860112255</v>
      </c>
      <c r="O37" s="26">
        <f t="shared" si="4"/>
        <v>18390666.212225404</v>
      </c>
    </row>
    <row r="38" spans="2:15">
      <c r="B38" s="10" t="s">
        <v>87</v>
      </c>
      <c r="C38" s="34"/>
      <c r="D38" s="37">
        <f>+D37*33%</f>
        <v>362400720</v>
      </c>
      <c r="E38" s="37">
        <f t="shared" ref="E38:H38" si="15">+E37*33%</f>
        <v>376535068.80000001</v>
      </c>
      <c r="F38" s="37">
        <f t="shared" si="15"/>
        <v>391243285.75200003</v>
      </c>
      <c r="G38" s="37">
        <f t="shared" si="15"/>
        <v>406522503.21407998</v>
      </c>
      <c r="H38" s="37">
        <f t="shared" si="15"/>
        <v>422421723.3426432</v>
      </c>
      <c r="K38" s="14">
        <f t="shared" si="6"/>
        <v>17</v>
      </c>
      <c r="L38" s="32">
        <f t="shared" si="2"/>
        <v>518815495.17080629</v>
      </c>
      <c r="M38" s="32">
        <f t="shared" si="1"/>
        <v>3204012.8909524754</v>
      </c>
      <c r="N38" s="26">
        <f t="shared" si="3"/>
        <v>15186653.321272928</v>
      </c>
      <c r="O38" s="26">
        <f t="shared" si="4"/>
        <v>18390666.212225404</v>
      </c>
    </row>
    <row r="39" spans="2:15">
      <c r="B39" s="10"/>
      <c r="C39" s="34"/>
      <c r="D39" s="41"/>
      <c r="E39" s="41"/>
      <c r="F39" s="41"/>
      <c r="G39" s="41"/>
      <c r="H39" s="41"/>
      <c r="K39" s="14">
        <f t="shared" si="6"/>
        <v>18</v>
      </c>
      <c r="L39" s="32">
        <f t="shared" si="2"/>
        <v>503537721.92960572</v>
      </c>
      <c r="M39" s="32">
        <f t="shared" si="1"/>
        <v>3112892.9710248378</v>
      </c>
      <c r="N39" s="26">
        <f t="shared" si="3"/>
        <v>15277773.241200566</v>
      </c>
      <c r="O39" s="26">
        <f t="shared" si="4"/>
        <v>18390666.212225404</v>
      </c>
    </row>
    <row r="40" spans="2:15">
      <c r="B40" s="10" t="s">
        <v>88</v>
      </c>
      <c r="C40" s="34"/>
      <c r="D40" s="37">
        <f>+D37-D38</f>
        <v>735783280</v>
      </c>
      <c r="E40" s="37">
        <f t="shared" ref="E40:G40" si="16">+E37-E38</f>
        <v>764480291.20000005</v>
      </c>
      <c r="F40" s="37">
        <f t="shared" si="16"/>
        <v>794342428.648</v>
      </c>
      <c r="G40" s="37">
        <f t="shared" si="16"/>
        <v>825363870.16191995</v>
      </c>
      <c r="H40" s="37">
        <f>+H37-H38</f>
        <v>857644104.96839666</v>
      </c>
      <c r="K40" s="14">
        <f t="shared" si="6"/>
        <v>19</v>
      </c>
      <c r="L40" s="32">
        <f t="shared" si="2"/>
        <v>488168282.04895794</v>
      </c>
      <c r="M40" s="32">
        <f t="shared" si="1"/>
        <v>3021226.3315776344</v>
      </c>
      <c r="N40" s="26">
        <f t="shared" si="3"/>
        <v>15369439.880647769</v>
      </c>
      <c r="O40" s="26">
        <f t="shared" si="4"/>
        <v>18390666.212225404</v>
      </c>
    </row>
    <row r="41" spans="2:15">
      <c r="B41" s="10" t="s">
        <v>83</v>
      </c>
      <c r="C41" s="34"/>
      <c r="D41" s="37">
        <f>+$N$80</f>
        <v>55200000</v>
      </c>
      <c r="E41" s="37">
        <f>+$N$80</f>
        <v>55200000</v>
      </c>
      <c r="F41" s="37">
        <f>+$N$80</f>
        <v>55200000</v>
      </c>
      <c r="G41" s="37">
        <f>+$N$80</f>
        <v>55200000</v>
      </c>
      <c r="H41" s="37">
        <f>+$N$80</f>
        <v>55200000</v>
      </c>
      <c r="K41" s="14">
        <f t="shared" si="6"/>
        <v>20</v>
      </c>
      <c r="L41" s="32">
        <f t="shared" si="2"/>
        <v>472706625.52902627</v>
      </c>
      <c r="M41" s="32">
        <f t="shared" si="1"/>
        <v>2929009.6922937478</v>
      </c>
      <c r="N41" s="26">
        <f t="shared" si="3"/>
        <v>15461656.519931655</v>
      </c>
      <c r="O41" s="26">
        <f t="shared" si="4"/>
        <v>18390666.212225404</v>
      </c>
    </row>
    <row r="42" spans="2:15">
      <c r="B42" s="10" t="s">
        <v>84</v>
      </c>
      <c r="C42" s="34"/>
      <c r="D42" s="37">
        <f>+$K$82</f>
        <v>3200000</v>
      </c>
      <c r="E42" s="37">
        <f>+$K$82</f>
        <v>3200000</v>
      </c>
      <c r="F42" s="37">
        <f>+$K$82</f>
        <v>3200000</v>
      </c>
      <c r="G42" s="37">
        <f>+$K$82</f>
        <v>3200000</v>
      </c>
      <c r="H42" s="37">
        <f>+$K$82</f>
        <v>3200000</v>
      </c>
      <c r="K42" s="14">
        <f t="shared" si="6"/>
        <v>21</v>
      </c>
      <c r="L42" s="32">
        <f t="shared" si="2"/>
        <v>457152199.06997502</v>
      </c>
      <c r="M42" s="32">
        <f t="shared" si="1"/>
        <v>2836239.7531741578</v>
      </c>
      <c r="N42" s="26">
        <f t="shared" si="3"/>
        <v>15554426.459051246</v>
      </c>
      <c r="O42" s="26">
        <f t="shared" si="4"/>
        <v>18390666.212225404</v>
      </c>
    </row>
    <row r="43" spans="2:15">
      <c r="B43" s="10"/>
      <c r="C43" s="34"/>
      <c r="D43" s="35"/>
      <c r="E43" s="35"/>
      <c r="F43" s="35"/>
      <c r="G43" s="35"/>
      <c r="H43" s="35"/>
      <c r="K43" s="14">
        <f t="shared" si="6"/>
        <v>22</v>
      </c>
      <c r="L43" s="32">
        <f t="shared" si="2"/>
        <v>441504446.05216944</v>
      </c>
      <c r="M43" s="32">
        <f t="shared" si="1"/>
        <v>2742913.1944198501</v>
      </c>
      <c r="N43" s="26">
        <f t="shared" si="3"/>
        <v>15647753.017805554</v>
      </c>
      <c r="O43" s="26">
        <f t="shared" si="4"/>
        <v>18390666.212225404</v>
      </c>
    </row>
    <row r="44" spans="2:15">
      <c r="B44" s="29" t="s">
        <v>73</v>
      </c>
      <c r="C44" s="42"/>
      <c r="D44" s="43">
        <f>+D40+D41+D42</f>
        <v>794183280</v>
      </c>
      <c r="E44" s="43">
        <f t="shared" ref="E44:G44" si="17">+E40+E41+E42</f>
        <v>822880291.20000005</v>
      </c>
      <c r="F44" s="43">
        <f t="shared" si="17"/>
        <v>852742428.648</v>
      </c>
      <c r="G44" s="43">
        <f t="shared" si="17"/>
        <v>883763870.16191995</v>
      </c>
      <c r="H44" s="43">
        <f>+H40+H41+H42</f>
        <v>916044104.96839666</v>
      </c>
      <c r="K44" s="14">
        <f t="shared" si="6"/>
        <v>23</v>
      </c>
      <c r="L44" s="32">
        <f t="shared" si="2"/>
        <v>425762806.51625705</v>
      </c>
      <c r="M44" s="32">
        <f t="shared" si="1"/>
        <v>2649026.6763130166</v>
      </c>
      <c r="N44" s="26">
        <f t="shared" si="3"/>
        <v>15741639.535912387</v>
      </c>
      <c r="O44" s="26">
        <f t="shared" si="4"/>
        <v>18390666.212225404</v>
      </c>
    </row>
    <row r="45" spans="2:15">
      <c r="B45" s="44"/>
      <c r="C45" s="23"/>
      <c r="D45" s="23"/>
      <c r="E45" s="23"/>
      <c r="F45" s="23"/>
      <c r="G45" s="23"/>
      <c r="H45" s="23"/>
      <c r="K45" s="14">
        <f t="shared" si="6"/>
        <v>24</v>
      </c>
      <c r="L45" s="32">
        <f t="shared" si="2"/>
        <v>409926717.14312917</v>
      </c>
      <c r="M45" s="32">
        <f t="shared" si="1"/>
        <v>2554576.8390975422</v>
      </c>
      <c r="N45" s="26">
        <f t="shared" si="3"/>
        <v>15836089.373127861</v>
      </c>
      <c r="O45" s="26">
        <f t="shared" si="4"/>
        <v>18390666.212225404</v>
      </c>
    </row>
    <row r="46" spans="2:15">
      <c r="B46" s="43" t="s">
        <v>89</v>
      </c>
      <c r="C46" s="45" t="s">
        <v>50</v>
      </c>
      <c r="D46" s="45" t="s">
        <v>51</v>
      </c>
      <c r="E46" s="45" t="s">
        <v>52</v>
      </c>
      <c r="F46" s="45" t="s">
        <v>53</v>
      </c>
      <c r="G46" s="45" t="s">
        <v>54</v>
      </c>
      <c r="H46" s="45" t="s">
        <v>55</v>
      </c>
      <c r="K46" s="14">
        <f t="shared" si="6"/>
        <v>25</v>
      </c>
      <c r="L46" s="32">
        <f t="shared" si="2"/>
        <v>393995611.23376256</v>
      </c>
      <c r="M46" s="32">
        <f t="shared" si="1"/>
        <v>2459560.302858775</v>
      </c>
      <c r="N46" s="26">
        <f t="shared" si="3"/>
        <v>15931105.909366628</v>
      </c>
      <c r="O46" s="26">
        <f t="shared" si="4"/>
        <v>18390666.212225404</v>
      </c>
    </row>
    <row r="47" spans="2:15">
      <c r="B47" s="35" t="s">
        <v>90</v>
      </c>
      <c r="C47" s="37">
        <f>-'Inversión Inicial'!C20</f>
        <v>-920000000</v>
      </c>
      <c r="D47" s="41"/>
      <c r="E47" s="41"/>
      <c r="F47" s="35"/>
      <c r="G47" s="35"/>
      <c r="H47" s="35"/>
      <c r="K47" s="14">
        <f t="shared" si="6"/>
        <v>26</v>
      </c>
      <c r="L47" s="32">
        <f t="shared" si="2"/>
        <v>377968918.68893975</v>
      </c>
      <c r="M47" s="32">
        <f t="shared" si="1"/>
        <v>2363973.6674025753</v>
      </c>
      <c r="N47" s="26">
        <f t="shared" si="3"/>
        <v>16026692.544822829</v>
      </c>
      <c r="O47" s="26">
        <f t="shared" si="4"/>
        <v>18390666.212225404</v>
      </c>
    </row>
    <row r="48" spans="2:15">
      <c r="B48" s="35" t="s">
        <v>91</v>
      </c>
      <c r="C48" s="37">
        <f>+-'Inversión Inicial'!D20</f>
        <v>-16000000</v>
      </c>
      <c r="D48" s="37"/>
      <c r="E48" s="37"/>
      <c r="F48" s="37"/>
      <c r="G48" s="37"/>
      <c r="H48" s="37"/>
      <c r="K48" s="14">
        <f t="shared" si="6"/>
        <v>27</v>
      </c>
      <c r="L48" s="32">
        <f t="shared" si="2"/>
        <v>361846065.98884797</v>
      </c>
      <c r="M48" s="32">
        <f t="shared" si="1"/>
        <v>2267813.5121336384</v>
      </c>
      <c r="N48" s="26">
        <f t="shared" si="3"/>
        <v>16122852.700091764</v>
      </c>
      <c r="O48" s="26">
        <f t="shared" si="4"/>
        <v>18390666.212225404</v>
      </c>
    </row>
    <row r="49" spans="2:15">
      <c r="B49" s="35" t="s">
        <v>6</v>
      </c>
      <c r="C49" s="37">
        <f>-'Inversión Inicial'!E20</f>
        <v>-156900000</v>
      </c>
      <c r="D49" s="37"/>
      <c r="E49" s="37"/>
      <c r="F49" s="37"/>
      <c r="G49" s="37"/>
      <c r="H49" s="37"/>
      <c r="I49" s="48"/>
      <c r="K49" s="14">
        <f t="shared" si="6"/>
        <v>28</v>
      </c>
      <c r="L49" s="32">
        <f t="shared" si="2"/>
        <v>345626476.17255569</v>
      </c>
      <c r="M49" s="32">
        <f t="shared" si="1"/>
        <v>2171076.3959330879</v>
      </c>
      <c r="N49" s="26">
        <f t="shared" si="3"/>
        <v>16219589.816292316</v>
      </c>
      <c r="O49" s="26">
        <f t="shared" si="4"/>
        <v>18390666.212225404</v>
      </c>
    </row>
    <row r="50" spans="2:15">
      <c r="B50" s="46" t="s">
        <v>92</v>
      </c>
      <c r="C50" s="10"/>
      <c r="D50" s="37"/>
      <c r="E50" s="37"/>
      <c r="F50" s="37"/>
      <c r="G50" s="37"/>
      <c r="H50" s="37">
        <f>+L80+K79</f>
        <v>644000000</v>
      </c>
      <c r="K50" s="14">
        <f t="shared" si="6"/>
        <v>29</v>
      </c>
      <c r="L50" s="32">
        <f t="shared" si="2"/>
        <v>329309568.81736565</v>
      </c>
      <c r="M50" s="32">
        <f t="shared" si="1"/>
        <v>2073758.8570353342</v>
      </c>
      <c r="N50" s="26">
        <f t="shared" si="3"/>
        <v>16316907.355190068</v>
      </c>
      <c r="O50" s="26">
        <f t="shared" si="4"/>
        <v>18390666.212225404</v>
      </c>
    </row>
    <row r="51" spans="2:15">
      <c r="B51" s="43" t="s">
        <v>89</v>
      </c>
      <c r="C51" s="43">
        <f>+C47+C48+C49+C50</f>
        <v>-1092900000</v>
      </c>
      <c r="D51" s="43">
        <f t="shared" ref="D51:G51" si="18">+D47+D48+D49+D50</f>
        <v>0</v>
      </c>
      <c r="E51" s="43">
        <f t="shared" si="18"/>
        <v>0</v>
      </c>
      <c r="F51" s="43">
        <f t="shared" si="18"/>
        <v>0</v>
      </c>
      <c r="G51" s="43">
        <f t="shared" si="18"/>
        <v>0</v>
      </c>
      <c r="H51" s="43">
        <f>+H47+H48+H49+H50</f>
        <v>644000000</v>
      </c>
      <c r="K51" s="14">
        <f t="shared" si="6"/>
        <v>30</v>
      </c>
      <c r="L51" s="32">
        <f t="shared" si="2"/>
        <v>312894760.01804441</v>
      </c>
      <c r="M51" s="32">
        <f t="shared" si="1"/>
        <v>1975857.4129041939</v>
      </c>
      <c r="N51" s="26">
        <f t="shared" si="3"/>
        <v>16414808.79932121</v>
      </c>
      <c r="O51" s="26">
        <f t="shared" si="4"/>
        <v>18390666.212225404</v>
      </c>
    </row>
    <row r="52" spans="2:15">
      <c r="K52" s="14">
        <f t="shared" si="6"/>
        <v>31</v>
      </c>
      <c r="L52" s="32">
        <f t="shared" si="2"/>
        <v>296381462.36592728</v>
      </c>
      <c r="M52" s="32">
        <f t="shared" si="1"/>
        <v>1877368.5601082665</v>
      </c>
      <c r="N52" s="26">
        <f t="shared" si="3"/>
        <v>16513297.652117137</v>
      </c>
      <c r="O52" s="26">
        <f t="shared" si="4"/>
        <v>18390666.212225404</v>
      </c>
    </row>
    <row r="53" spans="2:15">
      <c r="B53" s="29" t="s">
        <v>93</v>
      </c>
      <c r="C53" s="31" t="s">
        <v>50</v>
      </c>
      <c r="D53" s="31" t="s">
        <v>51</v>
      </c>
      <c r="E53" s="31" t="s">
        <v>52</v>
      </c>
      <c r="F53" s="31" t="s">
        <v>53</v>
      </c>
      <c r="G53" s="31" t="s">
        <v>54</v>
      </c>
      <c r="H53" s="31" t="s">
        <v>55</v>
      </c>
      <c r="K53" s="14">
        <f>+K52+1</f>
        <v>32</v>
      </c>
      <c r="L53" s="32">
        <f t="shared" si="2"/>
        <v>279769084.92789745</v>
      </c>
      <c r="M53" s="32">
        <f t="shared" si="1"/>
        <v>1778288.7741955637</v>
      </c>
      <c r="N53" s="26">
        <f t="shared" si="3"/>
        <v>16612377.438029841</v>
      </c>
      <c r="O53" s="26">
        <f t="shared" si="4"/>
        <v>18390666.212225404</v>
      </c>
    </row>
    <row r="54" spans="2:15">
      <c r="B54" s="10" t="s">
        <v>73</v>
      </c>
      <c r="C54" s="37">
        <f>+C44</f>
        <v>0</v>
      </c>
      <c r="D54" s="37">
        <f t="shared" ref="D54:G54" si="19">+D44</f>
        <v>794183280</v>
      </c>
      <c r="E54" s="37">
        <f t="shared" si="19"/>
        <v>822880291.20000005</v>
      </c>
      <c r="F54" s="37">
        <f t="shared" si="19"/>
        <v>852742428.648</v>
      </c>
      <c r="G54" s="37">
        <f t="shared" si="19"/>
        <v>883763870.16191995</v>
      </c>
      <c r="H54" s="37">
        <f>+H44</f>
        <v>916044104.96839666</v>
      </c>
      <c r="K54" s="14">
        <f t="shared" si="6"/>
        <v>33</v>
      </c>
      <c r="L54" s="32">
        <f t="shared" si="2"/>
        <v>263057033.22523943</v>
      </c>
      <c r="M54" s="32">
        <f t="shared" si="1"/>
        <v>1678614.5095673848</v>
      </c>
      <c r="N54" s="26">
        <f t="shared" si="3"/>
        <v>16712051.702658018</v>
      </c>
      <c r="O54" s="26">
        <f t="shared" si="4"/>
        <v>18390666.212225404</v>
      </c>
    </row>
    <row r="55" spans="2:15">
      <c r="B55" s="10" t="s">
        <v>89</v>
      </c>
      <c r="C55" s="37">
        <f>+C51</f>
        <v>-1092900000</v>
      </c>
      <c r="D55" s="37"/>
      <c r="E55" s="37"/>
      <c r="F55" s="37"/>
      <c r="G55" s="37"/>
      <c r="H55" s="37">
        <f>+H50</f>
        <v>644000000</v>
      </c>
      <c r="K55" s="14">
        <f t="shared" si="6"/>
        <v>34</v>
      </c>
      <c r="L55" s="32">
        <f t="shared" si="2"/>
        <v>246244709.21236545</v>
      </c>
      <c r="M55" s="32">
        <f t="shared" si="1"/>
        <v>1578342.1993514367</v>
      </c>
      <c r="N55" s="26">
        <f t="shared" si="3"/>
        <v>16812324.012873966</v>
      </c>
      <c r="O55" s="26">
        <f t="shared" si="4"/>
        <v>18390666.212225404</v>
      </c>
    </row>
    <row r="56" spans="2:15">
      <c r="B56" s="29" t="s">
        <v>93</v>
      </c>
      <c r="C56" s="43">
        <f>+C54+C55</f>
        <v>-1092900000</v>
      </c>
      <c r="D56" s="43">
        <f t="shared" ref="D56:G56" si="20">+D54+D55</f>
        <v>794183280</v>
      </c>
      <c r="E56" s="43">
        <f t="shared" si="20"/>
        <v>822880291.20000005</v>
      </c>
      <c r="F56" s="43">
        <f>+F54+F55</f>
        <v>852742428.648</v>
      </c>
      <c r="G56" s="43">
        <f t="shared" si="20"/>
        <v>883763870.16191995</v>
      </c>
      <c r="H56" s="43">
        <f>+H54+H55</f>
        <v>1560044104.9683967</v>
      </c>
      <c r="K56" s="14">
        <f t="shared" si="6"/>
        <v>35</v>
      </c>
      <c r="L56" s="32">
        <f t="shared" si="2"/>
        <v>229331511.25541425</v>
      </c>
      <c r="M56" s="32">
        <f t="shared" si="1"/>
        <v>1477468.2552741927</v>
      </c>
      <c r="N56" s="26">
        <f t="shared" si="3"/>
        <v>16913197.956951212</v>
      </c>
      <c r="O56" s="26">
        <f t="shared" si="4"/>
        <v>18390666.212225404</v>
      </c>
    </row>
    <row r="57" spans="2:15">
      <c r="K57" s="14">
        <f t="shared" si="6"/>
        <v>36</v>
      </c>
      <c r="L57" s="32">
        <f t="shared" si="2"/>
        <v>212316834.11072132</v>
      </c>
      <c r="M57" s="32">
        <f t="shared" si="1"/>
        <v>1375989.0675324856</v>
      </c>
      <c r="N57" s="26">
        <f t="shared" si="3"/>
        <v>17014677.144692916</v>
      </c>
      <c r="O57" s="26">
        <f t="shared" si="4"/>
        <v>18390666.212225404</v>
      </c>
    </row>
    <row r="58" spans="2:15">
      <c r="B58" s="29" t="s">
        <v>68</v>
      </c>
      <c r="C58" s="31" t="s">
        <v>50</v>
      </c>
      <c r="D58" s="31" t="s">
        <v>51</v>
      </c>
      <c r="E58" s="31" t="s">
        <v>52</v>
      </c>
      <c r="F58" s="31" t="s">
        <v>53</v>
      </c>
      <c r="G58" s="31" t="s">
        <v>54</v>
      </c>
      <c r="H58" s="31" t="s">
        <v>55</v>
      </c>
      <c r="K58" s="14">
        <f t="shared" si="6"/>
        <v>37</v>
      </c>
      <c r="L58" s="32">
        <f t="shared" si="2"/>
        <v>195200068.90316024</v>
      </c>
      <c r="M58" s="32">
        <f t="shared" si="1"/>
        <v>1273901.0046643279</v>
      </c>
      <c r="N58" s="26">
        <f t="shared" si="3"/>
        <v>17116765.207561076</v>
      </c>
      <c r="O58" s="26">
        <f t="shared" si="4"/>
        <v>18390666.212225404</v>
      </c>
    </row>
    <row r="59" spans="2:15">
      <c r="B59" s="10" t="s">
        <v>94</v>
      </c>
      <c r="C59" s="37">
        <f>+N70</f>
        <v>765030000.00000036</v>
      </c>
      <c r="D59" s="37"/>
      <c r="E59" s="37"/>
      <c r="F59" s="37"/>
      <c r="G59" s="37"/>
      <c r="H59" s="37"/>
      <c r="K59" s="14">
        <f t="shared" si="6"/>
        <v>38</v>
      </c>
      <c r="L59" s="32">
        <f t="shared" si="2"/>
        <v>177980603.10435379</v>
      </c>
      <c r="M59" s="32">
        <f t="shared" si="1"/>
        <v>1171200.4134189615</v>
      </c>
      <c r="N59" s="26">
        <f t="shared" si="3"/>
        <v>17219465.798806444</v>
      </c>
      <c r="O59" s="26">
        <f t="shared" si="4"/>
        <v>18390666.212225404</v>
      </c>
    </row>
    <row r="60" spans="2:15">
      <c r="B60" s="10" t="s">
        <v>95</v>
      </c>
      <c r="C60" s="37"/>
      <c r="D60" s="37">
        <f>+-SUM(N22:N33)</f>
        <v>-171181616.75046209</v>
      </c>
      <c r="E60" s="37">
        <f>+-SUM(N34:N45)</f>
        <v>-183921666.10640872</v>
      </c>
      <c r="F60" s="37">
        <f>+-SUM(N46:N57)</f>
        <v>-197609883.03240791</v>
      </c>
      <c r="G60" s="37">
        <f>+-SUM(N58:N69)</f>
        <v>-212316834.11072174</v>
      </c>
      <c r="H60" s="37"/>
      <c r="K60" s="14">
        <f t="shared" si="6"/>
        <v>39</v>
      </c>
      <c r="L60" s="32">
        <f t="shared" si="2"/>
        <v>160657820.5107545</v>
      </c>
      <c r="M60" s="32">
        <f t="shared" si="1"/>
        <v>1067883.6186261228</v>
      </c>
      <c r="N60" s="26">
        <f t="shared" si="3"/>
        <v>17322782.593599282</v>
      </c>
      <c r="O60" s="26">
        <f t="shared" si="4"/>
        <v>18390666.212225404</v>
      </c>
    </row>
    <row r="61" spans="2:15">
      <c r="B61" s="10" t="s">
        <v>70</v>
      </c>
      <c r="C61" s="37"/>
      <c r="D61" s="37">
        <f>+-SUM(M22:M33)</f>
        <v>-49506377.796242751</v>
      </c>
      <c r="E61" s="37">
        <f>+-SUM(M34:M45)</f>
        <v>-36766328.440296128</v>
      </c>
      <c r="F61" s="37">
        <f>+-SUM(M46:M57)</f>
        <v>-23078111.514296938</v>
      </c>
      <c r="G61" s="37">
        <f>+-SUM(M58:M69)</f>
        <v>-8371160.4359830879</v>
      </c>
      <c r="H61" s="37"/>
      <c r="K61" s="14">
        <f t="shared" si="6"/>
        <v>40</v>
      </c>
      <c r="L61" s="32">
        <f t="shared" si="2"/>
        <v>143231101.22159362</v>
      </c>
      <c r="M61" s="32">
        <f t="shared" si="1"/>
        <v>963946.92306452699</v>
      </c>
      <c r="N61" s="26">
        <f t="shared" si="3"/>
        <v>17426719.289160877</v>
      </c>
      <c r="O61" s="26">
        <f t="shared" si="4"/>
        <v>18390666.212225404</v>
      </c>
    </row>
    <row r="62" spans="2:15">
      <c r="B62" s="29" t="s">
        <v>68</v>
      </c>
      <c r="C62" s="43">
        <f>+SUM(C59:C61)</f>
        <v>765030000.00000036</v>
      </c>
      <c r="D62" s="43">
        <f>+SUM(D59:D61)</f>
        <v>-220687994.54670483</v>
      </c>
      <c r="E62" s="43">
        <f t="shared" ref="E62:H62" si="21">+SUM(E59:E61)</f>
        <v>-220687994.54670483</v>
      </c>
      <c r="F62" s="43">
        <f t="shared" si="21"/>
        <v>-220687994.54670486</v>
      </c>
      <c r="G62" s="43">
        <f>+SUM(G59:G61)</f>
        <v>-220687994.54670483</v>
      </c>
      <c r="H62" s="43">
        <f t="shared" si="21"/>
        <v>0</v>
      </c>
      <c r="K62" s="14">
        <f t="shared" si="6"/>
        <v>41</v>
      </c>
      <c r="L62" s="32">
        <f t="shared" si="2"/>
        <v>125699821.61669777</v>
      </c>
      <c r="M62" s="32">
        <f t="shared" si="1"/>
        <v>859386.60732956172</v>
      </c>
      <c r="N62" s="26">
        <f t="shared" si="3"/>
        <v>17531279.604895841</v>
      </c>
      <c r="O62" s="26">
        <f t="shared" si="4"/>
        <v>18390666.212225404</v>
      </c>
    </row>
    <row r="63" spans="2:15">
      <c r="C63">
        <v>0</v>
      </c>
      <c r="D63">
        <v>1</v>
      </c>
      <c r="E63">
        <v>2</v>
      </c>
      <c r="F63">
        <v>3</v>
      </c>
      <c r="G63">
        <v>4</v>
      </c>
      <c r="H63">
        <v>5</v>
      </c>
      <c r="K63" s="14">
        <f t="shared" si="6"/>
        <v>42</v>
      </c>
      <c r="L63" s="32">
        <f t="shared" si="2"/>
        <v>108063354.33417256</v>
      </c>
      <c r="M63" s="32">
        <f t="shared" si="1"/>
        <v>754198.92970018671</v>
      </c>
      <c r="N63" s="26">
        <f t="shared" si="3"/>
        <v>17636467.282525215</v>
      </c>
      <c r="O63" s="26">
        <f t="shared" si="4"/>
        <v>18390666.212225404</v>
      </c>
    </row>
    <row r="64" spans="2:15">
      <c r="B64" s="29" t="s">
        <v>96</v>
      </c>
      <c r="C64" s="45" t="s">
        <v>50</v>
      </c>
      <c r="D64" s="45" t="s">
        <v>51</v>
      </c>
      <c r="E64" s="45" t="s">
        <v>52</v>
      </c>
      <c r="F64" s="45" t="s">
        <v>53</v>
      </c>
      <c r="G64" s="45" t="s">
        <v>54</v>
      </c>
      <c r="H64" s="45" t="s">
        <v>55</v>
      </c>
      <c r="K64" s="14">
        <f t="shared" si="6"/>
        <v>43</v>
      </c>
      <c r="L64" s="32">
        <f t="shared" si="2"/>
        <v>90321068.247952193</v>
      </c>
      <c r="M64" s="32">
        <f t="shared" si="1"/>
        <v>648380.12600503536</v>
      </c>
      <c r="N64" s="26">
        <f t="shared" si="3"/>
        <v>17742286.086220369</v>
      </c>
      <c r="O64" s="26">
        <f t="shared" si="4"/>
        <v>18390666.212225404</v>
      </c>
    </row>
    <row r="65" spans="2:15">
      <c r="B65" s="47" t="s">
        <v>93</v>
      </c>
      <c r="C65" s="37">
        <f>+C56</f>
        <v>-1092900000</v>
      </c>
      <c r="D65" s="37">
        <f>+D56</f>
        <v>794183280</v>
      </c>
      <c r="E65" s="37">
        <f t="shared" ref="E65:G65" si="22">+E56</f>
        <v>822880291.20000005</v>
      </c>
      <c r="F65" s="37">
        <f t="shared" si="22"/>
        <v>852742428.648</v>
      </c>
      <c r="G65" s="37">
        <f t="shared" si="22"/>
        <v>883763870.16191995</v>
      </c>
      <c r="H65" s="37">
        <f>+H56</f>
        <v>1560044104.9683967</v>
      </c>
      <c r="K65" s="14">
        <f>+K64+1</f>
        <v>44</v>
      </c>
      <c r="L65" s="32">
        <f t="shared" si="2"/>
        <v>72472328.44521451</v>
      </c>
      <c r="M65" s="32">
        <f t="shared" si="1"/>
        <v>541926.40948771313</v>
      </c>
      <c r="N65" s="26">
        <f t="shared" si="3"/>
        <v>17848739.802737691</v>
      </c>
      <c r="O65" s="26">
        <f t="shared" si="4"/>
        <v>18390666.212225404</v>
      </c>
    </row>
    <row r="66" spans="2:15">
      <c r="B66" s="10" t="s">
        <v>68</v>
      </c>
      <c r="C66" s="37">
        <f>+C62</f>
        <v>765030000.00000036</v>
      </c>
      <c r="D66" s="37">
        <f>+D62</f>
        <v>-220687994.54670483</v>
      </c>
      <c r="E66" s="37">
        <f t="shared" ref="E66:H66" si="23">+E62</f>
        <v>-220687994.54670483</v>
      </c>
      <c r="F66" s="37">
        <f t="shared" si="23"/>
        <v>-220687994.54670486</v>
      </c>
      <c r="G66" s="37">
        <f t="shared" si="23"/>
        <v>-220687994.54670483</v>
      </c>
      <c r="H66" s="37">
        <f t="shared" si="23"/>
        <v>0</v>
      </c>
      <c r="K66" s="14">
        <f t="shared" si="6"/>
        <v>45</v>
      </c>
      <c r="L66" s="32">
        <f t="shared" si="2"/>
        <v>54516496.203660399</v>
      </c>
      <c r="M66" s="32">
        <f t="shared" si="1"/>
        <v>434833.9706712871</v>
      </c>
      <c r="N66" s="26">
        <f t="shared" si="3"/>
        <v>17955832.241554115</v>
      </c>
      <c r="O66" s="26">
        <f t="shared" si="4"/>
        <v>18390666.212225404</v>
      </c>
    </row>
    <row r="67" spans="2:15">
      <c r="B67" s="29" t="s">
        <v>96</v>
      </c>
      <c r="C67" s="43">
        <f>+C65+C66</f>
        <v>-327869999.99999964</v>
      </c>
      <c r="D67" s="43">
        <f>+D65+D66</f>
        <v>573495285.45329523</v>
      </c>
      <c r="E67" s="43">
        <f t="shared" ref="E67:G67" si="24">+E65+E66</f>
        <v>602192296.65329528</v>
      </c>
      <c r="F67" s="43">
        <f t="shared" si="24"/>
        <v>632054434.10129511</v>
      </c>
      <c r="G67" s="43">
        <f t="shared" si="24"/>
        <v>663075875.61521506</v>
      </c>
      <c r="H67" s="43">
        <f>+H65+H66</f>
        <v>1560044104.9683967</v>
      </c>
      <c r="K67" s="14">
        <f t="shared" si="6"/>
        <v>46</v>
      </c>
      <c r="L67" s="32">
        <f t="shared" si="2"/>
        <v>36452928.968656957</v>
      </c>
      <c r="M67" s="32">
        <f t="shared" si="1"/>
        <v>327098.97722196241</v>
      </c>
      <c r="N67" s="26">
        <f t="shared" si="3"/>
        <v>18063567.235003442</v>
      </c>
      <c r="O67" s="26">
        <f t="shared" si="4"/>
        <v>18390666.212225404</v>
      </c>
    </row>
    <row r="68" spans="2:15">
      <c r="D68" s="48"/>
      <c r="E68" s="48"/>
      <c r="F68" s="48"/>
      <c r="G68" s="48"/>
      <c r="H68" s="48"/>
      <c r="K68" s="14">
        <f t="shared" si="6"/>
        <v>47</v>
      </c>
      <c r="L68" s="32">
        <f t="shared" si="2"/>
        <v>18280980.330243494</v>
      </c>
      <c r="M68" s="32">
        <f t="shared" si="1"/>
        <v>218717.57381194175</v>
      </c>
      <c r="N68" s="26">
        <f t="shared" si="3"/>
        <v>18171948.638413463</v>
      </c>
      <c r="O68" s="26">
        <f t="shared" si="4"/>
        <v>18390666.212225404</v>
      </c>
    </row>
    <row r="69" spans="2:15">
      <c r="K69" s="14">
        <f t="shared" si="6"/>
        <v>48</v>
      </c>
      <c r="L69" s="32">
        <f>+L68-N69</f>
        <v>-4.4703483581542969E-7</v>
      </c>
      <c r="M69" s="32">
        <f t="shared" si="1"/>
        <v>109685.88198146097</v>
      </c>
      <c r="N69" s="26">
        <f t="shared" si="3"/>
        <v>18280980.330243941</v>
      </c>
      <c r="O69" s="26">
        <f t="shared" si="4"/>
        <v>18390666.212225404</v>
      </c>
    </row>
    <row r="70" spans="2:15">
      <c r="F70" s="101" t="s">
        <v>97</v>
      </c>
      <c r="G70" s="101" t="s">
        <v>98</v>
      </c>
      <c r="K70" s="16"/>
      <c r="M70" s="108">
        <f>SUM(M22:M69)</f>
        <v>117721978.18681887</v>
      </c>
      <c r="N70" s="108">
        <f>+SUM(N22:N69)</f>
        <v>765030000.00000036</v>
      </c>
    </row>
    <row r="71" spans="2:15">
      <c r="C71" s="103" t="s">
        <v>99</v>
      </c>
      <c r="D71" s="103" t="s">
        <v>100</v>
      </c>
      <c r="E71" s="103" t="s">
        <v>101</v>
      </c>
      <c r="F71" s="103" t="s">
        <v>102</v>
      </c>
      <c r="G71" s="103" t="s">
        <v>103</v>
      </c>
      <c r="H71" s="10"/>
      <c r="J71" s="107"/>
    </row>
    <row r="72" spans="2:15">
      <c r="B72" s="29" t="s">
        <v>104</v>
      </c>
      <c r="C72" s="94">
        <f>+C56+NPV(C78,D56:H56)</f>
        <v>1630908119.6258965</v>
      </c>
      <c r="D72" s="53">
        <f>+IRR(C56:H56)</f>
        <v>0.73371796892973107</v>
      </c>
      <c r="E72" s="95">
        <f>+SUM(D75:H75)/ABS(C75)</f>
        <v>2.4922757064927223</v>
      </c>
      <c r="F72" s="96">
        <f>+F82</f>
        <v>1.7355007728287957</v>
      </c>
      <c r="G72" s="96">
        <f>+H82</f>
        <v>1.363013579489653</v>
      </c>
      <c r="H72" s="100" t="s">
        <v>105</v>
      </c>
      <c r="J72" s="120"/>
      <c r="K72" s="16"/>
      <c r="L72" s="106" t="s">
        <v>106</v>
      </c>
      <c r="M72" s="162" t="s">
        <v>107</v>
      </c>
      <c r="N72" s="163"/>
      <c r="O72" s="16"/>
    </row>
    <row r="73" spans="2:15">
      <c r="B73" s="29" t="s">
        <v>108</v>
      </c>
      <c r="C73" s="94">
        <f>+C67+NPV(C79,D67:H67)</f>
        <v>2464139726.5101814</v>
      </c>
      <c r="D73" s="53">
        <f>+IRR(C67:H67)</f>
        <v>1.8127181737720939</v>
      </c>
      <c r="E73" s="95">
        <f>+SUM(D76:H76)/ABS(C76)</f>
        <v>8.5155998612565469</v>
      </c>
      <c r="F73" s="96">
        <f>+F86</f>
        <v>0.61492289741094874</v>
      </c>
      <c r="G73" s="97">
        <f>+H86</f>
        <v>0.5921148662671929</v>
      </c>
      <c r="H73" s="100" t="s">
        <v>109</v>
      </c>
      <c r="J73" s="120"/>
      <c r="K73" s="16"/>
      <c r="L73" s="106" t="s">
        <v>110</v>
      </c>
      <c r="M73" s="162" t="s">
        <v>111</v>
      </c>
      <c r="N73" s="163"/>
      <c r="O73" s="16"/>
    </row>
    <row r="74" spans="2:15">
      <c r="B74" s="29" t="s">
        <v>112</v>
      </c>
      <c r="C74" s="98">
        <v>0</v>
      </c>
      <c r="D74" s="99">
        <f>+C74+1</f>
        <v>1</v>
      </c>
      <c r="E74" s="99">
        <f t="shared" ref="E74:H74" si="25">+D74+1</f>
        <v>2</v>
      </c>
      <c r="F74" s="99">
        <f t="shared" si="25"/>
        <v>3</v>
      </c>
      <c r="G74" s="99">
        <f t="shared" si="25"/>
        <v>4</v>
      </c>
      <c r="H74" s="99">
        <f t="shared" si="25"/>
        <v>5</v>
      </c>
      <c r="J74" s="120"/>
      <c r="K74" s="16"/>
      <c r="L74" s="106" t="s">
        <v>113</v>
      </c>
      <c r="M74" s="105" t="s">
        <v>114</v>
      </c>
      <c r="N74" s="105"/>
      <c r="O74" s="16"/>
    </row>
    <row r="75" spans="2:15">
      <c r="B75" s="102" t="s">
        <v>115</v>
      </c>
      <c r="C75" s="12">
        <f>+C56</f>
        <v>-1092900000</v>
      </c>
      <c r="D75" s="93">
        <f>+PV($C$78,D63,,-D56)</f>
        <v>657207990.5992949</v>
      </c>
      <c r="E75" s="93">
        <f>+PV($C$78,E63,,-E56)</f>
        <v>563508993.54132438</v>
      </c>
      <c r="F75" s="93">
        <f>+PV($C$78,F63,,-F56)</f>
        <v>483241427.61251354</v>
      </c>
      <c r="G75" s="93">
        <f>+PV($C$78,G63,,-G56)</f>
        <v>414442824.64757633</v>
      </c>
      <c r="H75" s="93">
        <f>+PV($C$78,H63,,-H56)</f>
        <v>605406883.22518754</v>
      </c>
      <c r="J75" s="16"/>
      <c r="K75" s="121"/>
      <c r="L75" s="16"/>
      <c r="M75" s="122"/>
      <c r="N75" s="16"/>
      <c r="O75" s="16"/>
    </row>
    <row r="76" spans="2:15">
      <c r="B76" s="102" t="s">
        <v>116</v>
      </c>
      <c r="C76" s="12">
        <f>+C67</f>
        <v>-327869999.99999964</v>
      </c>
      <c r="D76" s="93">
        <f>+PV($C$79,D63,,-D67)</f>
        <v>514519553.2030642</v>
      </c>
      <c r="E76" s="93">
        <f>+PV($C$79,E63,,-E67)</f>
        <v>484706963.74345136</v>
      </c>
      <c r="F76" s="93">
        <f>+PV($C$79,F63,,-F67)</f>
        <v>456426212.36263078</v>
      </c>
      <c r="G76" s="93">
        <f>+PV($C$79,G63,,-G67)</f>
        <v>429587221.79053319</v>
      </c>
      <c r="H76" s="93">
        <f>+PV($C$79,H63,,-H67)</f>
        <v>906769775.41050136</v>
      </c>
      <c r="J76" s="16"/>
      <c r="K76" s="16"/>
      <c r="L76" s="16"/>
      <c r="M76" s="121"/>
      <c r="N76" s="16"/>
      <c r="O76" s="16"/>
    </row>
    <row r="77" spans="2:15" ht="15" thickBot="1">
      <c r="D77" s="50"/>
      <c r="E77" s="51"/>
      <c r="J77" s="104" t="s">
        <v>1</v>
      </c>
      <c r="K77" s="104" t="s">
        <v>35</v>
      </c>
      <c r="L77" s="16"/>
      <c r="M77" s="16"/>
      <c r="N77" s="16"/>
      <c r="O77" s="16"/>
    </row>
    <row r="78" spans="2:15" ht="15" thickBot="1">
      <c r="B78" s="82" t="s">
        <v>117</v>
      </c>
      <c r="C78" s="52">
        <f>C95</f>
        <v>0.20841999999999999</v>
      </c>
      <c r="D78" s="50"/>
      <c r="E78" s="51"/>
      <c r="J78" s="123" t="s">
        <v>118</v>
      </c>
      <c r="K78" s="124">
        <f>'Inversión Inicial'!C20</f>
        <v>920000000</v>
      </c>
      <c r="L78" s="125"/>
      <c r="M78" s="16"/>
      <c r="N78" s="16"/>
      <c r="O78" s="16"/>
    </row>
    <row r="79" spans="2:15" ht="15" thickBot="1">
      <c r="B79" s="82" t="s">
        <v>119</v>
      </c>
      <c r="C79" s="52">
        <f>+(70%*L16)+(30%*C78)</f>
        <v>0.11462291740534722</v>
      </c>
      <c r="D79" s="49"/>
      <c r="E79" s="10" t="s">
        <v>120</v>
      </c>
      <c r="F79" s="10"/>
      <c r="G79" s="10" t="s">
        <v>120</v>
      </c>
      <c r="H79" s="10"/>
      <c r="J79" s="126" t="s">
        <v>14</v>
      </c>
      <c r="K79" s="127">
        <f>+'Inversión Inicial'!C11</f>
        <v>0</v>
      </c>
      <c r="L79" s="104" t="s">
        <v>121</v>
      </c>
      <c r="M79" s="128" t="s">
        <v>178</v>
      </c>
      <c r="N79" s="81" t="s">
        <v>177</v>
      </c>
      <c r="O79" s="16"/>
    </row>
    <row r="80" spans="2:15" ht="15" thickBot="1">
      <c r="D80" s="50"/>
      <c r="E80" s="12">
        <f>+F75</f>
        <v>483241427.61251354</v>
      </c>
      <c r="F80" s="10" t="s">
        <v>122</v>
      </c>
      <c r="G80" s="12">
        <f>+E56</f>
        <v>822880291.20000005</v>
      </c>
      <c r="H80" s="10" t="s">
        <v>122</v>
      </c>
      <c r="J80" s="126" t="s">
        <v>123</v>
      </c>
      <c r="K80" s="127">
        <f>+K78-K79</f>
        <v>920000000</v>
      </c>
      <c r="L80" s="127">
        <f>+K80*70%</f>
        <v>644000000</v>
      </c>
      <c r="M80" s="129">
        <f>+K80-L80</f>
        <v>276000000</v>
      </c>
      <c r="N80" s="127">
        <f>+M80/5</f>
        <v>55200000</v>
      </c>
      <c r="O80" s="16"/>
    </row>
    <row r="81" spans="2:15">
      <c r="B81" s="141" t="s">
        <v>179</v>
      </c>
      <c r="C81" s="144">
        <f>SUM(D56:H56)</f>
        <v>4913613974.9783173</v>
      </c>
      <c r="E81" s="12">
        <f>+-(C75+D75+E75)</f>
        <v>-127816984.14061928</v>
      </c>
      <c r="F81" s="10" t="s">
        <v>124</v>
      </c>
      <c r="G81" s="12">
        <f>+-(C56+D56+E56)</f>
        <v>-524163571.20000005</v>
      </c>
      <c r="H81" s="10" t="s">
        <v>124</v>
      </c>
      <c r="J81" s="130" t="s">
        <v>125</v>
      </c>
      <c r="K81" s="130" t="s">
        <v>71</v>
      </c>
      <c r="L81" s="125"/>
      <c r="M81" s="16"/>
      <c r="N81" s="132"/>
      <c r="O81" s="16"/>
    </row>
    <row r="82" spans="2:15">
      <c r="B82" s="142" t="s">
        <v>190</v>
      </c>
      <c r="C82" s="145">
        <f>'Inversión Inicial'!C7</f>
        <v>1092900000</v>
      </c>
      <c r="E82" s="8"/>
      <c r="F82" s="91">
        <f>+(E81/E80)+2</f>
        <v>1.7355007728287957</v>
      </c>
      <c r="G82" s="23"/>
      <c r="H82" s="91">
        <f>+(G81/G80)+2</f>
        <v>1.363013579489653</v>
      </c>
      <c r="J82" s="131">
        <f>+'Inversión Inicial'!C5</f>
        <v>16000000</v>
      </c>
      <c r="K82" s="127">
        <f>+J82/5</f>
        <v>3200000</v>
      </c>
      <c r="L82" s="125"/>
      <c r="M82" s="16"/>
      <c r="N82" s="16"/>
      <c r="O82" s="16"/>
    </row>
    <row r="83" spans="2:15" ht="15" thickBot="1">
      <c r="B83" s="143" t="s">
        <v>191</v>
      </c>
      <c r="C83" s="149">
        <f>(C81-C82)/C82</f>
        <v>3.4959410513114806</v>
      </c>
      <c r="E83" s="8"/>
      <c r="G83" s="8"/>
      <c r="J83" s="16"/>
      <c r="K83" s="16"/>
      <c r="L83" s="16"/>
      <c r="M83" s="16"/>
      <c r="N83" s="16"/>
      <c r="O83" s="16"/>
    </row>
    <row r="84" spans="2:15" ht="15" thickBot="1">
      <c r="B84" s="143" t="s">
        <v>192</v>
      </c>
      <c r="C84" s="146">
        <f>C83/5</f>
        <v>0.69918821026229616</v>
      </c>
      <c r="E84" s="12">
        <f>+E76</f>
        <v>484706963.74345136</v>
      </c>
      <c r="F84" s="10" t="s">
        <v>122</v>
      </c>
      <c r="G84" s="12">
        <f>+E67</f>
        <v>602192296.65329528</v>
      </c>
      <c r="H84" s="10" t="s">
        <v>122</v>
      </c>
      <c r="J84" s="16"/>
      <c r="K84" s="16"/>
      <c r="L84" s="16"/>
      <c r="M84" s="16"/>
      <c r="N84" s="16"/>
      <c r="O84" s="16"/>
    </row>
    <row r="85" spans="2:15">
      <c r="C85" s="49"/>
      <c r="E85" s="12">
        <f>+-(C76+D76)</f>
        <v>-186649553.20306456</v>
      </c>
      <c r="F85" s="10" t="s">
        <v>124</v>
      </c>
      <c r="G85" s="12">
        <f>+-(C67+D67)</f>
        <v>-245625285.45329559</v>
      </c>
      <c r="H85" s="10" t="s">
        <v>124</v>
      </c>
    </row>
    <row r="86" spans="2:15">
      <c r="C86" s="49"/>
      <c r="F86" s="92">
        <f>+(E85/E84)+1</f>
        <v>0.61492289741094874</v>
      </c>
      <c r="H86" s="91">
        <f>+(G85/G84)+1</f>
        <v>0.5921148662671929</v>
      </c>
    </row>
    <row r="90" spans="2:15">
      <c r="B90" s="161" t="s">
        <v>126</v>
      </c>
      <c r="C90" s="161"/>
    </row>
    <row r="91" spans="2:15">
      <c r="B91" s="14" t="s">
        <v>127</v>
      </c>
      <c r="C91" s="85">
        <v>0.04</v>
      </c>
    </row>
    <row r="92" spans="2:15">
      <c r="B92" s="14" t="s">
        <v>128</v>
      </c>
      <c r="C92" s="86">
        <f>+C108</f>
        <v>5.8420000000000007E-2</v>
      </c>
    </row>
    <row r="93" spans="2:15">
      <c r="B93" s="14" t="s">
        <v>129</v>
      </c>
      <c r="C93" s="85">
        <v>0.06</v>
      </c>
    </row>
    <row r="94" spans="2:15">
      <c r="B94" s="14" t="s">
        <v>130</v>
      </c>
      <c r="C94" s="85">
        <v>0.05</v>
      </c>
    </row>
    <row r="95" spans="2:15">
      <c r="B95" s="87" t="s">
        <v>131</v>
      </c>
      <c r="C95" s="88">
        <f>+SUM(C91:C94)</f>
        <v>0.20841999999999999</v>
      </c>
    </row>
    <row r="96" spans="2:15">
      <c r="B96" s="16"/>
      <c r="C96" s="16"/>
    </row>
    <row r="97" spans="2:4">
      <c r="B97" s="81" t="s">
        <v>132</v>
      </c>
      <c r="C97" s="81"/>
    </row>
    <row r="98" spans="2:4">
      <c r="B98" s="14">
        <v>2015</v>
      </c>
      <c r="C98" s="86">
        <v>6.7699999999999996E-2</v>
      </c>
      <c r="D98" s="152">
        <v>5.8400000000000001E-2</v>
      </c>
    </row>
    <row r="99" spans="2:4">
      <c r="B99" s="14">
        <v>2016</v>
      </c>
      <c r="C99" s="86">
        <v>5.7500000000000002E-2</v>
      </c>
      <c r="D99" s="152">
        <v>5.8400000000000001E-2</v>
      </c>
    </row>
    <row r="100" spans="2:4">
      <c r="B100" s="14">
        <v>2017</v>
      </c>
      <c r="C100" s="89">
        <v>4.0899999999999999E-2</v>
      </c>
      <c r="D100" s="152">
        <v>5.8400000000000001E-2</v>
      </c>
    </row>
    <row r="101" spans="2:4">
      <c r="B101" s="14">
        <v>2018</v>
      </c>
      <c r="C101" s="89">
        <v>3.1800000000000002E-2</v>
      </c>
      <c r="D101" s="152">
        <v>5.8400000000000001E-2</v>
      </c>
    </row>
    <row r="102" spans="2:4">
      <c r="B102" s="14">
        <v>2019</v>
      </c>
      <c r="C102" s="89">
        <v>3.7999999999999999E-2</v>
      </c>
      <c r="D102" s="152">
        <v>5.8400000000000001E-2</v>
      </c>
    </row>
    <row r="103" spans="2:4">
      <c r="B103" s="14">
        <v>2020</v>
      </c>
      <c r="C103" s="89">
        <v>1.61E-2</v>
      </c>
      <c r="D103" s="152">
        <v>5.8400000000000001E-2</v>
      </c>
    </row>
    <row r="104" spans="2:4">
      <c r="B104" s="14">
        <v>2021</v>
      </c>
      <c r="C104" s="89">
        <v>5.62E-2</v>
      </c>
      <c r="D104" s="152">
        <v>5.8400000000000001E-2</v>
      </c>
    </row>
    <row r="105" spans="2:4">
      <c r="B105" s="14">
        <v>2022</v>
      </c>
      <c r="C105" s="89">
        <v>0.13120000000000001</v>
      </c>
      <c r="D105" s="152">
        <v>5.8400000000000001E-2</v>
      </c>
    </row>
    <row r="106" spans="2:4">
      <c r="B106" s="14">
        <v>2023</v>
      </c>
      <c r="C106" s="89">
        <v>9.2799999999999994E-2</v>
      </c>
      <c r="D106" s="152">
        <v>5.8400000000000001E-2</v>
      </c>
    </row>
    <row r="107" spans="2:4">
      <c r="B107" s="14">
        <v>2024</v>
      </c>
      <c r="C107" s="89">
        <v>5.1999999999999998E-2</v>
      </c>
      <c r="D107" s="152">
        <v>5.8400000000000001E-2</v>
      </c>
    </row>
    <row r="108" spans="2:4">
      <c r="B108" s="66" t="s">
        <v>133</v>
      </c>
      <c r="C108" s="90">
        <f>+AVERAGE(C98:C107)</f>
        <v>5.8420000000000007E-2</v>
      </c>
    </row>
  </sheetData>
  <mergeCells count="8">
    <mergeCell ref="B90:C90"/>
    <mergeCell ref="M72:N72"/>
    <mergeCell ref="M73:N73"/>
    <mergeCell ref="B2:G2"/>
    <mergeCell ref="K18:O18"/>
    <mergeCell ref="K19:K20"/>
    <mergeCell ref="L19:L20"/>
    <mergeCell ref="M19:O19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8A04-DA73-47F1-830B-784E2B1B0211}">
  <dimension ref="A1:I10"/>
  <sheetViews>
    <sheetView showGridLines="0" workbookViewId="0">
      <selection activeCell="I16" sqref="I16"/>
    </sheetView>
  </sheetViews>
  <sheetFormatPr baseColWidth="10" defaultRowHeight="14.4"/>
  <cols>
    <col min="1" max="1" width="11.5546875" style="16"/>
    <col min="2" max="3" width="18" style="16" bestFit="1" customWidth="1"/>
    <col min="4" max="4" width="19" style="16" bestFit="1" customWidth="1"/>
    <col min="5" max="6" width="18" style="16" bestFit="1" customWidth="1"/>
    <col min="7" max="7" width="22.6640625" style="16" customWidth="1"/>
    <col min="8" max="8" width="18" style="56" bestFit="1" customWidth="1"/>
    <col min="9" max="9" width="16.6640625" style="16" bestFit="1" customWidth="1"/>
    <col min="10" max="10" width="11.5546875" style="16"/>
    <col min="11" max="11" width="18" style="16" bestFit="1" customWidth="1"/>
    <col min="12" max="16384" width="11.5546875" style="16"/>
  </cols>
  <sheetData>
    <row r="1" spans="1:9" s="148" customFormat="1" ht="31.2">
      <c r="A1" s="147" t="s">
        <v>180</v>
      </c>
      <c r="B1" s="147" t="s">
        <v>199</v>
      </c>
      <c r="C1" s="147" t="s">
        <v>181</v>
      </c>
      <c r="D1" s="147" t="s">
        <v>182</v>
      </c>
      <c r="E1" s="147" t="s">
        <v>183</v>
      </c>
      <c r="G1" s="147" t="s">
        <v>184</v>
      </c>
      <c r="H1" s="147" t="s">
        <v>189</v>
      </c>
    </row>
    <row r="2" spans="1:9">
      <c r="A2" s="133">
        <v>0</v>
      </c>
      <c r="B2" s="138">
        <v>-1092900000</v>
      </c>
      <c r="C2" s="138">
        <v>-1092900000</v>
      </c>
      <c r="D2" s="138">
        <v>-1092900000</v>
      </c>
      <c r="E2" s="138">
        <v>-1092900000</v>
      </c>
      <c r="G2" s="133" t="s">
        <v>185</v>
      </c>
      <c r="H2" s="134">
        <f>NPV(11.46%,B3:B7)+B2</f>
        <v>7085898368.3574839</v>
      </c>
      <c r="I2" s="151">
        <f>H2+ABS(B2)</f>
        <v>8178798368.3574839</v>
      </c>
    </row>
    <row r="3" spans="1:9">
      <c r="A3" s="133">
        <v>1</v>
      </c>
      <c r="B3" s="138">
        <f>'Estado de resultados proyecto'!C6</f>
        <v>2102880000</v>
      </c>
      <c r="C3" s="139">
        <f>B3/(1+0.1146)^1</f>
        <v>1886667862.9104612</v>
      </c>
      <c r="D3" s="139">
        <f>B2+B3</f>
        <v>1009980000</v>
      </c>
      <c r="E3" s="139">
        <f>C2+C3</f>
        <v>793767862.91046119</v>
      </c>
      <c r="G3" s="133" t="s">
        <v>100</v>
      </c>
      <c r="H3" s="135">
        <f>IRR(B2:B7)</f>
        <v>1.948880204895461</v>
      </c>
    </row>
    <row r="4" spans="1:9" ht="28.8">
      <c r="A4" s="133">
        <v>2</v>
      </c>
      <c r="B4" s="138">
        <f>'Estado de resultados proyecto'!D6</f>
        <v>2176480799.9999995</v>
      </c>
      <c r="C4" s="139">
        <f>B4/(1+0.1146)^2</f>
        <v>1751930053.9317484</v>
      </c>
      <c r="D4" s="139">
        <f t="shared" ref="D4:E7" si="0">D3+B4</f>
        <v>3186460799.9999995</v>
      </c>
      <c r="E4" s="139">
        <f t="shared" si="0"/>
        <v>2545697916.8422098</v>
      </c>
      <c r="G4" s="133" t="s">
        <v>186</v>
      </c>
      <c r="H4" s="136">
        <f>I2/ABS(B2)</f>
        <v>7.4835743145369973</v>
      </c>
    </row>
    <row r="5" spans="1:9">
      <c r="A5" s="133">
        <v>3</v>
      </c>
      <c r="B5" s="138">
        <f>'Estado de resultados proyecto'!E6</f>
        <v>2252657627.9999995</v>
      </c>
      <c r="C5" s="139">
        <f>B5/(1+0.1146)^3</f>
        <v>1626814647.245074</v>
      </c>
      <c r="D5" s="139">
        <f t="shared" si="0"/>
        <v>5439118427.999999</v>
      </c>
      <c r="E5" s="139">
        <f t="shared" si="0"/>
        <v>4172512564.0872841</v>
      </c>
      <c r="G5" s="133" t="s">
        <v>187</v>
      </c>
      <c r="H5" s="137" cm="1">
        <f t="array" ref="H5">MATCH(TRUE,D2:D7&gt;0,0)-1</f>
        <v>1</v>
      </c>
    </row>
    <row r="6" spans="1:9" ht="28.8">
      <c r="A6" s="133">
        <v>4</v>
      </c>
      <c r="B6" s="138">
        <f>'Estado de resultados proyecto'!F6</f>
        <v>2331500644.9799995</v>
      </c>
      <c r="C6" s="139">
        <f>B6/(1+0.1146)^4</f>
        <v>1510634451.7303534</v>
      </c>
      <c r="D6" s="139">
        <f t="shared" si="0"/>
        <v>7770619072.9799986</v>
      </c>
      <c r="E6" s="139">
        <f t="shared" si="0"/>
        <v>5683147015.8176374</v>
      </c>
      <c r="G6" s="133" t="s">
        <v>188</v>
      </c>
      <c r="H6" s="137" cm="1">
        <f t="array" ref="H6">MATCH(TRUE,E2:E7&gt;0,0)-1</f>
        <v>1</v>
      </c>
    </row>
    <row r="7" spans="1:9">
      <c r="A7" s="133">
        <v>5</v>
      </c>
      <c r="B7" s="138">
        <f>'Estado de resultados proyecto'!G6</f>
        <v>2413103167.5542989</v>
      </c>
      <c r="C7" s="139">
        <f>B7/(1+0.1146)^5</f>
        <v>1402751352.5398486</v>
      </c>
      <c r="D7" s="139">
        <f t="shared" si="0"/>
        <v>10183722240.534298</v>
      </c>
      <c r="E7" s="139">
        <f t="shared" si="0"/>
        <v>7085898368.3574858</v>
      </c>
    </row>
    <row r="8" spans="1:9">
      <c r="C8" s="140">
        <f>SUM(C2:C7)</f>
        <v>7085898368.3574858</v>
      </c>
      <c r="G8"/>
      <c r="H8" s="150"/>
    </row>
    <row r="10" spans="1:9">
      <c r="B10" t="s">
        <v>193</v>
      </c>
      <c r="C10" s="150">
        <f>C8</f>
        <v>7085898368.3574858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C99D-4979-4A98-A540-9121F52003EC}">
  <sheetPr codeName="Hoja3">
    <tabColor theme="0"/>
  </sheetPr>
  <dimension ref="B1:K14"/>
  <sheetViews>
    <sheetView showGridLines="0" topLeftCell="B1" workbookViewId="0">
      <selection activeCell="J21" sqref="J21"/>
    </sheetView>
  </sheetViews>
  <sheetFormatPr baseColWidth="10" defaultColWidth="10.88671875" defaultRowHeight="13.2"/>
  <cols>
    <col min="1" max="1" width="10.88671875" style="1" customWidth="1"/>
    <col min="2" max="2" width="34.109375" style="1" customWidth="1"/>
    <col min="3" max="3" width="15.44140625" style="1" customWidth="1"/>
    <col min="4" max="6" width="15.44140625" style="1" bestFit="1" customWidth="1"/>
    <col min="7" max="7" width="16.109375" style="1" bestFit="1" customWidth="1"/>
    <col min="8" max="9" width="15.44140625" style="1" bestFit="1" customWidth="1"/>
    <col min="10" max="10" width="14" style="1" bestFit="1" customWidth="1"/>
    <col min="11" max="11" width="10.88671875" style="1" bestFit="1"/>
    <col min="12" max="16384" width="10.88671875" style="1"/>
  </cols>
  <sheetData>
    <row r="1" spans="2:11" ht="13.8" thickBot="1"/>
    <row r="2" spans="2:11" ht="31.8" thickBot="1">
      <c r="B2" s="113" t="s">
        <v>134</v>
      </c>
      <c r="C2" s="113" t="s">
        <v>135</v>
      </c>
      <c r="D2" s="113" t="s">
        <v>51</v>
      </c>
      <c r="E2" s="113" t="s">
        <v>52</v>
      </c>
      <c r="F2" s="113" t="s">
        <v>53</v>
      </c>
      <c r="G2" s="113" t="s">
        <v>54</v>
      </c>
      <c r="H2" s="113" t="s">
        <v>55</v>
      </c>
      <c r="I2" s="113" t="s">
        <v>136</v>
      </c>
    </row>
    <row r="3" spans="2:11" ht="16.2" thickBot="1">
      <c r="B3" s="2" t="s">
        <v>137</v>
      </c>
      <c r="C3" s="3">
        <v>150000000</v>
      </c>
      <c r="D3" s="3">
        <f>C3*5.83/100+C3</f>
        <v>158745000</v>
      </c>
      <c r="E3" s="3">
        <f>D3*5.83/100+D3</f>
        <v>167999833.5</v>
      </c>
      <c r="F3" s="3">
        <f>E3*5.83/100+E3</f>
        <v>177794223.79304999</v>
      </c>
      <c r="G3" s="3">
        <f>F3*5.83/100+F3</f>
        <v>188159627.0401848</v>
      </c>
      <c r="H3" s="3">
        <f>G3*5.83/100+G3</f>
        <v>199129333.29662758</v>
      </c>
      <c r="I3" s="3">
        <f>SUM(D3:H3)</f>
        <v>891828017.62986231</v>
      </c>
      <c r="J3" s="7"/>
      <c r="K3" s="7"/>
    </row>
    <row r="4" spans="2:11" ht="16.2" thickBot="1">
      <c r="B4" s="2" t="s">
        <v>138</v>
      </c>
      <c r="C4" s="3">
        <v>800000000</v>
      </c>
      <c r="D4" s="3">
        <f t="shared" ref="D4:H7" si="0">C4*5.83/100+C4</f>
        <v>846640000</v>
      </c>
      <c r="E4" s="3">
        <f t="shared" si="0"/>
        <v>895999112</v>
      </c>
      <c r="F4" s="3">
        <f t="shared" si="0"/>
        <v>948235860.22959995</v>
      </c>
      <c r="G4" s="3">
        <f t="shared" si="0"/>
        <v>1003518010.8809856</v>
      </c>
      <c r="H4" s="3">
        <f t="shared" si="0"/>
        <v>1062023110.9153471</v>
      </c>
      <c r="I4" s="3">
        <f>SUM(D4:H4)</f>
        <v>4756416094.0259323</v>
      </c>
    </row>
    <row r="5" spans="2:11" ht="16.2" thickBot="1">
      <c r="B5" s="2" t="s">
        <v>139</v>
      </c>
      <c r="C5" s="3">
        <v>400000000</v>
      </c>
      <c r="D5" s="3">
        <f t="shared" si="0"/>
        <v>423320000</v>
      </c>
      <c r="E5" s="3">
        <f t="shared" si="0"/>
        <v>447999556</v>
      </c>
      <c r="F5" s="3">
        <f t="shared" si="0"/>
        <v>474117930.11479998</v>
      </c>
      <c r="G5" s="3">
        <f t="shared" si="0"/>
        <v>501759005.44049281</v>
      </c>
      <c r="H5" s="3">
        <f t="shared" si="0"/>
        <v>531011555.45767355</v>
      </c>
      <c r="I5" s="3">
        <f>SUM(D5:H5)</f>
        <v>2378208047.0129662</v>
      </c>
    </row>
    <row r="6" spans="2:11" ht="31.8" thickBot="1">
      <c r="B6" s="2" t="s">
        <v>140</v>
      </c>
      <c r="C6" s="3">
        <v>120000000</v>
      </c>
      <c r="D6" s="3">
        <f t="shared" si="0"/>
        <v>126996000</v>
      </c>
      <c r="E6" s="3">
        <f t="shared" si="0"/>
        <v>134399866.80000001</v>
      </c>
      <c r="F6" s="3">
        <f t="shared" si="0"/>
        <v>142235379.03444001</v>
      </c>
      <c r="G6" s="3">
        <f t="shared" si="0"/>
        <v>150527701.63214788</v>
      </c>
      <c r="H6" s="3">
        <f t="shared" si="0"/>
        <v>159303466.6373021</v>
      </c>
      <c r="I6" s="3">
        <f>SUM(D6:H6)</f>
        <v>713462414.10388994</v>
      </c>
    </row>
    <row r="7" spans="2:11" ht="16.2" thickBot="1">
      <c r="B7" s="2" t="s">
        <v>141</v>
      </c>
      <c r="C7" s="3">
        <v>80000000</v>
      </c>
      <c r="D7" s="3">
        <f t="shared" si="0"/>
        <v>84664000</v>
      </c>
      <c r="E7" s="3">
        <f t="shared" si="0"/>
        <v>89599911.200000003</v>
      </c>
      <c r="F7" s="3">
        <f t="shared" si="0"/>
        <v>94823586.022960007</v>
      </c>
      <c r="G7" s="3">
        <f t="shared" si="0"/>
        <v>100351801.08809857</v>
      </c>
      <c r="H7" s="3">
        <f t="shared" si="0"/>
        <v>106202311.09153472</v>
      </c>
      <c r="I7" s="3">
        <f>SUM(D7:H7)</f>
        <v>475641609.40259331</v>
      </c>
    </row>
    <row r="8" spans="2:11" ht="16.2" thickBot="1">
      <c r="B8" s="4" t="s">
        <v>142</v>
      </c>
      <c r="C8" s="5">
        <f>SUM(C3:C7)</f>
        <v>1550000000</v>
      </c>
      <c r="D8" s="5">
        <f>SUM(D3:D7)</f>
        <v>1640365000</v>
      </c>
      <c r="E8" s="5">
        <f t="shared" ref="E8:I8" si="1">SUM(E3:E7)</f>
        <v>1735998279.5</v>
      </c>
      <c r="F8" s="5">
        <f t="shared" si="1"/>
        <v>1837206979.19485</v>
      </c>
      <c r="G8" s="5">
        <f t="shared" si="1"/>
        <v>1944316146.0819097</v>
      </c>
      <c r="H8" s="5">
        <f t="shared" si="1"/>
        <v>2057669777.3984849</v>
      </c>
      <c r="I8" s="5">
        <f t="shared" si="1"/>
        <v>9215556182.1752434</v>
      </c>
    </row>
    <row r="10" spans="2:11">
      <c r="B10" s="6" t="s">
        <v>143</v>
      </c>
    </row>
    <row r="11" spans="2:11">
      <c r="B11" s="6" t="s">
        <v>144</v>
      </c>
    </row>
    <row r="14" spans="2:11">
      <c r="C14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66C6-6918-4792-830E-01DCE544A87C}">
  <sheetPr codeName="Hoja1"/>
  <dimension ref="B2:G16"/>
  <sheetViews>
    <sheetView showGridLines="0" workbookViewId="0">
      <selection activeCell="E22" sqref="E22"/>
    </sheetView>
  </sheetViews>
  <sheetFormatPr baseColWidth="10" defaultColWidth="11.44140625" defaultRowHeight="14.4"/>
  <cols>
    <col min="2" max="2" width="24.44140625" bestFit="1" customWidth="1"/>
    <col min="3" max="7" width="13.88671875" bestFit="1" customWidth="1"/>
    <col min="8" max="8" width="11.88671875" bestFit="1" customWidth="1"/>
  </cols>
  <sheetData>
    <row r="2" spans="2:7">
      <c r="B2" s="20" t="s">
        <v>145</v>
      </c>
      <c r="C2" s="20" t="s">
        <v>51</v>
      </c>
      <c r="D2" s="20" t="s">
        <v>52</v>
      </c>
      <c r="E2" s="20" t="s">
        <v>53</v>
      </c>
      <c r="F2" s="20" t="s">
        <v>54</v>
      </c>
      <c r="G2" s="20" t="s">
        <v>55</v>
      </c>
    </row>
    <row r="3" spans="2:7">
      <c r="B3" s="169" t="s">
        <v>146</v>
      </c>
      <c r="C3" s="169"/>
      <c r="D3" s="169"/>
      <c r="E3" s="169"/>
      <c r="F3" s="169"/>
      <c r="G3" s="169"/>
    </row>
    <row r="4" spans="2:7">
      <c r="B4" s="10" t="s">
        <v>147</v>
      </c>
      <c r="C4" s="17">
        <v>300000000</v>
      </c>
      <c r="D4" s="17">
        <v>310500000</v>
      </c>
      <c r="E4" s="17">
        <v>321867500</v>
      </c>
      <c r="F4" s="17">
        <v>333662863</v>
      </c>
      <c r="G4" s="17">
        <v>345881654</v>
      </c>
    </row>
    <row r="5" spans="2:7">
      <c r="B5" s="10" t="s">
        <v>148</v>
      </c>
      <c r="C5" s="17">
        <v>800000000</v>
      </c>
      <c r="D5" s="17">
        <v>828000000</v>
      </c>
      <c r="E5" s="17">
        <v>856980000</v>
      </c>
      <c r="F5" s="17">
        <v>887974300</v>
      </c>
      <c r="G5" s="17">
        <v>919853451</v>
      </c>
    </row>
    <row r="6" spans="2:7">
      <c r="B6" s="10" t="s">
        <v>149</v>
      </c>
      <c r="C6" s="17">
        <f>+C4+C5</f>
        <v>1100000000</v>
      </c>
      <c r="D6" s="17">
        <f t="shared" ref="D6:G6" si="0">+D4+D5</f>
        <v>1138500000</v>
      </c>
      <c r="E6" s="17">
        <f t="shared" si="0"/>
        <v>1178847500</v>
      </c>
      <c r="F6" s="17">
        <f t="shared" si="0"/>
        <v>1221637163</v>
      </c>
      <c r="G6" s="17">
        <f t="shared" si="0"/>
        <v>1265735105</v>
      </c>
    </row>
    <row r="7" spans="2:7">
      <c r="B7" s="169" t="s">
        <v>150</v>
      </c>
      <c r="C7" s="169"/>
      <c r="D7" s="169"/>
      <c r="E7" s="169"/>
      <c r="F7" s="169"/>
      <c r="G7" s="169"/>
    </row>
    <row r="8" spans="2:7">
      <c r="B8" s="10" t="s">
        <v>151</v>
      </c>
      <c r="C8" s="17">
        <v>200000000</v>
      </c>
      <c r="D8" s="17">
        <v>206000000</v>
      </c>
      <c r="E8" s="17">
        <v>212210000</v>
      </c>
      <c r="F8" s="17">
        <v>218576350</v>
      </c>
      <c r="G8" s="17">
        <v>225131022</v>
      </c>
    </row>
    <row r="9" spans="2:7">
      <c r="B9" s="10" t="s">
        <v>152</v>
      </c>
      <c r="C9" s="153">
        <v>500000000</v>
      </c>
      <c r="D9" s="153">
        <v>485000000</v>
      </c>
      <c r="E9" s="153">
        <v>470450000</v>
      </c>
      <c r="F9" s="153">
        <v>456336500</v>
      </c>
      <c r="G9" s="153">
        <v>442646738</v>
      </c>
    </row>
    <row r="10" spans="2:7">
      <c r="B10" s="10" t="s">
        <v>153</v>
      </c>
      <c r="C10" s="17">
        <f>+C8+C9</f>
        <v>700000000</v>
      </c>
      <c r="D10" s="17">
        <f t="shared" ref="D10:F10" si="1">+D8+D9</f>
        <v>691000000</v>
      </c>
      <c r="E10" s="17">
        <f t="shared" si="1"/>
        <v>682660000</v>
      </c>
      <c r="F10" s="17">
        <f t="shared" si="1"/>
        <v>674912850</v>
      </c>
      <c r="G10" s="17">
        <f>+G8+G9</f>
        <v>667777760</v>
      </c>
    </row>
    <row r="11" spans="2:7">
      <c r="B11" s="169" t="s">
        <v>154</v>
      </c>
      <c r="C11" s="169"/>
      <c r="D11" s="169"/>
      <c r="E11" s="169"/>
      <c r="F11" s="169"/>
      <c r="G11" s="169"/>
    </row>
    <row r="12" spans="2:7">
      <c r="B12" s="10" t="s">
        <v>155</v>
      </c>
      <c r="C12" s="17">
        <v>300000000</v>
      </c>
      <c r="D12" s="17">
        <v>300000000</v>
      </c>
      <c r="E12" s="17">
        <v>300000000</v>
      </c>
      <c r="F12" s="17">
        <v>300000000</v>
      </c>
      <c r="G12" s="17">
        <v>300000000</v>
      </c>
    </row>
    <row r="13" spans="2:7">
      <c r="B13" s="10" t="s">
        <v>156</v>
      </c>
      <c r="C13" s="17">
        <v>100000000</v>
      </c>
      <c r="D13" s="17">
        <v>147500000</v>
      </c>
      <c r="E13" s="17">
        <v>196187500</v>
      </c>
      <c r="F13" s="17">
        <v>246724313</v>
      </c>
      <c r="G13" s="17">
        <v>298857345</v>
      </c>
    </row>
    <row r="14" spans="2:7">
      <c r="B14" s="18" t="s">
        <v>157</v>
      </c>
      <c r="C14" s="17">
        <f>+C12+C13</f>
        <v>400000000</v>
      </c>
      <c r="D14" s="17">
        <f t="shared" ref="D14:G14" si="2">+D12+D13</f>
        <v>447500000</v>
      </c>
      <c r="E14" s="17">
        <f t="shared" si="2"/>
        <v>496187500</v>
      </c>
      <c r="F14" s="17">
        <f t="shared" si="2"/>
        <v>546724313</v>
      </c>
      <c r="G14" s="17">
        <f t="shared" si="2"/>
        <v>598857345</v>
      </c>
    </row>
    <row r="16" spans="2:7">
      <c r="B16" t="s">
        <v>195</v>
      </c>
    </row>
  </sheetData>
  <mergeCells count="3">
    <mergeCell ref="B3:G3"/>
    <mergeCell ref="B7:G7"/>
    <mergeCell ref="B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21B8-5E02-452A-9BFF-BBF47424BA75}">
  <sheetPr codeName="Hoja2"/>
  <dimension ref="B1:G14"/>
  <sheetViews>
    <sheetView showGridLines="0" workbookViewId="0">
      <selection activeCell="K11" sqref="K11"/>
    </sheetView>
  </sheetViews>
  <sheetFormatPr baseColWidth="10" defaultColWidth="11.44140625" defaultRowHeight="14.4"/>
  <cols>
    <col min="2" max="2" width="21" bestFit="1" customWidth="1"/>
    <col min="3" max="3" width="18.88671875" style="8" bestFit="1" customWidth="1"/>
    <col min="4" max="4" width="15.33203125" bestFit="1" customWidth="1"/>
    <col min="5" max="7" width="15.109375" bestFit="1" customWidth="1"/>
  </cols>
  <sheetData>
    <row r="1" spans="2:7">
      <c r="B1">
        <v>1.0349999999999999</v>
      </c>
    </row>
    <row r="2" spans="2:7">
      <c r="B2" s="10" t="s">
        <v>158</v>
      </c>
      <c r="C2" s="15" t="s">
        <v>51</v>
      </c>
      <c r="D2" s="15" t="s">
        <v>52</v>
      </c>
      <c r="E2" s="15" t="s">
        <v>53</v>
      </c>
      <c r="F2" s="15" t="s">
        <v>54</v>
      </c>
      <c r="G2" s="15" t="s">
        <v>55</v>
      </c>
    </row>
    <row r="3" spans="2:7">
      <c r="B3" s="170" t="s">
        <v>159</v>
      </c>
      <c r="C3" s="171"/>
      <c r="D3" s="171"/>
      <c r="E3" s="171"/>
      <c r="F3" s="171"/>
      <c r="G3" s="172"/>
    </row>
    <row r="4" spans="2:7">
      <c r="B4" s="10" t="s">
        <v>160</v>
      </c>
      <c r="C4" s="12">
        <f>'Flujo de caja.'!D19*'Flujo de caja.'!D18</f>
        <v>1617600000</v>
      </c>
      <c r="D4" s="13">
        <f>C4*$B$1</f>
        <v>1674215999.9999998</v>
      </c>
      <c r="E4" s="13">
        <f>D4*$B$1</f>
        <v>1732813559.9999995</v>
      </c>
      <c r="F4" s="13">
        <f t="shared" ref="D4:G5" si="0">E4*$B$1</f>
        <v>1793462034.5999994</v>
      </c>
      <c r="G4" s="13">
        <f t="shared" si="0"/>
        <v>1856233205.8109992</v>
      </c>
    </row>
    <row r="5" spans="2:7">
      <c r="B5" s="10" t="s">
        <v>161</v>
      </c>
      <c r="C5" s="12">
        <f>C4*30%</f>
        <v>485280000</v>
      </c>
      <c r="D5" s="13">
        <f t="shared" si="0"/>
        <v>502264799.99999994</v>
      </c>
      <c r="E5" s="13">
        <f t="shared" si="0"/>
        <v>519844067.99999988</v>
      </c>
      <c r="F5" s="13">
        <f t="shared" si="0"/>
        <v>538038610.37999988</v>
      </c>
      <c r="G5" s="13">
        <f t="shared" si="0"/>
        <v>556869961.74329984</v>
      </c>
    </row>
    <row r="6" spans="2:7">
      <c r="B6" s="10" t="s">
        <v>162</v>
      </c>
      <c r="C6" s="12">
        <f>+C4+C5</f>
        <v>2102880000</v>
      </c>
      <c r="D6" s="12">
        <f t="shared" ref="D6:G6" si="1">+D4+D5</f>
        <v>2176480799.9999995</v>
      </c>
      <c r="E6" s="12">
        <f t="shared" si="1"/>
        <v>2252657627.9999995</v>
      </c>
      <c r="F6" s="12">
        <f t="shared" si="1"/>
        <v>2331500644.9799995</v>
      </c>
      <c r="G6" s="12">
        <f t="shared" si="1"/>
        <v>2413103167.5542989</v>
      </c>
    </row>
    <row r="7" spans="2:7">
      <c r="B7" s="170" t="s">
        <v>163</v>
      </c>
      <c r="C7" s="171"/>
      <c r="D7" s="171"/>
      <c r="E7" s="171"/>
      <c r="F7" s="171"/>
      <c r="G7" s="172"/>
    </row>
    <row r="8" spans="2:7">
      <c r="B8" s="10" t="s">
        <v>164</v>
      </c>
      <c r="C8" s="12">
        <f>'Flujo de caja.'!D35</f>
        <v>519416000</v>
      </c>
      <c r="D8" s="13">
        <f t="shared" ref="D8:G9" si="2">C8*$B$1</f>
        <v>537595560</v>
      </c>
      <c r="E8" s="13">
        <f t="shared" si="2"/>
        <v>556411404.5999999</v>
      </c>
      <c r="F8" s="13">
        <f t="shared" si="2"/>
        <v>575885803.7609998</v>
      </c>
      <c r="G8" s="13">
        <f t="shared" si="2"/>
        <v>596041806.89263475</v>
      </c>
    </row>
    <row r="9" spans="2:7">
      <c r="B9" s="84" t="s">
        <v>165</v>
      </c>
      <c r="C9" s="12">
        <f>+'Flujo de caja.'!D35</f>
        <v>519416000</v>
      </c>
      <c r="D9" s="13">
        <f t="shared" si="2"/>
        <v>537595560</v>
      </c>
      <c r="E9" s="13">
        <f t="shared" si="2"/>
        <v>556411404.5999999</v>
      </c>
      <c r="F9" s="13">
        <f t="shared" si="2"/>
        <v>575885803.7609998</v>
      </c>
      <c r="G9" s="13">
        <f t="shared" si="2"/>
        <v>596041806.89263475</v>
      </c>
    </row>
    <row r="10" spans="2:7">
      <c r="B10" s="11" t="s">
        <v>166</v>
      </c>
      <c r="C10" s="83">
        <f>+C6-C9</f>
        <v>1583464000</v>
      </c>
      <c r="D10" s="83">
        <f>+D6-D9</f>
        <v>1638885239.9999995</v>
      </c>
      <c r="E10" s="83">
        <f>+E6-E9</f>
        <v>1696246223.3999996</v>
      </c>
      <c r="F10" s="83">
        <f>+F6-F9</f>
        <v>1755614841.2189999</v>
      </c>
      <c r="G10" s="83">
        <f>+G6-G9</f>
        <v>1817061360.661664</v>
      </c>
    </row>
    <row r="11" spans="2:7">
      <c r="B11" s="10" t="s">
        <v>167</v>
      </c>
      <c r="C11" s="12">
        <f>+C10*30%</f>
        <v>475039200</v>
      </c>
      <c r="D11" s="12">
        <f t="shared" ref="D11:G11" si="3">+D10*30%</f>
        <v>491665571.99999982</v>
      </c>
      <c r="E11" s="12">
        <f t="shared" si="3"/>
        <v>508873867.01999986</v>
      </c>
      <c r="F11" s="12">
        <f t="shared" si="3"/>
        <v>526684452.36569995</v>
      </c>
      <c r="G11" s="12">
        <f t="shared" si="3"/>
        <v>545118408.1984992</v>
      </c>
    </row>
    <row r="12" spans="2:7">
      <c r="B12" s="11" t="s">
        <v>168</v>
      </c>
      <c r="C12" s="12">
        <f>+C10-C11</f>
        <v>1108424800</v>
      </c>
      <c r="D12" s="12">
        <f>+D10-D11</f>
        <v>1147219667.9999998</v>
      </c>
      <c r="E12" s="12">
        <f t="shared" ref="E12:G12" si="4">+E10-E11</f>
        <v>1187372356.3799996</v>
      </c>
      <c r="F12" s="12">
        <f t="shared" si="4"/>
        <v>1228930388.8532999</v>
      </c>
      <c r="G12" s="12">
        <f t="shared" si="4"/>
        <v>1271942952.4631648</v>
      </c>
    </row>
    <row r="14" spans="2:7">
      <c r="B14" t="s">
        <v>194</v>
      </c>
    </row>
  </sheetData>
  <mergeCells count="2">
    <mergeCell ref="B3:G3"/>
    <mergeCell ref="B7:G7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5114-5958-41A4-85EF-179BC9A4E927}">
  <sheetPr>
    <tabColor theme="0"/>
  </sheetPr>
  <dimension ref="B2:G8"/>
  <sheetViews>
    <sheetView showGridLines="0" tabSelected="1" workbookViewId="0">
      <selection activeCell="I9" sqref="I9"/>
    </sheetView>
  </sheetViews>
  <sheetFormatPr baseColWidth="10" defaultColWidth="10.88671875" defaultRowHeight="14.4"/>
  <cols>
    <col min="1" max="1" width="10.88671875" style="56"/>
    <col min="2" max="2" width="17.33203125" style="56" bestFit="1" customWidth="1"/>
    <col min="3" max="7" width="17.6640625" style="56" bestFit="1" customWidth="1"/>
    <col min="8" max="16384" width="10.88671875" style="56"/>
  </cols>
  <sheetData>
    <row r="2" spans="2:7">
      <c r="B2" s="173" t="s">
        <v>169</v>
      </c>
      <c r="C2" s="77">
        <v>2024</v>
      </c>
      <c r="D2" s="77">
        <v>2025</v>
      </c>
      <c r="E2" s="77">
        <v>2026</v>
      </c>
      <c r="F2" s="77">
        <v>2027</v>
      </c>
      <c r="G2" s="77">
        <v>2028</v>
      </c>
    </row>
    <row r="3" spans="2:7" s="62" customFormat="1">
      <c r="B3" s="174"/>
      <c r="C3" s="114">
        <v>1617600000</v>
      </c>
      <c r="D3" s="114">
        <f>+C3*(1+D6)</f>
        <v>1649952000</v>
      </c>
      <c r="E3" s="114">
        <f>+D3*(1+E6)</f>
        <v>1724199840</v>
      </c>
      <c r="F3" s="114">
        <f>+E3*(1+F6)</f>
        <v>1787995234.0799999</v>
      </c>
      <c r="G3" s="114">
        <f>+F3*(1+G6)</f>
        <v>1859515043.4431999</v>
      </c>
    </row>
    <row r="4" spans="2:7">
      <c r="B4" s="78" t="s">
        <v>170</v>
      </c>
      <c r="C4" s="19"/>
      <c r="D4" s="19"/>
      <c r="E4" s="19"/>
      <c r="F4" s="19"/>
      <c r="G4" s="19"/>
    </row>
    <row r="5" spans="2:7">
      <c r="B5" s="78" t="s">
        <v>171</v>
      </c>
      <c r="C5" s="19">
        <v>1.0369999999999999</v>
      </c>
      <c r="D5" s="19">
        <f>+C5*1.02</f>
        <v>1.0577399999999999</v>
      </c>
      <c r="E5" s="19">
        <f>+D5*1.045</f>
        <v>1.1053382999999999</v>
      </c>
      <c r="F5" s="19">
        <f>+E5*1.037</f>
        <v>1.1462358170999998</v>
      </c>
      <c r="G5" s="19">
        <f>+F5*1.04</f>
        <v>1.1920852497839998</v>
      </c>
    </row>
    <row r="6" spans="2:7">
      <c r="B6" s="78" t="s">
        <v>3</v>
      </c>
      <c r="C6" s="19">
        <v>5.0500000000000003E-2</v>
      </c>
      <c r="D6" s="19">
        <f>+(D5-C5)/C5</f>
        <v>1.9999999999999983E-2</v>
      </c>
      <c r="E6" s="19">
        <f>+(E5-D5)/D5</f>
        <v>4.4999999999999984E-2</v>
      </c>
      <c r="F6" s="19">
        <f t="shared" ref="F6:G6" si="0">+(F5-E5)/E5</f>
        <v>3.6999999999999908E-2</v>
      </c>
      <c r="G6" s="19">
        <f t="shared" si="0"/>
        <v>0.04</v>
      </c>
    </row>
    <row r="7" spans="2:7">
      <c r="B7" s="78" t="s">
        <v>172</v>
      </c>
      <c r="C7" s="117">
        <v>5.0200000000000002E-2</v>
      </c>
      <c r="D7" s="118">
        <f>+C7*1.05</f>
        <v>5.2710000000000007E-2</v>
      </c>
      <c r="E7" s="118">
        <f>+D7*1.06</f>
        <v>5.5872600000000008E-2</v>
      </c>
      <c r="F7" s="118">
        <f>+E7*1.06</f>
        <v>5.9224956000000009E-2</v>
      </c>
      <c r="G7" s="118">
        <f>+F7*1.07</f>
        <v>6.3370702920000008E-2</v>
      </c>
    </row>
    <row r="8" spans="2:7">
      <c r="B8" s="78" t="s">
        <v>173</v>
      </c>
      <c r="C8" s="19"/>
      <c r="D8" s="154">
        <f>+D7-C7</f>
        <v>2.5100000000000053E-3</v>
      </c>
      <c r="E8" s="154">
        <f t="shared" ref="E8:G8" si="1">+E7-D7</f>
        <v>3.1626000000000015E-3</v>
      </c>
      <c r="F8" s="154">
        <f t="shared" si="1"/>
        <v>3.3523560000000008E-3</v>
      </c>
      <c r="G8" s="154">
        <f t="shared" si="1"/>
        <v>4.1457469199999986E-3</v>
      </c>
    </row>
  </sheetData>
  <mergeCells count="1">
    <mergeCell ref="B2:B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A372DAD1F3644A9ADED2EBA7200AA5" ma:contentTypeVersion="15" ma:contentTypeDescription="Create a new document." ma:contentTypeScope="" ma:versionID="9b544d29e29195f3b4854b7fdbb76ead">
  <xsd:schema xmlns:xsd="http://www.w3.org/2001/XMLSchema" xmlns:xs="http://www.w3.org/2001/XMLSchema" xmlns:p="http://schemas.microsoft.com/office/2006/metadata/properties" xmlns:ns3="f3b8fa7c-5562-4454-ba74-9c53c52a97f0" xmlns:ns4="9cf9dcc2-8b1b-4b48-833c-ff83d359cc7c" targetNamespace="http://schemas.microsoft.com/office/2006/metadata/properties" ma:root="true" ma:fieldsID="bf01d1542e722c506f966d72b7cadbe0" ns3:_="" ns4:_="">
    <xsd:import namespace="f3b8fa7c-5562-4454-ba74-9c53c52a97f0"/>
    <xsd:import namespace="9cf9dcc2-8b1b-4b48-833c-ff83d359cc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8fa7c-5562-4454-ba74-9c53c52a9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9dcc2-8b1b-4b48-833c-ff83d359cc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b8fa7c-5562-4454-ba74-9c53c52a97f0" xsi:nil="true"/>
  </documentManagement>
</p:properties>
</file>

<file path=customXml/itemProps1.xml><?xml version="1.0" encoding="utf-8"?>
<ds:datastoreItem xmlns:ds="http://schemas.openxmlformats.org/officeDocument/2006/customXml" ds:itemID="{600C0990-49CE-4F91-A6D9-986089986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b8fa7c-5562-4454-ba74-9c53c52a97f0"/>
    <ds:schemaRef ds:uri="9cf9dcc2-8b1b-4b48-833c-ff83d359cc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4FB3B2-090E-4979-9CC5-37801B508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FFEBA2-D635-4CDA-8482-F27C3D54291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cf9dcc2-8b1b-4b48-833c-ff83d359cc7c"/>
    <ds:schemaRef ds:uri="f3b8fa7c-5562-4454-ba74-9c53c52a97f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Inversión Inicial</vt:lpstr>
      <vt:lpstr>Flujo de caja.</vt:lpstr>
      <vt:lpstr>Indicadores financieros </vt:lpstr>
      <vt:lpstr>Presupuesto proyectado </vt:lpstr>
      <vt:lpstr>Balance Inicial Proyectado</vt:lpstr>
      <vt:lpstr>Estado de resultados proyecto</vt:lpstr>
      <vt:lpstr>Proyección ing - infl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Briyhid Carbonero</dc:creator>
  <cp:keywords/>
  <dc:description/>
  <cp:lastModifiedBy>BRIYHID MAYERLI CARBONERO BAQUERO</cp:lastModifiedBy>
  <cp:revision/>
  <dcterms:created xsi:type="dcterms:W3CDTF">2024-12-01T01:15:45Z</dcterms:created>
  <dcterms:modified xsi:type="dcterms:W3CDTF">2025-09-08T04:02:23Z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0x0101004FA372DAD1F3644A9ADED2EBA7200AA5</vt:lpwstr>
  </property>
</Properties>
</file>