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LENOVO DMT\Documents\TESIS DE GRADO CORRECCIONES\"/>
    </mc:Choice>
  </mc:AlternateContent>
  <xr:revisionPtr revIDLastSave="0" documentId="8_{45511669-6E5E-48D3-8E69-8578A85C03B6}" xr6:coauthVersionLast="47" xr6:coauthVersionMax="47" xr10:uidLastSave="{00000000-0000-0000-0000-000000000000}"/>
  <bookViews>
    <workbookView xWindow="-110" yWindow="-110" windowWidth="19420" windowHeight="10420" xr2:uid="{B3AC9724-BAB4-4D31-B6E6-8C77D910AEB9}"/>
  </bookViews>
  <sheets>
    <sheet name="Proyeción Población" sheetId="1" r:id="rId1"/>
    <sheet name="Caudales" sheetId="5" r:id="rId2"/>
    <sheet name="T.G " sheetId="22" r:id="rId3"/>
    <sheet name="S.P " sheetId="23" r:id="rId4"/>
    <sheet name="F.A " sheetId="24" r:id="rId5"/>
    <sheet name="H.A" sheetId="1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" i="1" l="1"/>
  <c r="D22" i="18"/>
  <c r="D4" i="18"/>
  <c r="D6" i="18" s="1"/>
  <c r="D12" i="18"/>
  <c r="D32" i="24"/>
  <c r="D29" i="24"/>
  <c r="D28" i="24"/>
  <c r="D5" i="18"/>
  <c r="D27" i="24"/>
  <c r="D26" i="24"/>
  <c r="D22" i="24"/>
  <c r="C17" i="24"/>
  <c r="G4" i="24" s="1"/>
  <c r="E14" i="23"/>
  <c r="E13" i="23"/>
  <c r="D13" i="5"/>
  <c r="D16" i="18" l="1"/>
  <c r="D20" i="18" s="1"/>
  <c r="D21" i="18" s="1"/>
  <c r="F4" i="24"/>
  <c r="D24" i="24"/>
  <c r="D17" i="22"/>
  <c r="I14" i="22"/>
  <c r="I13" i="22"/>
  <c r="Q11" i="1"/>
  <c r="D11" i="22"/>
  <c r="D11" i="5"/>
  <c r="D7" i="22"/>
  <c r="D9" i="18"/>
  <c r="D17" i="18" l="1"/>
  <c r="D18" i="18"/>
  <c r="D31" i="24"/>
  <c r="D38" i="24" l="1"/>
  <c r="D39" i="24" s="1"/>
  <c r="D33" i="24"/>
  <c r="D36" i="24" s="1"/>
  <c r="D11" i="18" l="1"/>
  <c r="D5" i="5"/>
  <c r="D14" i="5" s="1"/>
  <c r="D7" i="5" l="1"/>
  <c r="D8" i="5" s="1"/>
  <c r="D15" i="5" s="1"/>
  <c r="J19" i="1"/>
  <c r="J18" i="1" s="1"/>
  <c r="N12" i="1" s="1"/>
  <c r="J8" i="1"/>
  <c r="G14" i="5" l="1"/>
  <c r="N11" i="1"/>
  <c r="N13" i="1" s="1"/>
  <c r="D16" i="5" l="1"/>
  <c r="E9" i="23"/>
  <c r="D9" i="22"/>
  <c r="G9" i="5"/>
  <c r="G16" i="5"/>
  <c r="G15" i="5"/>
  <c r="E8" i="23" l="1"/>
  <c r="E16" i="23" s="1"/>
  <c r="E17" i="23" s="1"/>
  <c r="I15" i="22"/>
  <c r="I16" i="22" s="1"/>
  <c r="I17" i="22"/>
  <c r="D12" i="22"/>
  <c r="D14" i="22" s="1"/>
  <c r="D16" i="22" s="1"/>
  <c r="G10" i="5"/>
  <c r="G11" i="5"/>
  <c r="G12" i="5" s="1"/>
  <c r="D37" i="24" l="1"/>
  <c r="D40" i="24"/>
  <c r="D41" i="24" s="1"/>
</calcChain>
</file>

<file path=xl/sharedStrings.xml><?xml version="1.0" encoding="utf-8"?>
<sst xmlns="http://schemas.openxmlformats.org/spreadsheetml/2006/main" count="261" uniqueCount="193">
  <si>
    <t>Metodo aritmetico</t>
  </si>
  <si>
    <t>Censo inicial:</t>
  </si>
  <si>
    <t>ultimo censo:</t>
  </si>
  <si>
    <t>Habitantes</t>
  </si>
  <si>
    <t>Pf:</t>
  </si>
  <si>
    <t>Metodo Geometrico</t>
  </si>
  <si>
    <t>POBLACION PARA EL AÑO PROYECTADO</t>
  </si>
  <si>
    <t>r:</t>
  </si>
  <si>
    <t>METODOS</t>
  </si>
  <si>
    <t>CANTIDAD</t>
  </si>
  <si>
    <t xml:space="preserve">Metodo Aritmetico </t>
  </si>
  <si>
    <t>Promedio:</t>
  </si>
  <si>
    <t>TIPO</t>
  </si>
  <si>
    <t xml:space="preserve">POBLACION </t>
  </si>
  <si>
    <t>RESIDENCIAL PERMANENTE</t>
  </si>
  <si>
    <t>ALOJAMIENTO PROVISIONAL</t>
  </si>
  <si>
    <t xml:space="preserve">Factor de infiltracion: </t>
  </si>
  <si>
    <t>TRATAMIENTO PRELIMINAR: TRAMPA DE GRASAS</t>
  </si>
  <si>
    <t>Dotacion Neta por persona (Dp):</t>
  </si>
  <si>
    <t>Tiempo de vertimiento (Tv):</t>
  </si>
  <si>
    <t>Tiempo de Retencion (Tr):</t>
  </si>
  <si>
    <t>Altura eficiente: m</t>
  </si>
  <si>
    <t>Relacion largo ancho:</t>
  </si>
  <si>
    <t>COMPROBACION</t>
  </si>
  <si>
    <t>*</t>
  </si>
  <si>
    <t>PARAMETRO</t>
  </si>
  <si>
    <t>FORMULA</t>
  </si>
  <si>
    <t xml:space="preserve">VALOR </t>
  </si>
  <si>
    <t>RECOMENDACIONES</t>
  </si>
  <si>
    <t>Cumple (3 – 14 m3/m2.h)</t>
  </si>
  <si>
    <t>Cumple (5 – 20 minutos)</t>
  </si>
  <si>
    <t>0.50 – 3.00 asumir altura</t>
  </si>
  <si>
    <t xml:space="preserve">4 – 10 horas según el servicio </t>
  </si>
  <si>
    <t>TRATAMIENTO PRIMARIO: SEDIMENTACIÓN PRIMARIA</t>
  </si>
  <si>
    <t>Rango de 1 a 2 horas</t>
  </si>
  <si>
    <t>Tiempo de  Retencion (Tr)</t>
  </si>
  <si>
    <t>Tasa Superfcial  (Ts)</t>
  </si>
  <si>
    <t>Profundidad Efectiva (Hef)</t>
  </si>
  <si>
    <t xml:space="preserve">Rango entre 1.5 m a 4 m
</t>
  </si>
  <si>
    <t xml:space="preserve">Rango entre 32 a 122 m3/m2*dia
</t>
  </si>
  <si>
    <t>Relacion geometrica rectangular entre 1.5 : 1 a 15: 1</t>
  </si>
  <si>
    <t xml:space="preserve">CONTRIBUCION PONDERADA </t>
  </si>
  <si>
    <t xml:space="preserve">PREDIO </t>
  </si>
  <si>
    <t>C                  (L/hab-dia)</t>
  </si>
  <si>
    <t>Lf                  (L/dia)</t>
  </si>
  <si>
    <t>CLASE ALTA (estrato 4,5 y 6)</t>
  </si>
  <si>
    <t>CLASE MEDIA (estrato 3)</t>
  </si>
  <si>
    <t>CLASE BAJA  (estrato 0 1 y 2)</t>
  </si>
  <si>
    <t>HOTEL</t>
  </si>
  <si>
    <t>FABRICA</t>
  </si>
  <si>
    <t>OFICINAS TEMPORALES</t>
  </si>
  <si>
    <t>EDIFICICOS PUBLICOS O COMERCIALES</t>
  </si>
  <si>
    <t>ESCUELAS</t>
  </si>
  <si>
    <t>BARES</t>
  </si>
  <si>
    <t>RESTAURANTES</t>
  </si>
  <si>
    <t>CINES</t>
  </si>
  <si>
    <t>BAÑOS PUBLCIOS</t>
  </si>
  <si>
    <t>N° CONSTRIBUYENTES TOTALES</t>
  </si>
  <si>
    <t>Nc</t>
  </si>
  <si>
    <t>C</t>
  </si>
  <si>
    <t>K</t>
  </si>
  <si>
    <t>H</t>
  </si>
  <si>
    <t>A</t>
  </si>
  <si>
    <t>L</t>
  </si>
  <si>
    <t>Tr</t>
  </si>
  <si>
    <t>S</t>
  </si>
  <si>
    <t>So</t>
  </si>
  <si>
    <t>E</t>
  </si>
  <si>
    <t>UNIDAD</t>
  </si>
  <si>
    <t>CONVENCION</t>
  </si>
  <si>
    <t>CHS</t>
  </si>
  <si>
    <t>m2</t>
  </si>
  <si>
    <t>Q</t>
  </si>
  <si>
    <t>m3/dia</t>
  </si>
  <si>
    <t>hm</t>
  </si>
  <si>
    <t>d</t>
  </si>
  <si>
    <t>b</t>
  </si>
  <si>
    <t>m</t>
  </si>
  <si>
    <t>Largo filtro cuadardo</t>
  </si>
  <si>
    <t>COV</t>
  </si>
  <si>
    <t>Kg DBO m3/dia</t>
  </si>
  <si>
    <t>volumen del lecho filtrante</t>
  </si>
  <si>
    <t>V</t>
  </si>
  <si>
    <t>concentración total de DBO en el
afluente</t>
  </si>
  <si>
    <t>mg/L</t>
  </si>
  <si>
    <t>kg/m3</t>
  </si>
  <si>
    <t>m3</t>
  </si>
  <si>
    <t>Volumen total del filtro</t>
  </si>
  <si>
    <t>Vt</t>
  </si>
  <si>
    <t>COVt</t>
  </si>
  <si>
    <t>kg/m3.d</t>
  </si>
  <si>
    <t>Tiempo de residencia hidráulica</t>
  </si>
  <si>
    <t>TRH</t>
  </si>
  <si>
    <t>dias</t>
  </si>
  <si>
    <t>horas</t>
  </si>
  <si>
    <t>Estimación de la remoción del filtro anaerobio</t>
  </si>
  <si>
    <t>%</t>
  </si>
  <si>
    <t xml:space="preserve">Concentración de DBO esperada en el efluente </t>
  </si>
  <si>
    <t>DBOef</t>
  </si>
  <si>
    <t xml:space="preserve">Resultado del laboratorio </t>
  </si>
  <si>
    <t>Revisión de la carga orgánica volumétrica al volumen total del filtro</t>
  </si>
  <si>
    <t>m3/s</t>
  </si>
  <si>
    <t>m3/h</t>
  </si>
  <si>
    <t>QDT=</t>
  </si>
  <si>
    <t>l/s</t>
  </si>
  <si>
    <t>Relacion Largo: Ancho</t>
  </si>
  <si>
    <t>R</t>
  </si>
  <si>
    <t>v</t>
  </si>
  <si>
    <t>profundidad</t>
  </si>
  <si>
    <t>porosidad</t>
  </si>
  <si>
    <t>n</t>
  </si>
  <si>
    <t>pendiente del fondo</t>
  </si>
  <si>
    <t>Area superficial</t>
  </si>
  <si>
    <t>AS</t>
  </si>
  <si>
    <t>Tiempo de retencion</t>
  </si>
  <si>
    <t xml:space="preserve">volumen </t>
  </si>
  <si>
    <t>a</t>
  </si>
  <si>
    <t xml:space="preserve">Conductividad hidráulica </t>
  </si>
  <si>
    <t>Ks</t>
  </si>
  <si>
    <t xml:space="preserve">Numero de constribuyentes </t>
  </si>
  <si>
    <t>hab</t>
  </si>
  <si>
    <t>L/hab-dia</t>
  </si>
  <si>
    <t>°C</t>
  </si>
  <si>
    <t xml:space="preserve">Contrinbucion de aguas residuales </t>
  </si>
  <si>
    <t>Concentración total de DBO en el Efluente</t>
  </si>
  <si>
    <t>Concentración total de DBO en el
Influente</t>
  </si>
  <si>
    <t xml:space="preserve">Constante cinetica </t>
  </si>
  <si>
    <t>m3/m2- dia</t>
  </si>
  <si>
    <t>Qh</t>
  </si>
  <si>
    <t>Caudal humedal  (m3/dia)</t>
  </si>
  <si>
    <t>Co</t>
  </si>
  <si>
    <t>Ce</t>
  </si>
  <si>
    <t>m3/(m2 dia)</t>
  </si>
  <si>
    <t>Carga Hidraulica Superficial</t>
  </si>
  <si>
    <t xml:space="preserve">Area superficial del  medio filtrante </t>
  </si>
  <si>
    <t xml:space="preserve">Carga organica volumetrica en el lecho filtrante </t>
  </si>
  <si>
    <t>Para fines constructivos 8.50 m</t>
  </si>
  <si>
    <t>resultado caudal</t>
  </si>
  <si>
    <t>QMH=</t>
  </si>
  <si>
    <t>PERSONAS</t>
  </si>
  <si>
    <t xml:space="preserve">Altura del lecho filtrante </t>
  </si>
  <si>
    <t>Altura total del filtro</t>
  </si>
  <si>
    <t>Altura del bordo libre</t>
  </si>
  <si>
    <t>Altura del bajo dren</t>
  </si>
  <si>
    <t>cumple con este criterio, se encuentra entre los rangos 0.15 y 0.50 kg de DBO/(m3 d)</t>
  </si>
  <si>
    <t>Temperatura del Agua</t>
  </si>
  <si>
    <t>entre los rangos 0.5 a 1 m</t>
  </si>
  <si>
    <t>QD</t>
  </si>
  <si>
    <t>VALOR</t>
  </si>
  <si>
    <t>DN</t>
  </si>
  <si>
    <t xml:space="preserve">Dotacion Neta </t>
  </si>
  <si>
    <t>QMD</t>
  </si>
  <si>
    <t>Fce</t>
  </si>
  <si>
    <t>QCE</t>
  </si>
  <si>
    <t>Área de estudio (Ha)</t>
  </si>
  <si>
    <t>Factor de conexiones erradas</t>
  </si>
  <si>
    <t>Fci</t>
  </si>
  <si>
    <t>QINF</t>
  </si>
  <si>
    <t>F</t>
  </si>
  <si>
    <t>DESCRIPCIÓN</t>
  </si>
  <si>
    <t>Población</t>
  </si>
  <si>
    <t>QDT</t>
  </si>
  <si>
    <t xml:space="preserve">Factor mayoracion </t>
  </si>
  <si>
    <t>QMH</t>
  </si>
  <si>
    <t>Coeficiente de retorno</t>
  </si>
  <si>
    <t>Area Superficial  (AS)</t>
  </si>
  <si>
    <t>Volumen  (V)</t>
  </si>
  <si>
    <t>Ancho (W)</t>
  </si>
  <si>
    <t>Largo (L)</t>
  </si>
  <si>
    <t>Caudal de Diseño  (QT)</t>
  </si>
  <si>
    <t>Area Superficial (AS2)</t>
  </si>
  <si>
    <t>Volumen Trampa (V2)</t>
  </si>
  <si>
    <t>Tiempo de Retención (TR2)</t>
  </si>
  <si>
    <t>Carga Hidraulica (So)</t>
  </si>
  <si>
    <t>Caudal de Diseño (Qd)</t>
  </si>
  <si>
    <t>Caudal Maximo Horario (Qmh)</t>
  </si>
  <si>
    <t>Volumen del Sedimentador (V)</t>
  </si>
  <si>
    <t>Area Superficial (AS)</t>
  </si>
  <si>
    <t>Ancho</t>
  </si>
  <si>
    <t>Largo</t>
  </si>
  <si>
    <t>Caudal de Diseño</t>
  </si>
  <si>
    <t>Cuadal Maximo Horario</t>
  </si>
  <si>
    <t>Caudal de Infiltracion</t>
  </si>
  <si>
    <t>Caudal de Conexiones Erradas</t>
  </si>
  <si>
    <t>Caudal Medio Diario</t>
  </si>
  <si>
    <t>Caudal Agua Residual</t>
  </si>
  <si>
    <t>Contribucion de aguas residuales por contribuyente</t>
  </si>
  <si>
    <t xml:space="preserve">Contribucion Total </t>
  </si>
  <si>
    <t>Numero de Contribuyentes</t>
  </si>
  <si>
    <t>TRATAMIENTO SECUNDARIO: FILTRO ANAEROBICO FLUJO ASCENDENTE</t>
  </si>
  <si>
    <t>TRATAMIENTO SECUNDARIO: HUMEDAL ARTIFICIAL SUB-SUPERFICIAL</t>
  </si>
  <si>
    <t>Ragos entre 3 : 1 a 4: 1</t>
  </si>
  <si>
    <t>alrededor de 5 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</si>
</sst>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4" formatCode="_-&quot;$&quot;\ * #,##0.00_-;\-&quot;$&quot;\ * #,##0.00_-;_-&quot;$&quot;\ * &quot;-&quot;??_-;_-@_-"/>
    <numFmt numFmtId="164" formatCode="0.0"/>
    <numFmt numFmtId="165" formatCode="0.000"/>
    <numFmt numFmtId="166" formatCode="0.00\ &quot;L/s&quot;"/>
    <numFmt numFmtId="167" formatCode="General\ &quot;L/s.hab&quot;"/>
    <numFmt numFmtId="168" formatCode="General\ &quot;L/hab.dia&quot;"/>
    <numFmt numFmtId="169" formatCode="General\ &quot;horas&quot;"/>
    <numFmt numFmtId="170" formatCode="0.00\ &quot;m3/hab.dia&quot;"/>
    <numFmt numFmtId="171" formatCode="0.00\ &quot;horas&quot;"/>
    <numFmt numFmtId="172" formatCode="0.00\ &quot;m3/h&quot;"/>
    <numFmt numFmtId="173" formatCode="0.00\ &quot;m2&quot;"/>
    <numFmt numFmtId="174" formatCode="0.00\ &quot;m3&quot;"/>
    <numFmt numFmtId="175" formatCode="0.00\ &quot;m&quot;"/>
    <numFmt numFmtId="176" formatCode="0.00\ &quot;m3/m2*h&quot;"/>
    <numFmt numFmtId="177" formatCode="0.0\ &quot;minutos&quot;"/>
    <numFmt numFmtId="178" formatCode="0.00\ &quot;minutos&quot;"/>
    <numFmt numFmtId="179" formatCode="0.0000000\ &quot;m3/h&quot;"/>
    <numFmt numFmtId="180" formatCode="General\ &quot;m3/m2.dia&quot;"/>
    <numFmt numFmtId="181" formatCode="General\ &quot;m&quot;"/>
    <numFmt numFmtId="182" formatCode="0.00\ &quot;C/dia-hab&quot;"/>
    <numFmt numFmtId="183" formatCode="0.000\ &quot;L/dia&quot;"/>
    <numFmt numFmtId="184" formatCode="0.0000"/>
    <numFmt numFmtId="185" formatCode="0.00\ &quot;m3/dia&quot;"/>
    <numFmt numFmtId="186" formatCode="0.0\ &quot;m3/h&quot;"/>
    <numFmt numFmtId="187" formatCode="0.00\ &quot;L/hab-dia&quot;"/>
    <numFmt numFmtId="188" formatCode="General\ &quot;L/hab-dia&quot;"/>
    <numFmt numFmtId="189" formatCode="0.00\ &quot;L/dia-hab&quot;"/>
  </numFmts>
  <fonts count="8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b/>
      <i/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82">
    <xf numFmtId="0" fontId="0" fillId="0" borderId="0" xfId="0"/>
    <xf numFmtId="0" fontId="0" fillId="3" borderId="0" xfId="0" applyFill="1"/>
    <xf numFmtId="2" fontId="0" fillId="3" borderId="0" xfId="0" applyNumberFormat="1" applyFill="1"/>
    <xf numFmtId="0" fontId="1" fillId="3" borderId="9" xfId="0" applyFont="1" applyFill="1" applyBorder="1" applyAlignment="1">
      <alignment horizontal="justify"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/>
    </xf>
    <xf numFmtId="0" fontId="0" fillId="3" borderId="0" xfId="0" applyFill="1" applyAlignment="1">
      <alignment horizontal="right"/>
    </xf>
    <xf numFmtId="164" fontId="0" fillId="3" borderId="0" xfId="0" applyNumberFormat="1" applyFill="1"/>
    <xf numFmtId="0" fontId="0" fillId="0" borderId="0" xfId="0" applyAlignment="1">
      <alignment vertical="center"/>
    </xf>
    <xf numFmtId="0" fontId="0" fillId="3" borderId="0" xfId="0" applyFill="1" applyAlignment="1">
      <alignment horizontal="left"/>
    </xf>
    <xf numFmtId="166" fontId="0" fillId="3" borderId="0" xfId="0" applyNumberFormat="1" applyFill="1" applyAlignment="1">
      <alignment horizontal="right"/>
    </xf>
    <xf numFmtId="184" fontId="0" fillId="3" borderId="0" xfId="0" applyNumberFormat="1" applyFill="1" applyAlignment="1">
      <alignment horizontal="right"/>
    </xf>
    <xf numFmtId="0" fontId="0" fillId="3" borderId="0" xfId="0" applyFill="1" applyAlignment="1">
      <alignment horizontal="center" vertical="center"/>
    </xf>
    <xf numFmtId="164" fontId="0" fillId="3" borderId="0" xfId="0" applyNumberFormat="1" applyFill="1" applyAlignment="1">
      <alignment horizontal="right"/>
    </xf>
    <xf numFmtId="0" fontId="4" fillId="3" borderId="0" xfId="0" applyFont="1" applyFill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1" fillId="3" borderId="11" xfId="0" applyFont="1" applyFill="1" applyBorder="1" applyAlignment="1">
      <alignment horizontal="justify" vertical="center"/>
    </xf>
    <xf numFmtId="0" fontId="1" fillId="0" borderId="0" xfId="0" applyFont="1"/>
    <xf numFmtId="0" fontId="1" fillId="3" borderId="0" xfId="0" applyFont="1" applyFill="1"/>
    <xf numFmtId="0" fontId="1" fillId="3" borderId="9" xfId="0" applyFont="1" applyFill="1" applyBorder="1"/>
    <xf numFmtId="0" fontId="5" fillId="3" borderId="9" xfId="0" applyFont="1" applyFill="1" applyBorder="1" applyAlignment="1">
      <alignment horizontal="center"/>
    </xf>
    <xf numFmtId="0" fontId="1" fillId="3" borderId="0" xfId="0" applyFont="1" applyFill="1" applyAlignment="1">
      <alignment vertical="center"/>
    </xf>
    <xf numFmtId="0" fontId="1" fillId="3" borderId="9" xfId="0" applyFont="1" applyFill="1" applyBorder="1" applyAlignment="1">
      <alignment horizontal="center"/>
    </xf>
    <xf numFmtId="0" fontId="5" fillId="3" borderId="9" xfId="0" applyFont="1" applyFill="1" applyBorder="1"/>
    <xf numFmtId="0" fontId="5" fillId="3" borderId="9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9" xfId="0" applyFont="1" applyFill="1" applyBorder="1" applyAlignment="1">
      <alignment vertical="center" wrapText="1"/>
    </xf>
    <xf numFmtId="0" fontId="5" fillId="11" borderId="9" xfId="0" applyFont="1" applyFill="1" applyBorder="1"/>
    <xf numFmtId="0" fontId="5" fillId="3" borderId="0" xfId="0" applyFont="1" applyFill="1"/>
    <xf numFmtId="0" fontId="1" fillId="0" borderId="0" xfId="0" applyFont="1" applyAlignment="1">
      <alignment horizontal="left"/>
    </xf>
    <xf numFmtId="0" fontId="5" fillId="11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0" fillId="3" borderId="0" xfId="0" applyFill="1" applyAlignment="1">
      <alignment horizontal="left" vertical="center"/>
    </xf>
    <xf numFmtId="0" fontId="1" fillId="10" borderId="9" xfId="0" applyFont="1" applyFill="1" applyBorder="1"/>
    <xf numFmtId="0" fontId="1" fillId="10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left" vertical="center"/>
    </xf>
    <xf numFmtId="167" fontId="1" fillId="3" borderId="11" xfId="0" applyNumberFormat="1" applyFont="1" applyFill="1" applyBorder="1" applyAlignment="1">
      <alignment horizontal="left" vertical="center"/>
    </xf>
    <xf numFmtId="164" fontId="1" fillId="3" borderId="9" xfId="0" applyNumberFormat="1" applyFont="1" applyFill="1" applyBorder="1" applyAlignment="1">
      <alignment horizontal="left" vertical="center"/>
    </xf>
    <xf numFmtId="166" fontId="1" fillId="10" borderId="9" xfId="0" applyNumberFormat="1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vertical="center"/>
    </xf>
    <xf numFmtId="0" fontId="1" fillId="10" borderId="9" xfId="0" applyFont="1" applyFill="1" applyBorder="1" applyAlignment="1">
      <alignment horizontal="justify" vertical="center"/>
    </xf>
    <xf numFmtId="166" fontId="1" fillId="10" borderId="11" xfId="0" applyNumberFormat="1" applyFont="1" applyFill="1" applyBorder="1" applyAlignment="1">
      <alignment horizontal="left" vertical="center"/>
    </xf>
    <xf numFmtId="0" fontId="1" fillId="3" borderId="1" xfId="0" applyFont="1" applyFill="1" applyBorder="1"/>
    <xf numFmtId="0" fontId="1" fillId="3" borderId="2" xfId="0" applyFont="1" applyFill="1" applyBorder="1"/>
    <xf numFmtId="1" fontId="6" fillId="3" borderId="9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vertical="center"/>
    </xf>
    <xf numFmtId="0" fontId="1" fillId="3" borderId="3" xfId="0" applyFont="1" applyFill="1" applyBorder="1"/>
    <xf numFmtId="0" fontId="1" fillId="3" borderId="4" xfId="0" applyFont="1" applyFill="1" applyBorder="1"/>
    <xf numFmtId="0" fontId="1" fillId="3" borderId="5" xfId="0" applyFont="1" applyFill="1" applyBorder="1"/>
    <xf numFmtId="0" fontId="5" fillId="4" borderId="9" xfId="0" applyFont="1" applyFill="1" applyBorder="1"/>
    <xf numFmtId="1" fontId="1" fillId="3" borderId="9" xfId="0" applyNumberFormat="1" applyFont="1" applyFill="1" applyBorder="1" applyAlignment="1">
      <alignment horizontal="center"/>
    </xf>
    <xf numFmtId="1" fontId="6" fillId="3" borderId="9" xfId="0" applyNumberFormat="1" applyFont="1" applyFill="1" applyBorder="1" applyAlignment="1">
      <alignment horizontal="center"/>
    </xf>
    <xf numFmtId="165" fontId="1" fillId="3" borderId="9" xfId="0" applyNumberFormat="1" applyFont="1" applyFill="1" applyBorder="1" applyAlignment="1">
      <alignment horizontal="center"/>
    </xf>
    <xf numFmtId="1" fontId="6" fillId="3" borderId="0" xfId="0" applyNumberFormat="1" applyFont="1" applyFill="1" applyAlignment="1">
      <alignment horizontal="right"/>
    </xf>
    <xf numFmtId="0" fontId="5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168" fontId="1" fillId="0" borderId="9" xfId="0" applyNumberFormat="1" applyFont="1" applyBorder="1" applyAlignment="1">
      <alignment horizontal="center" vertical="center"/>
    </xf>
    <xf numFmtId="170" fontId="1" fillId="0" borderId="9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169" fontId="1" fillId="0" borderId="9" xfId="0" applyNumberFormat="1" applyFont="1" applyBorder="1" applyAlignment="1">
      <alignment horizontal="center" vertical="center"/>
    </xf>
    <xf numFmtId="177" fontId="1" fillId="0" borderId="9" xfId="0" applyNumberFormat="1" applyFont="1" applyBorder="1" applyAlignment="1">
      <alignment horizontal="center" vertical="center"/>
    </xf>
    <xf numFmtId="1" fontId="1" fillId="0" borderId="9" xfId="0" applyNumberFormat="1" applyFont="1" applyBorder="1" applyAlignment="1">
      <alignment horizontal="left" vertical="center"/>
    </xf>
    <xf numFmtId="171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168" fontId="1" fillId="0" borderId="9" xfId="0" applyNumberFormat="1" applyFont="1" applyBorder="1" applyAlignment="1">
      <alignment vertical="center"/>
    </xf>
    <xf numFmtId="0" fontId="5" fillId="7" borderId="9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vertical="center"/>
    </xf>
    <xf numFmtId="2" fontId="1" fillId="0" borderId="9" xfId="0" applyNumberFormat="1" applyFont="1" applyBorder="1" applyAlignment="1">
      <alignment horizontal="center" vertical="center"/>
    </xf>
    <xf numFmtId="0" fontId="1" fillId="5" borderId="9" xfId="0" applyFont="1" applyFill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1" fontId="1" fillId="0" borderId="9" xfId="0" applyNumberFormat="1" applyFont="1" applyBorder="1" applyAlignment="1">
      <alignment horizontal="center" vertical="center"/>
    </xf>
    <xf numFmtId="0" fontId="1" fillId="5" borderId="9" xfId="0" applyFont="1" applyFill="1" applyBorder="1" applyAlignment="1">
      <alignment horizontal="left" vertical="center" wrapText="1"/>
    </xf>
    <xf numFmtId="175" fontId="1" fillId="5" borderId="9" xfId="0" applyNumberFormat="1" applyFont="1" applyFill="1" applyBorder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2" fontId="1" fillId="3" borderId="0" xfId="0" applyNumberFormat="1" applyFont="1" applyFill="1" applyAlignment="1">
      <alignment vertical="center"/>
    </xf>
    <xf numFmtId="1" fontId="1" fillId="3" borderId="0" xfId="0" applyNumberFormat="1" applyFont="1" applyFill="1" applyAlignment="1">
      <alignment horizontal="left" vertical="center"/>
    </xf>
    <xf numFmtId="180" fontId="1" fillId="0" borderId="9" xfId="0" applyNumberFormat="1" applyFont="1" applyBorder="1" applyAlignment="1">
      <alignment horizontal="center" vertical="center"/>
    </xf>
    <xf numFmtId="181" fontId="1" fillId="0" borderId="9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10" borderId="9" xfId="0" applyFont="1" applyFill="1" applyBorder="1" applyAlignment="1">
      <alignment horizontal="center" vertical="center"/>
    </xf>
    <xf numFmtId="1" fontId="1" fillId="10" borderId="9" xfId="0" applyNumberFormat="1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left" vertical="center"/>
    </xf>
    <xf numFmtId="186" fontId="1" fillId="10" borderId="9" xfId="0" applyNumberFormat="1" applyFont="1" applyFill="1" applyBorder="1" applyAlignment="1">
      <alignment horizontal="center" vertical="center"/>
    </xf>
    <xf numFmtId="172" fontId="1" fillId="10" borderId="9" xfId="0" applyNumberFormat="1" applyFont="1" applyFill="1" applyBorder="1" applyAlignment="1">
      <alignment horizontal="center" vertical="center"/>
    </xf>
    <xf numFmtId="174" fontId="1" fillId="0" borderId="9" xfId="0" applyNumberFormat="1" applyFont="1" applyBorder="1" applyAlignment="1">
      <alignment horizontal="center" vertical="center"/>
    </xf>
    <xf numFmtId="173" fontId="1" fillId="0" borderId="9" xfId="0" applyNumberFormat="1" applyFont="1" applyBorder="1" applyAlignment="1">
      <alignment horizontal="center" vertical="center"/>
    </xf>
    <xf numFmtId="175" fontId="1" fillId="5" borderId="9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166" fontId="1" fillId="0" borderId="11" xfId="0" applyNumberFormat="1" applyFont="1" applyBorder="1" applyAlignment="1">
      <alignment horizontal="center" vertical="center"/>
    </xf>
    <xf numFmtId="179" fontId="1" fillId="0" borderId="11" xfId="0" applyNumberFormat="1" applyFont="1" applyBorder="1" applyAlignment="1">
      <alignment horizontal="center" vertical="center"/>
    </xf>
    <xf numFmtId="174" fontId="1" fillId="10" borderId="9" xfId="0" applyNumberFormat="1" applyFont="1" applyFill="1" applyBorder="1" applyAlignment="1">
      <alignment horizontal="center" vertical="center"/>
    </xf>
    <xf numFmtId="173" fontId="1" fillId="10" borderId="9" xfId="0" applyNumberFormat="1" applyFont="1" applyFill="1" applyBorder="1" applyAlignment="1">
      <alignment horizontal="center" vertical="center"/>
    </xf>
    <xf numFmtId="175" fontId="1" fillId="10" borderId="9" xfId="0" applyNumberFormat="1" applyFont="1" applyFill="1" applyBorder="1" applyAlignment="1">
      <alignment horizontal="center" vertical="center"/>
    </xf>
    <xf numFmtId="182" fontId="5" fillId="3" borderId="0" xfId="0" applyNumberFormat="1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10" borderId="9" xfId="0" applyFont="1" applyFill="1" applyBorder="1" applyAlignment="1">
      <alignment vertical="center" wrapText="1"/>
    </xf>
    <xf numFmtId="164" fontId="1" fillId="10" borderId="9" xfId="0" applyNumberFormat="1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center" vertical="center" wrapText="1"/>
    </xf>
    <xf numFmtId="2" fontId="1" fillId="10" borderId="9" xfId="0" applyNumberFormat="1" applyFont="1" applyFill="1" applyBorder="1" applyAlignment="1">
      <alignment horizontal="center" vertical="center" wrapText="1"/>
    </xf>
    <xf numFmtId="2" fontId="1" fillId="10" borderId="9" xfId="0" applyNumberFormat="1" applyFont="1" applyFill="1" applyBorder="1" applyAlignment="1">
      <alignment horizontal="center" vertical="center"/>
    </xf>
    <xf numFmtId="173" fontId="1" fillId="5" borderId="9" xfId="0" applyNumberFormat="1" applyFont="1" applyFill="1" applyBorder="1" applyAlignment="1">
      <alignment horizontal="center" vertical="center"/>
    </xf>
    <xf numFmtId="174" fontId="1" fillId="5" borderId="9" xfId="0" applyNumberFormat="1" applyFont="1" applyFill="1" applyBorder="1" applyAlignment="1">
      <alignment horizontal="center" vertical="center"/>
    </xf>
    <xf numFmtId="171" fontId="1" fillId="5" borderId="9" xfId="0" applyNumberFormat="1" applyFont="1" applyFill="1" applyBorder="1" applyAlignment="1">
      <alignment horizontal="center" vertical="center"/>
    </xf>
    <xf numFmtId="178" fontId="1" fillId="5" borderId="9" xfId="0" applyNumberFormat="1" applyFont="1" applyFill="1" applyBorder="1" applyAlignment="1">
      <alignment horizontal="center" vertical="center"/>
    </xf>
    <xf numFmtId="176" fontId="1" fillId="5" borderId="9" xfId="0" applyNumberFormat="1" applyFont="1" applyFill="1" applyBorder="1" applyAlignment="1">
      <alignment horizontal="center" vertical="center"/>
    </xf>
    <xf numFmtId="0" fontId="5" fillId="0" borderId="9" xfId="0" applyFont="1" applyBorder="1"/>
    <xf numFmtId="0" fontId="5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left"/>
    </xf>
    <xf numFmtId="185" fontId="1" fillId="3" borderId="9" xfId="0" applyNumberFormat="1" applyFont="1" applyFill="1" applyBorder="1" applyAlignment="1">
      <alignment horizontal="right"/>
    </xf>
    <xf numFmtId="165" fontId="1" fillId="0" borderId="9" xfId="0" applyNumberFormat="1" applyFont="1" applyBorder="1" applyAlignment="1">
      <alignment horizontal="center"/>
    </xf>
    <xf numFmtId="9" fontId="1" fillId="0" borderId="9" xfId="1" applyFont="1" applyBorder="1" applyAlignment="1">
      <alignment horizontal="center"/>
    </xf>
    <xf numFmtId="2" fontId="1" fillId="3" borderId="9" xfId="0" applyNumberFormat="1" applyFont="1" applyFill="1" applyBorder="1" applyAlignment="1">
      <alignment horizontal="center"/>
    </xf>
    <xf numFmtId="0" fontId="1" fillId="10" borderId="9" xfId="0" applyFont="1" applyFill="1" applyBorder="1" applyAlignment="1">
      <alignment horizontal="center"/>
    </xf>
    <xf numFmtId="0" fontId="1" fillId="10" borderId="9" xfId="0" applyFont="1" applyFill="1" applyBorder="1" applyAlignment="1">
      <alignment horizontal="left" vertical="center" wrapText="1"/>
    </xf>
    <xf numFmtId="2" fontId="1" fillId="10" borderId="9" xfId="0" applyNumberFormat="1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188" fontId="1" fillId="0" borderId="9" xfId="0" applyNumberFormat="1" applyFont="1" applyBorder="1" applyAlignment="1">
      <alignment horizontal="center" vertical="center" wrapText="1"/>
    </xf>
    <xf numFmtId="189" fontId="1" fillId="3" borderId="9" xfId="0" applyNumberFormat="1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1" fillId="3" borderId="14" xfId="0" applyFont="1" applyFill="1" applyBorder="1"/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3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1" xfId="0" applyFont="1" applyFill="1" applyBorder="1"/>
    <xf numFmtId="0" fontId="1" fillId="3" borderId="11" xfId="0" applyFont="1" applyFill="1" applyBorder="1" applyAlignment="1">
      <alignment horizontal="center"/>
    </xf>
    <xf numFmtId="0" fontId="7" fillId="3" borderId="16" xfId="0" applyFont="1" applyFill="1" applyBorder="1"/>
    <xf numFmtId="0" fontId="5" fillId="3" borderId="16" xfId="0" applyFont="1" applyFill="1" applyBorder="1" applyAlignment="1">
      <alignment horizontal="center"/>
    </xf>
    <xf numFmtId="44" fontId="1" fillId="3" borderId="0" xfId="2" applyFont="1" applyFill="1" applyAlignment="1">
      <alignment wrapText="1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1" fontId="5" fillId="3" borderId="9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left" vertical="center" wrapText="1"/>
    </xf>
    <xf numFmtId="0" fontId="1" fillId="5" borderId="13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187" fontId="5" fillId="3" borderId="9" xfId="0" applyNumberFormat="1" applyFont="1" applyFill="1" applyBorder="1" applyAlignment="1">
      <alignment horizontal="center" vertical="center"/>
    </xf>
    <xf numFmtId="183" fontId="5" fillId="3" borderId="11" xfId="0" applyNumberFormat="1" applyFont="1" applyFill="1" applyBorder="1" applyAlignment="1">
      <alignment horizontal="center" vertical="center" wrapText="1"/>
    </xf>
    <xf numFmtId="183" fontId="5" fillId="3" borderId="12" xfId="0" applyNumberFormat="1" applyFont="1" applyFill="1" applyBorder="1" applyAlignment="1">
      <alignment horizontal="center" vertical="center" wrapText="1"/>
    </xf>
    <xf numFmtId="183" fontId="5" fillId="3" borderId="13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0" fontId="5" fillId="8" borderId="8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/>
    </xf>
    <xf numFmtId="0" fontId="1" fillId="10" borderId="9" xfId="0" applyFont="1" applyFill="1" applyBorder="1" applyAlignment="1">
      <alignment horizontal="left" vertical="center" wrapText="1"/>
    </xf>
    <xf numFmtId="0" fontId="1" fillId="10" borderId="9" xfId="0" applyFont="1" applyFill="1" applyBorder="1" applyAlignment="1">
      <alignment horizontal="center" vertical="center"/>
    </xf>
    <xf numFmtId="0" fontId="1" fillId="10" borderId="11" xfId="0" applyFont="1" applyFill="1" applyBorder="1" applyAlignment="1">
      <alignment horizontal="left" vertical="center" wrapText="1"/>
    </xf>
    <xf numFmtId="0" fontId="1" fillId="10" borderId="13" xfId="0" applyFont="1" applyFill="1" applyBorder="1" applyAlignment="1">
      <alignment horizontal="left" vertical="center" wrapText="1"/>
    </xf>
    <xf numFmtId="0" fontId="1" fillId="10" borderId="11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/>
    </xf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95955</xdr:colOff>
      <xdr:row>2</xdr:row>
      <xdr:rowOff>11993</xdr:rowOff>
    </xdr:from>
    <xdr:to>
      <xdr:col>6</xdr:col>
      <xdr:colOff>85940</xdr:colOff>
      <xdr:row>8</xdr:row>
      <xdr:rowOff>171978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48B6835-9D1D-A830-2C22-8F8AE1986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0511" y="378882"/>
          <a:ext cx="3912873" cy="1356785"/>
        </a:xfrm>
        <a:prstGeom prst="rect">
          <a:avLst/>
        </a:prstGeom>
      </xdr:spPr>
    </xdr:pic>
    <xdr:clientData/>
  </xdr:twoCellAnchor>
  <xdr:twoCellAnchor editAs="oneCell">
    <xdr:from>
      <xdr:col>2</xdr:col>
      <xdr:colOff>393699</xdr:colOff>
      <xdr:row>12</xdr:row>
      <xdr:rowOff>17687</xdr:rowOff>
    </xdr:from>
    <xdr:to>
      <xdr:col>5</xdr:col>
      <xdr:colOff>354477</xdr:colOff>
      <xdr:row>16</xdr:row>
      <xdr:rowOff>154340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4AFFF96-2EEB-419C-8AAB-732716E957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45449" b="56762"/>
        <a:stretch/>
      </xdr:blipFill>
      <xdr:spPr>
        <a:xfrm>
          <a:off x="1593143" y="2219020"/>
          <a:ext cx="2246778" cy="934813"/>
        </a:xfrm>
        <a:prstGeom prst="rect">
          <a:avLst/>
        </a:prstGeom>
      </xdr:spPr>
    </xdr:pic>
    <xdr:clientData/>
  </xdr:twoCellAnchor>
  <xdr:twoCellAnchor editAs="oneCell">
    <xdr:from>
      <xdr:col>3</xdr:col>
      <xdr:colOff>470605</xdr:colOff>
      <xdr:row>16</xdr:row>
      <xdr:rowOff>120079</xdr:rowOff>
    </xdr:from>
    <xdr:to>
      <xdr:col>6</xdr:col>
      <xdr:colOff>83255</xdr:colOff>
      <xdr:row>19</xdr:row>
      <xdr:rowOff>192434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C8D1EED-6D4C-4D92-A819-545CE0766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432049" y="3055190"/>
          <a:ext cx="1898650" cy="718819"/>
        </a:xfrm>
        <a:prstGeom prst="rect">
          <a:avLst/>
        </a:prstGeom>
      </xdr:spPr>
    </xdr:pic>
    <xdr:clientData/>
  </xdr:twoCellAnchor>
  <xdr:twoCellAnchor editAs="oneCell">
    <xdr:from>
      <xdr:col>1</xdr:col>
      <xdr:colOff>91722</xdr:colOff>
      <xdr:row>16</xdr:row>
      <xdr:rowOff>77612</xdr:rowOff>
    </xdr:from>
    <xdr:to>
      <xdr:col>3</xdr:col>
      <xdr:colOff>339372</xdr:colOff>
      <xdr:row>19</xdr:row>
      <xdr:rowOff>156738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6AF641A-0C06-474C-90D3-18680C1482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38878"/>
        <a:stretch/>
      </xdr:blipFill>
      <xdr:spPr>
        <a:xfrm>
          <a:off x="416278" y="3012723"/>
          <a:ext cx="1884538" cy="7255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198210</xdr:colOff>
      <xdr:row>8</xdr:row>
      <xdr:rowOff>63046</xdr:rowOff>
    </xdr:from>
    <xdr:ext cx="756361" cy="31694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CB99C082-46CB-4CD3-A2EF-5546EAA09422}"/>
                </a:ext>
              </a:extLst>
            </xdr:cNvPr>
            <xdr:cNvSpPr txBox="1"/>
          </xdr:nvSpPr>
          <xdr:spPr>
            <a:xfrm>
              <a:off x="3106510" y="2234746"/>
              <a:ext cx="756361" cy="3169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𝑄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 </m:t>
                    </m:r>
                    <m:f>
                      <m:fPr>
                        <m:ctrlPr>
                          <a:rPr lang="es-E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s-CO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𝐻</m:t>
                        </m:r>
                        <m:r>
                          <a:rPr lang="es-CO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</m:t>
                        </m:r>
                        <m:r>
                          <a:rPr lang="es-CO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𝐷𝑝</m:t>
                        </m:r>
                      </m:num>
                      <m:den>
                        <m:r>
                          <a:rPr lang="es-CO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𝑇𝑣</m:t>
                        </m:r>
                      </m:den>
                    </m:f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CB99C082-46CB-4CD3-A2EF-5546EAA09422}"/>
                </a:ext>
              </a:extLst>
            </xdr:cNvPr>
            <xdr:cNvSpPr txBox="1"/>
          </xdr:nvSpPr>
          <xdr:spPr>
            <a:xfrm>
              <a:off x="3106510" y="2234746"/>
              <a:ext cx="756361" cy="31694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𝑄= </a:t>
              </a:r>
              <a:r>
                <a:rPr lang="es-CO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es-E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s-CO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𝐻∗𝐷𝑝</a:t>
              </a:r>
              <a:r>
                <a:rPr lang="es-E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</a:t>
              </a:r>
              <a:r>
                <a:rPr lang="es-CO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𝑇𝑣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2</xdr:col>
      <xdr:colOff>141061</xdr:colOff>
      <xdr:row>11</xdr:row>
      <xdr:rowOff>77561</xdr:rowOff>
    </xdr:from>
    <xdr:ext cx="687239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81113BF0-42E5-4751-95E2-42EF87A4CD0E}"/>
                </a:ext>
              </a:extLst>
            </xdr:cNvPr>
            <xdr:cNvSpPr txBox="1"/>
          </xdr:nvSpPr>
          <xdr:spPr>
            <a:xfrm>
              <a:off x="3049361" y="3436711"/>
              <a:ext cx="687239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𝑄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r>
                      <a:rPr lang="es-CO" sz="1100" b="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𝑇𝑟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81113BF0-42E5-4751-95E2-42EF87A4CD0E}"/>
                </a:ext>
              </a:extLst>
            </xdr:cNvPr>
            <xdr:cNvSpPr txBox="1"/>
          </xdr:nvSpPr>
          <xdr:spPr>
            <a:xfrm>
              <a:off x="3049361" y="3436711"/>
              <a:ext cx="687239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𝑉=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𝑄∗𝑇𝑟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2</xdr:col>
      <xdr:colOff>277587</xdr:colOff>
      <xdr:row>13</xdr:row>
      <xdr:rowOff>26914</xdr:rowOff>
    </xdr:from>
    <xdr:ext cx="511230" cy="25943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5EE3328C-0390-46C8-91D7-0B64D928883F}"/>
                </a:ext>
              </a:extLst>
            </xdr:cNvPr>
            <xdr:cNvSpPr txBox="1"/>
          </xdr:nvSpPr>
          <xdr:spPr>
            <a:xfrm>
              <a:off x="3185887" y="3982964"/>
              <a:ext cx="511230" cy="2594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b="0"/>
                <a:t>As</a:t>
              </a:r>
              <a14:m>
                <m:oMath xmlns:m="http://schemas.openxmlformats.org/officeDocument/2006/math">
                  <m:r>
                    <a:rPr lang="es-CO" sz="1100" b="0" i="1">
                      <a:latin typeface="Cambria Math" panose="02040503050406030204" pitchFamily="18" charset="0"/>
                    </a:rPr>
                    <m:t>= </m:t>
                  </m:r>
                  <m:f>
                    <m:fPr>
                      <m:ctrlPr>
                        <a:rPr lang="es-ES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CO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𝑉</m:t>
                      </m:r>
                    </m:num>
                    <m:den>
                      <m:r>
                        <a:rPr lang="es-CO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𝐻𝑒𝑓</m:t>
                      </m:r>
                    </m:den>
                  </m:f>
                </m:oMath>
              </a14:m>
              <a:endParaRPr lang="es-ES" sz="11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5EE3328C-0390-46C8-91D7-0B64D928883F}"/>
                </a:ext>
              </a:extLst>
            </xdr:cNvPr>
            <xdr:cNvSpPr txBox="1"/>
          </xdr:nvSpPr>
          <xdr:spPr>
            <a:xfrm>
              <a:off x="3185887" y="3982964"/>
              <a:ext cx="511230" cy="2594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b="0"/>
                <a:t>As</a:t>
              </a:r>
              <a:r>
                <a:rPr lang="es-CO" sz="1100" b="0" i="0">
                  <a:latin typeface="Cambria Math" panose="02040503050406030204" pitchFamily="18" charset="0"/>
                </a:rPr>
                <a:t>= 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𝑉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𝐻𝑒𝑓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2</xdr:col>
      <xdr:colOff>247650</xdr:colOff>
      <xdr:row>16</xdr:row>
      <xdr:rowOff>53521</xdr:rowOff>
    </xdr:from>
    <xdr:ext cx="573234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5CADD2B6-11F2-4481-BBE9-0E6018CEEC9F}"/>
                </a:ext>
              </a:extLst>
            </xdr:cNvPr>
            <xdr:cNvSpPr txBox="1"/>
          </xdr:nvSpPr>
          <xdr:spPr>
            <a:xfrm>
              <a:off x="3155950" y="4784271"/>
              <a:ext cx="573234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b="0" i="0">
                  <a:latin typeface="+mn-lt"/>
                </a:rPr>
                <a:t>L</a:t>
              </a:r>
              <a14:m>
                <m:oMath xmlns:m="http://schemas.openxmlformats.org/officeDocument/2006/math">
                  <m:r>
                    <a:rPr lang="es-CO" sz="1100" b="0" i="1">
                      <a:latin typeface="Cambria Math" panose="02040503050406030204" pitchFamily="18" charset="0"/>
                    </a:rPr>
                    <m:t>=</m:t>
                  </m:r>
                  <m:r>
                    <a:rPr lang="es-CO" sz="1100" b="0" i="1">
                      <a:latin typeface="Cambria Math" panose="02040503050406030204" pitchFamily="18" charset="0"/>
                    </a:rPr>
                    <m:t>𝑅</m:t>
                  </m:r>
                  <m:r>
                    <a:rPr lang="es-CO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∗</m:t>
                  </m:r>
                  <m:r>
                    <a:rPr lang="es-CO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𝑊</m:t>
                  </m:r>
                </m:oMath>
              </a14:m>
              <a:endParaRPr lang="es-ES" sz="1100"/>
            </a:p>
          </xdr:txBody>
        </xdr:sp>
      </mc:Choice>
      <mc:Fallback xmlns="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5CADD2B6-11F2-4481-BBE9-0E6018CEEC9F}"/>
                </a:ext>
              </a:extLst>
            </xdr:cNvPr>
            <xdr:cNvSpPr txBox="1"/>
          </xdr:nvSpPr>
          <xdr:spPr>
            <a:xfrm>
              <a:off x="3155950" y="4784271"/>
              <a:ext cx="573234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b="0" i="0">
                  <a:latin typeface="+mn-lt"/>
                </a:rPr>
                <a:t>L</a:t>
              </a:r>
              <a:r>
                <a:rPr lang="es-CO" sz="1100" b="0" i="0">
                  <a:latin typeface="Cambria Math" panose="02040503050406030204" pitchFamily="18" charset="0"/>
                </a:rPr>
                <a:t>=𝑅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∗𝑊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2</xdr:col>
      <xdr:colOff>179916</xdr:colOff>
      <xdr:row>15</xdr:row>
      <xdr:rowOff>31750</xdr:rowOff>
    </xdr:from>
    <xdr:ext cx="805926" cy="20499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72F602F6-711B-44AC-8F37-B68A9EDFCEF6}"/>
                </a:ext>
              </a:extLst>
            </xdr:cNvPr>
            <xdr:cNvSpPr txBox="1"/>
          </xdr:nvSpPr>
          <xdr:spPr>
            <a:xfrm>
              <a:off x="3088216" y="4476750"/>
              <a:ext cx="805926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𝑊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𝐴𝑠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/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</m:rad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72F602F6-711B-44AC-8F37-B68A9EDFCEF6}"/>
                </a:ext>
              </a:extLst>
            </xdr:cNvPr>
            <xdr:cNvSpPr txBox="1"/>
          </xdr:nvSpPr>
          <xdr:spPr>
            <a:xfrm>
              <a:off x="3088216" y="4476750"/>
              <a:ext cx="805926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𝑊= √(𝐴𝑠/𝑅)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7</xdr:col>
      <xdr:colOff>229809</xdr:colOff>
      <xdr:row>12</xdr:row>
      <xdr:rowOff>64508</xdr:rowOff>
    </xdr:from>
    <xdr:ext cx="774699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A716B272-ABDE-494E-99E5-5A298B1AA879}"/>
                </a:ext>
              </a:extLst>
            </xdr:cNvPr>
            <xdr:cNvSpPr txBox="1"/>
          </xdr:nvSpPr>
          <xdr:spPr>
            <a:xfrm>
              <a:off x="9704009" y="616958"/>
              <a:ext cx="774699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𝐴𝑠</m:t>
                        </m:r>
                      </m:e>
                      <m:sub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b>
                    </m:sSub>
                    <m:r>
                      <a:rPr lang="es-CO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𝑊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∗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𝐿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7" name="CuadroTexto 6">
              <a:extLst>
                <a:ext uri="{FF2B5EF4-FFF2-40B4-BE49-F238E27FC236}">
                  <a16:creationId xmlns:a16="http://schemas.microsoft.com/office/drawing/2014/main" id="{A716B272-ABDE-494E-99E5-5A298B1AA879}"/>
                </a:ext>
              </a:extLst>
            </xdr:cNvPr>
            <xdr:cNvSpPr txBox="1"/>
          </xdr:nvSpPr>
          <xdr:spPr>
            <a:xfrm>
              <a:off x="9704009" y="616958"/>
              <a:ext cx="774699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〖𝐴𝑠〗_2=𝑊∗𝐿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7</xdr:col>
      <xdr:colOff>321532</xdr:colOff>
      <xdr:row>14</xdr:row>
      <xdr:rowOff>103941</xdr:rowOff>
    </xdr:from>
    <xdr:ext cx="483659" cy="2578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BB187CAB-4167-4A46-8FA8-366A11A04789}"/>
                </a:ext>
              </a:extLst>
            </xdr:cNvPr>
            <xdr:cNvSpPr txBox="1"/>
          </xdr:nvSpPr>
          <xdr:spPr>
            <a:xfrm>
              <a:off x="9798907" y="3763129"/>
              <a:ext cx="483659" cy="2578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b="0" i="0">
                  <a:latin typeface="+mn-lt"/>
                </a:rPr>
                <a:t>Tr2</a:t>
              </a:r>
              <a14:m>
                <m:oMath xmlns:m="http://schemas.openxmlformats.org/officeDocument/2006/math">
                  <m:r>
                    <a:rPr lang="es-CO" sz="1100" b="0" i="1">
                      <a:latin typeface="Cambria Math" panose="02040503050406030204" pitchFamily="18" charset="0"/>
                    </a:rPr>
                    <m:t>= </m:t>
                  </m:r>
                  <m:f>
                    <m:fPr>
                      <m:ctrlPr>
                        <a:rPr lang="es-ES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CO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𝑉</m:t>
                      </m:r>
                      <m:r>
                        <a:rPr lang="es-CO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num>
                    <m:den>
                      <m:r>
                        <a:rPr lang="es-CO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𝑄</m:t>
                      </m:r>
                    </m:den>
                  </m:f>
                </m:oMath>
              </a14:m>
              <a:endParaRPr lang="es-ES" sz="1100"/>
            </a:p>
          </xdr:txBody>
        </xdr:sp>
      </mc:Choice>
      <mc:Fallback xmlns="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BB187CAB-4167-4A46-8FA8-366A11A04789}"/>
                </a:ext>
              </a:extLst>
            </xdr:cNvPr>
            <xdr:cNvSpPr txBox="1"/>
          </xdr:nvSpPr>
          <xdr:spPr>
            <a:xfrm>
              <a:off x="9798907" y="3763129"/>
              <a:ext cx="483659" cy="2578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b="0" i="0">
                  <a:latin typeface="+mn-lt"/>
                </a:rPr>
                <a:t>Tr2</a:t>
              </a:r>
              <a:r>
                <a:rPr lang="es-CO" sz="1100" b="0" i="0">
                  <a:latin typeface="Cambria Math" panose="02040503050406030204" pitchFamily="18" charset="0"/>
                </a:rPr>
                <a:t>= 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𝑉2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𝑄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7</xdr:col>
      <xdr:colOff>104827</xdr:colOff>
      <xdr:row>13</xdr:row>
      <xdr:rowOff>102810</xdr:rowOff>
    </xdr:from>
    <xdr:ext cx="1068178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82E621AB-127C-4071-95A8-2253B9CEBAAD}"/>
                </a:ext>
              </a:extLst>
            </xdr:cNvPr>
            <xdr:cNvSpPr txBox="1"/>
          </xdr:nvSpPr>
          <xdr:spPr>
            <a:xfrm>
              <a:off x="9579027" y="1023560"/>
              <a:ext cx="1068178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2=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𝐴𝑠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2∗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𝐻𝑒𝑓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2</m:t>
                    </m:r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9" name="CuadroTexto 8">
              <a:extLst>
                <a:ext uri="{FF2B5EF4-FFF2-40B4-BE49-F238E27FC236}">
                  <a16:creationId xmlns:a16="http://schemas.microsoft.com/office/drawing/2014/main" id="{82E621AB-127C-4071-95A8-2253B9CEBAAD}"/>
                </a:ext>
              </a:extLst>
            </xdr:cNvPr>
            <xdr:cNvSpPr txBox="1"/>
          </xdr:nvSpPr>
          <xdr:spPr>
            <a:xfrm>
              <a:off x="9579027" y="1023560"/>
              <a:ext cx="1068178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𝑉2=𝐴𝑠2∗𝐻𝑒𝑓2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7</xdr:col>
      <xdr:colOff>339674</xdr:colOff>
      <xdr:row>16</xdr:row>
      <xdr:rowOff>66523</xdr:rowOff>
    </xdr:from>
    <xdr:ext cx="504754" cy="35076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4C7A1403-993D-4234-8F08-4D6B6090BDCF}"/>
                </a:ext>
              </a:extLst>
            </xdr:cNvPr>
            <xdr:cNvSpPr txBox="1"/>
          </xdr:nvSpPr>
          <xdr:spPr>
            <a:xfrm>
              <a:off x="9813874" y="1698473"/>
              <a:ext cx="504754" cy="3507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CO" sz="1100" b="0" i="0">
                  <a:latin typeface="+mn-lt"/>
                </a:rPr>
                <a:t>So</a:t>
              </a:r>
              <a14:m>
                <m:oMath xmlns:m="http://schemas.openxmlformats.org/officeDocument/2006/math">
                  <m:r>
                    <a:rPr lang="es-CO" sz="1100" b="0" i="1">
                      <a:latin typeface="Cambria Math" panose="02040503050406030204" pitchFamily="18" charset="0"/>
                    </a:rPr>
                    <m:t>= </m:t>
                  </m:r>
                  <m:f>
                    <m:fPr>
                      <m:ctrlPr>
                        <a:rPr lang="es-ES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es-CO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𝑄</m:t>
                      </m:r>
                    </m:num>
                    <m:den>
                      <m:r>
                        <a:rPr lang="es-CO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𝐴𝑆</m:t>
                      </m:r>
                      <m:r>
                        <a:rPr lang="es-CO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den>
                  </m:f>
                </m:oMath>
              </a14:m>
              <a:endParaRPr lang="es-ES" sz="1100"/>
            </a:p>
          </xdr:txBody>
        </xdr:sp>
      </mc:Choice>
      <mc:Fallback xmlns="">
        <xdr:sp macro="" textlink="">
          <xdr:nvSpPr>
            <xdr:cNvPr id="10" name="CuadroTexto 9">
              <a:extLst>
                <a:ext uri="{FF2B5EF4-FFF2-40B4-BE49-F238E27FC236}">
                  <a16:creationId xmlns:a16="http://schemas.microsoft.com/office/drawing/2014/main" id="{4C7A1403-993D-4234-8F08-4D6B6090BDCF}"/>
                </a:ext>
              </a:extLst>
            </xdr:cNvPr>
            <xdr:cNvSpPr txBox="1"/>
          </xdr:nvSpPr>
          <xdr:spPr>
            <a:xfrm>
              <a:off x="9813874" y="1698473"/>
              <a:ext cx="504754" cy="35076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es-CO" sz="1100" b="0" i="0">
                  <a:latin typeface="+mn-lt"/>
                </a:rPr>
                <a:t>So</a:t>
              </a:r>
              <a:r>
                <a:rPr lang="es-CO" sz="1100" b="0" i="0">
                  <a:latin typeface="Cambria Math" panose="02040503050406030204" pitchFamily="18" charset="0"/>
                </a:rPr>
                <a:t>= 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𝑄</a:t>
              </a:r>
              <a:r>
                <a:rPr lang="es-ES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/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𝐴𝑆2</a:t>
              </a:r>
              <a:endParaRPr lang="es-ES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226938</xdr:colOff>
      <xdr:row>12</xdr:row>
      <xdr:rowOff>22830</xdr:rowOff>
    </xdr:from>
    <xdr:ext cx="743409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2FF122B0-A0CF-4C83-B108-872C5C0AD951}"/>
                </a:ext>
              </a:extLst>
            </xdr:cNvPr>
            <xdr:cNvSpPr txBox="1"/>
          </xdr:nvSpPr>
          <xdr:spPr>
            <a:xfrm>
              <a:off x="2685295" y="2825901"/>
              <a:ext cx="743409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b="0"/>
                <a:t>V</a:t>
              </a:r>
              <a:r>
                <a:rPr lang="es-CO" sz="1100" b="0" baseline="0"/>
                <a:t> </a:t>
              </a:r>
              <a14:m>
                <m:oMath xmlns:m="http://schemas.openxmlformats.org/officeDocument/2006/math">
                  <m:r>
                    <a:rPr lang="es-CO" sz="1100" b="0" i="1">
                      <a:latin typeface="Cambria Math" panose="02040503050406030204" pitchFamily="18" charset="0"/>
                    </a:rPr>
                    <m:t>=</m:t>
                  </m:r>
                  <m:r>
                    <a:rPr lang="es-CO" sz="1100" b="0" i="1">
                      <a:latin typeface="Cambria Math" panose="02040503050406030204" pitchFamily="18" charset="0"/>
                    </a:rPr>
                    <m:t>𝑄𝑑</m:t>
                  </m:r>
                  <m:r>
                    <a:rPr lang="es-CO" sz="1100" b="0" i="1">
                      <a:latin typeface="Cambria Math" panose="02040503050406030204" pitchFamily="18" charset="0"/>
                    </a:rPr>
                    <m:t> ∗</m:t>
                  </m:r>
                  <m:r>
                    <a:rPr lang="es-CO" sz="1100" b="0" i="1">
                      <a:latin typeface="Cambria Math" panose="02040503050406030204" pitchFamily="18" charset="0"/>
                    </a:rPr>
                    <m:t>𝑇𝑟</m:t>
                  </m:r>
                </m:oMath>
              </a14:m>
              <a:endParaRPr lang="es-ES" sz="1100"/>
            </a:p>
          </xdr:txBody>
        </xdr:sp>
      </mc:Choice>
      <mc:Fallback xmlns="">
        <xdr:sp macro="" textlink="">
          <xdr:nvSpPr>
            <xdr:cNvPr id="4" name="CuadroTexto 3">
              <a:extLst>
                <a:ext uri="{FF2B5EF4-FFF2-40B4-BE49-F238E27FC236}">
                  <a16:creationId xmlns:a16="http://schemas.microsoft.com/office/drawing/2014/main" id="{2FF122B0-A0CF-4C83-B108-872C5C0AD951}"/>
                </a:ext>
              </a:extLst>
            </xdr:cNvPr>
            <xdr:cNvSpPr txBox="1"/>
          </xdr:nvSpPr>
          <xdr:spPr>
            <a:xfrm>
              <a:off x="2685295" y="2825901"/>
              <a:ext cx="743409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s-CO" sz="1100" b="0"/>
                <a:t>V</a:t>
              </a:r>
              <a:r>
                <a:rPr lang="es-CO" sz="1100" b="0" baseline="0"/>
                <a:t> </a:t>
              </a:r>
              <a:r>
                <a:rPr lang="es-CO" sz="1100" b="0" i="0">
                  <a:latin typeface="Cambria Math" panose="02040503050406030204" pitchFamily="18" charset="0"/>
                </a:rPr>
                <a:t>=𝑄𝑑 ∗𝑇𝑟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3</xdr:col>
      <xdr:colOff>335492</xdr:colOff>
      <xdr:row>13</xdr:row>
      <xdr:rowOff>17991</xdr:rowOff>
    </xdr:from>
    <xdr:ext cx="659342" cy="28309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90D472B3-8C64-4463-AF02-C1022A97B32F}"/>
                </a:ext>
              </a:extLst>
            </xdr:cNvPr>
            <xdr:cNvSpPr txBox="1"/>
          </xdr:nvSpPr>
          <xdr:spPr>
            <a:xfrm>
              <a:off x="2799292" y="3358091"/>
              <a:ext cx="659342" cy="2830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CO" sz="1200" b="0"/>
                <a:t>As</a:t>
              </a:r>
              <a:r>
                <a:rPr lang="es-CO" sz="1200" b="0" baseline="0"/>
                <a:t> = </a:t>
              </a:r>
              <a14:m>
                <m:oMath xmlns:m="http://schemas.openxmlformats.org/officeDocument/2006/math">
                  <m:f>
                    <m:fPr>
                      <m:ctrlPr>
                        <a:rPr lang="es-CO" sz="1200" b="0" i="1" baseline="0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es-CO" sz="1200" b="0" i="1" baseline="0">
                          <a:latin typeface="Cambria Math" panose="02040503050406030204" pitchFamily="18" charset="0"/>
                        </a:rPr>
                        <m:t>𝑉</m:t>
                      </m:r>
                    </m:num>
                    <m:den>
                      <m:r>
                        <a:rPr lang="es-CO" sz="1200" b="0" i="1" baseline="0">
                          <a:latin typeface="Cambria Math" panose="02040503050406030204" pitchFamily="18" charset="0"/>
                        </a:rPr>
                        <m:t>h𝑒𝑓</m:t>
                      </m:r>
                    </m:den>
                  </m:f>
                </m:oMath>
              </a14:m>
              <a:endParaRPr lang="es-ES" sz="1400"/>
            </a:p>
          </xdr:txBody>
        </xdr:sp>
      </mc:Choice>
      <mc:Fallback xmlns="">
        <xdr:sp macro="" textlink="">
          <xdr:nvSpPr>
            <xdr:cNvPr id="5" name="CuadroTexto 4">
              <a:extLst>
                <a:ext uri="{FF2B5EF4-FFF2-40B4-BE49-F238E27FC236}">
                  <a16:creationId xmlns:a16="http://schemas.microsoft.com/office/drawing/2014/main" id="{90D472B3-8C64-4463-AF02-C1022A97B32F}"/>
                </a:ext>
              </a:extLst>
            </xdr:cNvPr>
            <xdr:cNvSpPr txBox="1"/>
          </xdr:nvSpPr>
          <xdr:spPr>
            <a:xfrm>
              <a:off x="2799292" y="3358091"/>
              <a:ext cx="659342" cy="28309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CO" sz="1200" b="0"/>
                <a:t>As</a:t>
              </a:r>
              <a:r>
                <a:rPr lang="es-CO" sz="1200" b="0" baseline="0"/>
                <a:t> = </a:t>
              </a:r>
              <a:r>
                <a:rPr lang="es-CO" sz="1200" b="0" i="0" baseline="0">
                  <a:latin typeface="Cambria Math" panose="02040503050406030204" pitchFamily="18" charset="0"/>
                </a:rPr>
                <a:t>𝑉/ℎ𝑒𝑓</a:t>
              </a:r>
              <a:endParaRPr lang="es-ES" sz="1400"/>
            </a:p>
          </xdr:txBody>
        </xdr:sp>
      </mc:Fallback>
    </mc:AlternateContent>
    <xdr:clientData/>
  </xdr:oneCellAnchor>
  <xdr:oneCellAnchor>
    <xdr:from>
      <xdr:col>3</xdr:col>
      <xdr:colOff>283633</xdr:colOff>
      <xdr:row>16</xdr:row>
      <xdr:rowOff>108555</xdr:rowOff>
    </xdr:from>
    <xdr:ext cx="690033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BB0A0A28-E216-4F45-92A1-040742B871CC}"/>
                </a:ext>
              </a:extLst>
            </xdr:cNvPr>
            <xdr:cNvSpPr txBox="1"/>
          </xdr:nvSpPr>
          <xdr:spPr>
            <a:xfrm>
              <a:off x="2747433" y="4426555"/>
              <a:ext cx="690033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CO" sz="1100" b="0" i="0">
                  <a:latin typeface="+mn-lt"/>
                </a:rPr>
                <a:t>L</a:t>
              </a:r>
              <a14:m>
                <m:oMath xmlns:m="http://schemas.openxmlformats.org/officeDocument/2006/math">
                  <m:r>
                    <a:rPr lang="es-CO" sz="1100" b="0" i="1">
                      <a:latin typeface="Cambria Math" panose="02040503050406030204" pitchFamily="18" charset="0"/>
                    </a:rPr>
                    <m:t>=</m:t>
                  </m:r>
                  <m:r>
                    <a:rPr lang="es-CO" sz="1100" b="0" i="1">
                      <a:latin typeface="Cambria Math" panose="02040503050406030204" pitchFamily="18" charset="0"/>
                    </a:rPr>
                    <m:t>𝑅</m:t>
                  </m:r>
                  <m:r>
                    <a:rPr lang="es-CO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∗</m:t>
                  </m:r>
                  <m:r>
                    <a:rPr lang="es-CO" sz="1100" b="0" i="1">
                      <a:solidFill>
                        <a:schemeClr val="tx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𝑊</m:t>
                  </m:r>
                </m:oMath>
              </a14:m>
              <a:endParaRPr lang="es-ES" sz="1100"/>
            </a:p>
          </xdr:txBody>
        </xdr:sp>
      </mc:Choice>
      <mc:Fallback xmlns="">
        <xdr:sp macro="" textlink="">
          <xdr:nvSpPr>
            <xdr:cNvPr id="6" name="CuadroTexto 5">
              <a:extLst>
                <a:ext uri="{FF2B5EF4-FFF2-40B4-BE49-F238E27FC236}">
                  <a16:creationId xmlns:a16="http://schemas.microsoft.com/office/drawing/2014/main" id="{BB0A0A28-E216-4F45-92A1-040742B871CC}"/>
                </a:ext>
              </a:extLst>
            </xdr:cNvPr>
            <xdr:cNvSpPr txBox="1"/>
          </xdr:nvSpPr>
          <xdr:spPr>
            <a:xfrm>
              <a:off x="2747433" y="4426555"/>
              <a:ext cx="690033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es-CO" sz="1100" b="0" i="0">
                  <a:latin typeface="+mn-lt"/>
                </a:rPr>
                <a:t>L</a:t>
              </a:r>
              <a:r>
                <a:rPr lang="es-CO" sz="1100" b="0" i="0">
                  <a:latin typeface="Cambria Math" panose="02040503050406030204" pitchFamily="18" charset="0"/>
                </a:rPr>
                <a:t>=𝑅</a:t>
              </a:r>
              <a:r>
                <a:rPr lang="es-CO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∗𝑊</a:t>
              </a:r>
              <a:endParaRPr lang="es-ES" sz="1100"/>
            </a:p>
          </xdr:txBody>
        </xdr:sp>
      </mc:Fallback>
    </mc:AlternateContent>
    <xdr:clientData/>
  </xdr:oneCellAnchor>
  <xdr:oneCellAnchor>
    <xdr:from>
      <xdr:col>3</xdr:col>
      <xdr:colOff>987425</xdr:colOff>
      <xdr:row>16</xdr:row>
      <xdr:rowOff>87842</xdr:rowOff>
    </xdr:from>
    <xdr:ext cx="184474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6483F12E-6D78-4F07-BB93-61A4C1A2513C}"/>
            </a:ext>
          </a:extLst>
        </xdr:cNvPr>
        <xdr:cNvSpPr txBox="1"/>
      </xdr:nvSpPr>
      <xdr:spPr>
        <a:xfrm>
          <a:off x="3451225" y="4405842"/>
          <a:ext cx="184474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CO" sz="1100" b="0" i="0" baseline="0">
              <a:latin typeface="+mn-lt"/>
            </a:rPr>
            <a:t>       </a:t>
          </a:r>
          <a:endParaRPr lang="es-ES" sz="1100"/>
        </a:p>
      </xdr:txBody>
    </xdr:sp>
    <xdr:clientData/>
  </xdr:oneCellAnchor>
  <xdr:oneCellAnchor>
    <xdr:from>
      <xdr:col>3</xdr:col>
      <xdr:colOff>288925</xdr:colOff>
      <xdr:row>15</xdr:row>
      <xdr:rowOff>66673</xdr:rowOff>
    </xdr:from>
    <xdr:ext cx="805926" cy="20499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6FF3F4E3-69DC-4879-8C44-D5BC9E8BD73A}"/>
                </a:ext>
              </a:extLst>
            </xdr:cNvPr>
            <xdr:cNvSpPr txBox="1"/>
          </xdr:nvSpPr>
          <xdr:spPr>
            <a:xfrm>
              <a:off x="3432175" y="3887256"/>
              <a:ext cx="805926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CO" sz="1100" b="0" i="1">
                        <a:latin typeface="Cambria Math" panose="02040503050406030204" pitchFamily="18" charset="0"/>
                      </a:rPr>
                      <m:t>𝑊</m:t>
                    </m:r>
                    <m:r>
                      <a:rPr lang="es-CO" sz="1100" b="0" i="1">
                        <a:latin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s-CO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𝐴𝑠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/</m:t>
                        </m:r>
                        <m:r>
                          <a:rPr lang="es-CO" sz="1100" b="0" i="1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</m:rad>
                  </m:oMath>
                </m:oMathPara>
              </a14:m>
              <a:endParaRPr lang="es-ES" sz="1100"/>
            </a:p>
          </xdr:txBody>
        </xdr:sp>
      </mc:Choice>
      <mc:Fallback xmlns="">
        <xdr:sp macro="" textlink="">
          <xdr:nvSpPr>
            <xdr:cNvPr id="8" name="CuadroTexto 7">
              <a:extLst>
                <a:ext uri="{FF2B5EF4-FFF2-40B4-BE49-F238E27FC236}">
                  <a16:creationId xmlns:a16="http://schemas.microsoft.com/office/drawing/2014/main" id="{6FF3F4E3-69DC-4879-8C44-D5BC9E8BD73A}"/>
                </a:ext>
              </a:extLst>
            </xdr:cNvPr>
            <xdr:cNvSpPr txBox="1"/>
          </xdr:nvSpPr>
          <xdr:spPr>
            <a:xfrm>
              <a:off x="3432175" y="3887256"/>
              <a:ext cx="805926" cy="20499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100" b="0" i="0">
                  <a:latin typeface="Cambria Math" panose="02040503050406030204" pitchFamily="18" charset="0"/>
                </a:rPr>
                <a:t>𝑊= √(𝐴𝑠/𝑅)</a:t>
              </a:r>
              <a:endParaRPr lang="es-ES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998583</xdr:colOff>
      <xdr:row>2</xdr:row>
      <xdr:rowOff>160564</xdr:rowOff>
    </xdr:from>
    <xdr:ext cx="168957" cy="185051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9716264E-789D-4E77-BB66-412524D866FB}"/>
                </a:ext>
              </a:extLst>
            </xdr:cNvPr>
            <xdr:cNvSpPr txBox="1"/>
          </xdr:nvSpPr>
          <xdr:spPr>
            <a:xfrm>
              <a:off x="10006511" y="650421"/>
              <a:ext cx="168957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CO" sz="120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s-MX" sz="1200" b="1" i="1">
                            <a:latin typeface="Cambria Math" panose="02040503050406030204" pitchFamily="18" charset="0"/>
                          </a:rPr>
                          <m:t>𝑪</m:t>
                        </m:r>
                        <m:r>
                          <a:rPr lang="es-MX" sz="1200" b="1" i="1">
                            <a:latin typeface="Cambria Math" panose="02040503050406030204" pitchFamily="18" charset="0"/>
                          </a:rPr>
                          <m:t> </m:t>
                        </m:r>
                      </m:e>
                    </m:acc>
                  </m:oMath>
                </m:oMathPara>
              </a14:m>
              <a:endParaRPr lang="es-CO" sz="11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9716264E-789D-4E77-BB66-412524D866FB}"/>
                </a:ext>
              </a:extLst>
            </xdr:cNvPr>
            <xdr:cNvSpPr txBox="1"/>
          </xdr:nvSpPr>
          <xdr:spPr>
            <a:xfrm>
              <a:off x="10006511" y="650421"/>
              <a:ext cx="168957" cy="185051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200" b="1" i="0">
                  <a:latin typeface="Cambria Math" panose="02040503050406030204" pitchFamily="18" charset="0"/>
                </a:rPr>
                <a:t>(</a:t>
              </a:r>
              <a:r>
                <a:rPr lang="es-MX" sz="1200" b="1" i="0">
                  <a:latin typeface="Cambria Math" panose="02040503050406030204" pitchFamily="18" charset="0"/>
                </a:rPr>
                <a:t>𝑪 </a:t>
              </a:r>
              <a:r>
                <a:rPr lang="es-CO" sz="1200" b="1" i="0">
                  <a:latin typeface="Cambria Math" panose="02040503050406030204" pitchFamily="18" charset="0"/>
                </a:rPr>
                <a:t>) ̅</a:t>
              </a:r>
              <a:endParaRPr lang="es-CO" sz="11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  <xdr:oneCellAnchor>
    <xdr:from>
      <xdr:col>6</xdr:col>
      <xdr:colOff>396240</xdr:colOff>
      <xdr:row>2</xdr:row>
      <xdr:rowOff>102870</xdr:rowOff>
    </xdr:from>
    <xdr:ext cx="212238" cy="18921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433436D7-14EF-4824-8E1C-906095521044}"/>
                </a:ext>
              </a:extLst>
            </xdr:cNvPr>
            <xdr:cNvSpPr txBox="1"/>
          </xdr:nvSpPr>
          <xdr:spPr>
            <a:xfrm>
              <a:off x="10068197" y="1414599"/>
              <a:ext cx="212238" cy="1892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acc>
                      <m:accPr>
                        <m:chr m:val="̅"/>
                        <m:ctrlPr>
                          <a:rPr lang="es-CO" sz="1200" b="1" i="1">
                            <a:latin typeface="Cambria Math" panose="02040503050406030204" pitchFamily="18" charset="0"/>
                          </a:rPr>
                        </m:ctrlPr>
                      </m:accPr>
                      <m:e>
                        <m:r>
                          <a:rPr lang="es-MX" sz="1200" b="1" i="1">
                            <a:latin typeface="Cambria Math" panose="02040503050406030204" pitchFamily="18" charset="0"/>
                          </a:rPr>
                          <m:t>𝑳𝒇</m:t>
                        </m:r>
                      </m:e>
                    </m:acc>
                  </m:oMath>
                </m:oMathPara>
              </a14:m>
              <a:endParaRPr lang="es-CO" sz="11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433436D7-14EF-4824-8E1C-906095521044}"/>
                </a:ext>
              </a:extLst>
            </xdr:cNvPr>
            <xdr:cNvSpPr txBox="1"/>
          </xdr:nvSpPr>
          <xdr:spPr>
            <a:xfrm>
              <a:off x="10068197" y="1414599"/>
              <a:ext cx="212238" cy="18921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s-CO" sz="1200" b="1" i="0">
                  <a:latin typeface="Cambria Math" panose="02040503050406030204" pitchFamily="18" charset="0"/>
                </a:rPr>
                <a:t>(</a:t>
              </a:r>
              <a:r>
                <a:rPr lang="es-MX" sz="1200" b="1" i="0">
                  <a:latin typeface="Cambria Math" panose="02040503050406030204" pitchFamily="18" charset="0"/>
                </a:rPr>
                <a:t>𝑳𝒇</a:t>
              </a:r>
              <a:r>
                <a:rPr lang="es-CO" sz="1200" b="1" i="0">
                  <a:latin typeface="Cambria Math" panose="02040503050406030204" pitchFamily="18" charset="0"/>
                </a:rPr>
                <a:t>) ̅</a:t>
              </a:r>
              <a:endParaRPr lang="es-CO" sz="1100" b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81097-52D7-4502-8A9E-BDDFC8293E44}">
  <sheetPr codeName="Hoja2"/>
  <dimension ref="B1:Q23"/>
  <sheetViews>
    <sheetView tabSelected="1" zoomScale="70" zoomScaleNormal="70" workbookViewId="0">
      <selection activeCell="P22" sqref="P22"/>
    </sheetView>
  </sheetViews>
  <sheetFormatPr baseColWidth="10" defaultColWidth="10.90625" defaultRowHeight="15.5" x14ac:dyDescent="0.35"/>
  <cols>
    <col min="1" max="1" width="4.6328125" style="18" customWidth="1"/>
    <col min="2" max="2" width="12.54296875" style="18" customWidth="1"/>
    <col min="3" max="6" width="10.90625" style="18"/>
    <col min="7" max="7" width="4.54296875" style="18" customWidth="1"/>
    <col min="8" max="8" width="3.90625" style="18" customWidth="1"/>
    <col min="9" max="9" width="17.08984375" style="18" customWidth="1"/>
    <col min="10" max="10" width="10.6328125" style="18" customWidth="1"/>
    <col min="11" max="11" width="17.81640625" style="18" customWidth="1"/>
    <col min="12" max="12" width="5.54296875" style="18" customWidth="1"/>
    <col min="13" max="13" width="25.453125" style="18" customWidth="1"/>
    <col min="14" max="14" width="12.26953125" style="18" bestFit="1" customWidth="1"/>
    <col min="15" max="15" width="10.90625" style="18"/>
    <col min="16" max="16" width="31.453125" style="18" bestFit="1" customWidth="1"/>
    <col min="17" max="17" width="14.54296875" style="18" bestFit="1" customWidth="1"/>
    <col min="18" max="16384" width="10.90625" style="18"/>
  </cols>
  <sheetData>
    <row r="1" spans="2:17" ht="5" customHeight="1" x14ac:dyDescent="0.35"/>
    <row r="2" spans="2:17" x14ac:dyDescent="0.4">
      <c r="B2" s="146" t="s">
        <v>0</v>
      </c>
      <c r="C2" s="147"/>
      <c r="D2" s="147"/>
      <c r="E2" s="147"/>
      <c r="F2" s="147"/>
      <c r="G2" s="148"/>
    </row>
    <row r="3" spans="2:17" x14ac:dyDescent="0.4">
      <c r="B3" s="45"/>
      <c r="G3" s="46"/>
      <c r="K3" s="20" t="s">
        <v>3</v>
      </c>
    </row>
    <row r="4" spans="2:17" x14ac:dyDescent="0.4">
      <c r="B4" s="45"/>
      <c r="G4" s="46"/>
      <c r="I4" s="23" t="s">
        <v>1</v>
      </c>
      <c r="J4" s="22">
        <v>2005</v>
      </c>
      <c r="K4" s="22">
        <v>82</v>
      </c>
    </row>
    <row r="5" spans="2:17" x14ac:dyDescent="0.4">
      <c r="B5" s="45"/>
      <c r="G5" s="46"/>
      <c r="I5" s="23" t="s">
        <v>2</v>
      </c>
      <c r="J5" s="22">
        <v>2018</v>
      </c>
      <c r="K5" s="22">
        <v>154</v>
      </c>
    </row>
    <row r="6" spans="2:17" ht="15" x14ac:dyDescent="0.35">
      <c r="B6" s="45"/>
      <c r="G6" s="46"/>
    </row>
    <row r="7" spans="2:17" x14ac:dyDescent="0.35">
      <c r="B7" s="45"/>
      <c r="G7" s="46"/>
      <c r="I7" s="149" t="s">
        <v>6</v>
      </c>
      <c r="J7" s="149"/>
      <c r="K7" s="149"/>
    </row>
    <row r="8" spans="2:17" x14ac:dyDescent="0.35">
      <c r="B8" s="45"/>
      <c r="G8" s="46"/>
      <c r="I8" s="24" t="s">
        <v>4</v>
      </c>
      <c r="J8" s="47">
        <f>(K5+((K5-K4)/(J5-J4))*(2049-J5))</f>
        <v>325.69230769230768</v>
      </c>
      <c r="K8" s="48" t="s">
        <v>3</v>
      </c>
    </row>
    <row r="9" spans="2:17" ht="15" x14ac:dyDescent="0.35">
      <c r="B9" s="45"/>
      <c r="G9" s="46"/>
    </row>
    <row r="10" spans="2:17" x14ac:dyDescent="0.4">
      <c r="B10" s="49"/>
      <c r="C10" s="50"/>
      <c r="D10" s="50"/>
      <c r="E10" s="50"/>
      <c r="F10" s="50"/>
      <c r="G10" s="51"/>
      <c r="M10" s="52" t="s">
        <v>8</v>
      </c>
      <c r="N10" s="52" t="s">
        <v>9</v>
      </c>
      <c r="P10" s="23" t="s">
        <v>12</v>
      </c>
      <c r="Q10" s="23" t="s">
        <v>13</v>
      </c>
    </row>
    <row r="11" spans="2:17" ht="15" x14ac:dyDescent="0.35">
      <c r="M11" s="19" t="s">
        <v>10</v>
      </c>
      <c r="N11" s="53">
        <f>J8</f>
        <v>325.69230769230768</v>
      </c>
      <c r="P11" s="19" t="s">
        <v>14</v>
      </c>
      <c r="Q11" s="53">
        <f>N13</f>
        <v>508.92602034094261</v>
      </c>
    </row>
    <row r="12" spans="2:17" x14ac:dyDescent="0.4">
      <c r="B12" s="146" t="s">
        <v>5</v>
      </c>
      <c r="C12" s="147"/>
      <c r="D12" s="147"/>
      <c r="E12" s="147"/>
      <c r="F12" s="147"/>
      <c r="G12" s="148"/>
      <c r="M12" s="19" t="s">
        <v>5</v>
      </c>
      <c r="N12" s="53">
        <f>J18</f>
        <v>692.15973298957761</v>
      </c>
      <c r="P12" s="19" t="s">
        <v>15</v>
      </c>
      <c r="Q12" s="22">
        <v>30</v>
      </c>
    </row>
    <row r="13" spans="2:17" x14ac:dyDescent="0.35">
      <c r="B13" s="150"/>
      <c r="C13" s="150"/>
      <c r="D13" s="150"/>
      <c r="E13" s="150"/>
      <c r="F13" s="150"/>
      <c r="G13" s="150"/>
      <c r="K13" s="20" t="s">
        <v>3</v>
      </c>
      <c r="M13" s="23" t="s">
        <v>11</v>
      </c>
      <c r="N13" s="54">
        <f>AVERAGE(N11:N12)</f>
        <v>508.92602034094261</v>
      </c>
      <c r="Q13" s="54">
        <f>SUM(Q11:Q12)</f>
        <v>538.92602034094261</v>
      </c>
    </row>
    <row r="14" spans="2:17" x14ac:dyDescent="0.35">
      <c r="B14" s="150"/>
      <c r="C14" s="150"/>
      <c r="D14" s="150"/>
      <c r="E14" s="150"/>
      <c r="F14" s="150"/>
      <c r="G14" s="150"/>
      <c r="I14" s="23" t="s">
        <v>1</v>
      </c>
      <c r="J14" s="22">
        <v>2005</v>
      </c>
      <c r="K14" s="22">
        <v>82</v>
      </c>
    </row>
    <row r="15" spans="2:17" x14ac:dyDescent="0.35">
      <c r="B15" s="150"/>
      <c r="C15" s="150"/>
      <c r="D15" s="150"/>
      <c r="E15" s="150"/>
      <c r="F15" s="150"/>
      <c r="G15" s="150"/>
      <c r="I15" s="23" t="s">
        <v>2</v>
      </c>
      <c r="J15" s="22">
        <v>2018</v>
      </c>
      <c r="K15" s="22">
        <v>154</v>
      </c>
    </row>
    <row r="16" spans="2:17" x14ac:dyDescent="0.35">
      <c r="B16" s="150"/>
      <c r="C16" s="150"/>
      <c r="D16" s="150"/>
      <c r="E16" s="150"/>
      <c r="F16" s="150"/>
      <c r="G16" s="150"/>
    </row>
    <row r="17" spans="2:11" x14ac:dyDescent="0.35">
      <c r="B17" s="150"/>
      <c r="C17" s="150"/>
      <c r="D17" s="150"/>
      <c r="E17" s="150"/>
      <c r="F17" s="150"/>
      <c r="G17" s="150"/>
      <c r="I17" s="149" t="s">
        <v>6</v>
      </c>
      <c r="J17" s="149"/>
      <c r="K17" s="149"/>
    </row>
    <row r="18" spans="2:11" ht="19.5" customHeight="1" x14ac:dyDescent="0.35">
      <c r="B18" s="150"/>
      <c r="C18" s="150"/>
      <c r="D18" s="150"/>
      <c r="E18" s="150"/>
      <c r="F18" s="150"/>
      <c r="G18" s="150"/>
      <c r="I18" s="24" t="s">
        <v>4</v>
      </c>
      <c r="J18" s="47">
        <f>K15*((1+J19)^(2049-J15))</f>
        <v>692.15973298957761</v>
      </c>
      <c r="K18" s="48" t="s">
        <v>3</v>
      </c>
    </row>
    <row r="19" spans="2:11" x14ac:dyDescent="0.35">
      <c r="B19" s="150"/>
      <c r="C19" s="150"/>
      <c r="D19" s="150"/>
      <c r="E19" s="150"/>
      <c r="F19" s="150"/>
      <c r="G19" s="150"/>
      <c r="I19" s="20" t="s">
        <v>7</v>
      </c>
      <c r="J19" s="55">
        <f>(((K15)/(K14))^((1)/(J15-J14)))-1</f>
        <v>4.9673841589929157E-2</v>
      </c>
      <c r="K19" s="19"/>
    </row>
    <row r="20" spans="2:11" x14ac:dyDescent="0.35">
      <c r="B20" s="150"/>
      <c r="C20" s="150"/>
      <c r="D20" s="150"/>
      <c r="E20" s="150"/>
      <c r="F20" s="150"/>
      <c r="G20" s="150"/>
    </row>
    <row r="21" spans="2:11" x14ac:dyDescent="0.35">
      <c r="B21" s="150"/>
      <c r="C21" s="150"/>
      <c r="D21" s="150"/>
      <c r="E21" s="150"/>
      <c r="F21" s="150"/>
      <c r="G21" s="150"/>
    </row>
    <row r="22" spans="2:11" x14ac:dyDescent="0.4">
      <c r="D22" s="56"/>
    </row>
    <row r="23" spans="2:11" x14ac:dyDescent="0.4">
      <c r="C23" s="57"/>
    </row>
  </sheetData>
  <mergeCells count="5">
    <mergeCell ref="B2:G2"/>
    <mergeCell ref="I7:K7"/>
    <mergeCell ref="B12:G12"/>
    <mergeCell ref="I17:K17"/>
    <mergeCell ref="B13:G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5E9FD-B22C-4F62-B5E9-9F6FD577C4E9}">
  <sheetPr codeName="Hoja3"/>
  <dimension ref="A1:N24"/>
  <sheetViews>
    <sheetView zoomScale="80" zoomScaleNormal="80" workbookViewId="0">
      <selection activeCell="F8" sqref="F8:H8"/>
    </sheetView>
  </sheetViews>
  <sheetFormatPr baseColWidth="10" defaultColWidth="10.90625" defaultRowHeight="14.5" x14ac:dyDescent="0.35"/>
  <cols>
    <col min="1" max="1" width="3.1796875" style="1" customWidth="1"/>
    <col min="2" max="2" width="39.90625" style="1" customWidth="1"/>
    <col min="3" max="3" width="10.26953125" style="9" customWidth="1"/>
    <col min="4" max="4" width="11.453125" style="1" customWidth="1"/>
    <col min="5" max="5" width="8.54296875" style="1" bestFit="1" customWidth="1"/>
    <col min="6" max="6" width="17.81640625" style="5" customWidth="1"/>
    <col min="7" max="7" width="14.1796875" style="1" customWidth="1"/>
    <col min="8" max="16384" width="10.90625" style="1"/>
  </cols>
  <sheetData>
    <row r="1" spans="1:14" x14ac:dyDescent="0.35">
      <c r="D1" s="9"/>
    </row>
    <row r="2" spans="1:14" ht="15.5" x14ac:dyDescent="0.35">
      <c r="A2" s="18"/>
      <c r="B2" s="17"/>
      <c r="C2" s="29"/>
      <c r="D2" s="29"/>
      <c r="G2" s="5"/>
      <c r="H2" s="5"/>
    </row>
    <row r="3" spans="1:14" ht="15.5" x14ac:dyDescent="0.35">
      <c r="A3" s="18"/>
      <c r="B3" s="27" t="s">
        <v>159</v>
      </c>
      <c r="C3" s="30" t="s">
        <v>68</v>
      </c>
      <c r="D3" s="30" t="s">
        <v>148</v>
      </c>
      <c r="E3" s="4"/>
      <c r="G3" s="5"/>
      <c r="H3" s="5"/>
    </row>
    <row r="4" spans="1:14" ht="14.5" customHeight="1" x14ac:dyDescent="0.35">
      <c r="A4" s="18"/>
      <c r="B4" s="19" t="s">
        <v>150</v>
      </c>
      <c r="C4" s="31" t="s">
        <v>149</v>
      </c>
      <c r="D4" s="36">
        <v>140</v>
      </c>
      <c r="E4" s="4"/>
      <c r="G4" s="5"/>
      <c r="H4" s="5"/>
    </row>
    <row r="5" spans="1:14" ht="14.5" customHeight="1" x14ac:dyDescent="0.35">
      <c r="A5" s="18"/>
      <c r="B5" s="19" t="s">
        <v>160</v>
      </c>
      <c r="C5" s="31" t="s">
        <v>61</v>
      </c>
      <c r="D5" s="36">
        <f>539</f>
        <v>539</v>
      </c>
      <c r="E5" s="4"/>
      <c r="G5" s="5"/>
      <c r="H5" s="5"/>
    </row>
    <row r="6" spans="1:14" ht="14.5" customHeight="1" x14ac:dyDescent="0.35">
      <c r="A6" s="18"/>
      <c r="B6" s="19" t="s">
        <v>164</v>
      </c>
      <c r="C6" s="31"/>
      <c r="D6" s="36">
        <v>0.85</v>
      </c>
      <c r="E6" s="4"/>
      <c r="G6" s="5"/>
      <c r="H6" s="5"/>
      <c r="I6" s="5"/>
      <c r="J6" s="5"/>
    </row>
    <row r="7" spans="1:14" ht="15.5" x14ac:dyDescent="0.35">
      <c r="A7" s="18"/>
      <c r="B7" s="34" t="s">
        <v>185</v>
      </c>
      <c r="C7" s="35" t="s">
        <v>147</v>
      </c>
      <c r="D7" s="40">
        <f>(D6*D5*D4)/86400</f>
        <v>0.74237268518518518</v>
      </c>
      <c r="E7" s="4"/>
      <c r="F7" s="1"/>
      <c r="H7" s="5"/>
      <c r="I7" s="5"/>
      <c r="J7" s="5"/>
    </row>
    <row r="8" spans="1:14" ht="15.5" x14ac:dyDescent="0.35">
      <c r="A8" s="18"/>
      <c r="B8" s="42" t="s">
        <v>184</v>
      </c>
      <c r="C8" s="41" t="s">
        <v>151</v>
      </c>
      <c r="D8" s="40">
        <f>D7</f>
        <v>0.74237268518518518</v>
      </c>
      <c r="E8" s="4"/>
      <c r="F8" s="1"/>
      <c r="G8" s="2"/>
      <c r="I8" s="5"/>
      <c r="J8" s="5"/>
    </row>
    <row r="9" spans="1:14" ht="15.5" customHeight="1" x14ac:dyDescent="0.35">
      <c r="A9" s="18"/>
      <c r="B9" s="3" t="s">
        <v>154</v>
      </c>
      <c r="C9" s="31" t="s">
        <v>62</v>
      </c>
      <c r="D9" s="36">
        <v>15.37</v>
      </c>
      <c r="E9" s="4"/>
      <c r="F9" s="6" t="s">
        <v>103</v>
      </c>
      <c r="G9" s="10">
        <f>D16</f>
        <v>5.9962595469923876</v>
      </c>
      <c r="H9" s="1" t="s">
        <v>104</v>
      </c>
      <c r="L9" s="5"/>
      <c r="M9" s="5"/>
      <c r="N9" s="5"/>
    </row>
    <row r="10" spans="1:14" ht="15.5" customHeight="1" x14ac:dyDescent="0.35">
      <c r="A10" s="18"/>
      <c r="B10" s="15" t="s">
        <v>155</v>
      </c>
      <c r="C10" s="31" t="s">
        <v>152</v>
      </c>
      <c r="D10" s="37">
        <v>0.2</v>
      </c>
      <c r="E10" s="4"/>
      <c r="F10" s="6" t="s">
        <v>103</v>
      </c>
      <c r="G10" s="11">
        <f>G9/1000</f>
        <v>5.9962595469923875E-3</v>
      </c>
      <c r="H10" s="9" t="s">
        <v>101</v>
      </c>
      <c r="I10" s="1" t="s">
        <v>24</v>
      </c>
      <c r="L10" s="5"/>
      <c r="M10" s="6"/>
      <c r="N10" s="5"/>
    </row>
    <row r="11" spans="1:14" ht="15.5" x14ac:dyDescent="0.35">
      <c r="A11" s="18"/>
      <c r="B11" s="42" t="s">
        <v>183</v>
      </c>
      <c r="C11" s="41" t="s">
        <v>153</v>
      </c>
      <c r="D11" s="40">
        <f>D9*D10</f>
        <v>3.0739999999999998</v>
      </c>
      <c r="E11" s="4"/>
      <c r="F11" s="6" t="s">
        <v>103</v>
      </c>
      <c r="G11" s="13">
        <f>G9*3.6</f>
        <v>21.586534369172597</v>
      </c>
      <c r="H11" s="9" t="s">
        <v>102</v>
      </c>
    </row>
    <row r="12" spans="1:14" ht="14.5" customHeight="1" x14ac:dyDescent="0.35">
      <c r="A12" s="18"/>
      <c r="B12" s="16" t="s">
        <v>16</v>
      </c>
      <c r="C12" s="32" t="s">
        <v>156</v>
      </c>
      <c r="D12" s="38">
        <v>0.1</v>
      </c>
      <c r="E12" s="4"/>
      <c r="F12" s="6" t="s">
        <v>103</v>
      </c>
      <c r="G12" s="7">
        <f>G11*24</f>
        <v>518.07682486014232</v>
      </c>
      <c r="H12" s="9" t="s">
        <v>73</v>
      </c>
    </row>
    <row r="13" spans="1:14" ht="14.5" customHeight="1" x14ac:dyDescent="0.35">
      <c r="A13" s="18"/>
      <c r="B13" s="43" t="s">
        <v>182</v>
      </c>
      <c r="C13" s="35" t="s">
        <v>157</v>
      </c>
      <c r="D13" s="44">
        <f>D12*D9</f>
        <v>1.5369999999999999</v>
      </c>
    </row>
    <row r="14" spans="1:14" ht="14.5" customHeight="1" x14ac:dyDescent="0.35">
      <c r="A14" s="18"/>
      <c r="B14" s="26" t="s">
        <v>162</v>
      </c>
      <c r="C14" s="31" t="s">
        <v>158</v>
      </c>
      <c r="D14" s="39">
        <f>3.5/(D5^0.1)</f>
        <v>1.8659893805856216</v>
      </c>
      <c r="F14" s="6" t="s">
        <v>138</v>
      </c>
      <c r="G14" s="10">
        <f>D15</f>
        <v>1.3852595469923883</v>
      </c>
      <c r="H14" s="1" t="s">
        <v>104</v>
      </c>
    </row>
    <row r="15" spans="1:14" ht="15.5" x14ac:dyDescent="0.35">
      <c r="A15" s="18"/>
      <c r="B15" s="34" t="s">
        <v>181</v>
      </c>
      <c r="C15" s="35" t="s">
        <v>163</v>
      </c>
      <c r="D15" s="40">
        <f>D14*D8</f>
        <v>1.3852595469923883</v>
      </c>
      <c r="F15" s="6" t="s">
        <v>138</v>
      </c>
      <c r="G15" s="11">
        <f>G14/1000</f>
        <v>1.3852595469923882E-3</v>
      </c>
      <c r="H15" s="9" t="s">
        <v>101</v>
      </c>
    </row>
    <row r="16" spans="1:14" ht="15.5" x14ac:dyDescent="0.35">
      <c r="A16" s="18"/>
      <c r="B16" s="34" t="s">
        <v>180</v>
      </c>
      <c r="C16" s="35" t="s">
        <v>161</v>
      </c>
      <c r="D16" s="40">
        <f>D15+D13+D11</f>
        <v>5.9962595469923876</v>
      </c>
      <c r="F16" s="6" t="s">
        <v>138</v>
      </c>
      <c r="G16" s="13">
        <f>G14*3.6</f>
        <v>4.986934369172598</v>
      </c>
      <c r="H16" s="9" t="s">
        <v>102</v>
      </c>
    </row>
    <row r="17" spans="1:5" ht="15.5" x14ac:dyDescent="0.35">
      <c r="A17" s="18"/>
      <c r="B17" s="18"/>
      <c r="C17" s="32"/>
      <c r="D17" s="32"/>
    </row>
    <row r="18" spans="1:5" ht="15.5" x14ac:dyDescent="0.35">
      <c r="A18" s="18"/>
      <c r="B18" s="18"/>
      <c r="C18" s="32"/>
      <c r="D18" s="32"/>
    </row>
    <row r="19" spans="1:5" ht="15.5" x14ac:dyDescent="0.35">
      <c r="A19" s="18"/>
      <c r="B19" s="18"/>
      <c r="C19" s="32"/>
      <c r="D19" s="18"/>
    </row>
    <row r="20" spans="1:5" ht="15.5" x14ac:dyDescent="0.35">
      <c r="A20" s="18"/>
      <c r="B20" s="18"/>
      <c r="C20" s="32"/>
      <c r="D20" s="18"/>
    </row>
    <row r="23" spans="1:5" x14ac:dyDescent="0.35">
      <c r="E23" s="4"/>
    </row>
    <row r="24" spans="1:5" x14ac:dyDescent="0.35">
      <c r="B24" s="4"/>
      <c r="C24" s="33"/>
      <c r="D24" s="4"/>
      <c r="E24" s="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4421C-D701-412B-B185-B25DA4F1BCDD}">
  <sheetPr codeName="Hoja12">
    <tabColor rgb="FFFFFF00"/>
  </sheetPr>
  <dimension ref="A1:O29"/>
  <sheetViews>
    <sheetView zoomScale="60" zoomScaleNormal="60" workbookViewId="0">
      <selection activeCell="G5" sqref="G5"/>
    </sheetView>
  </sheetViews>
  <sheetFormatPr baseColWidth="10" defaultColWidth="10.90625" defaultRowHeight="14.5" x14ac:dyDescent="0.35"/>
  <cols>
    <col min="1" max="1" width="3.6328125" style="4" customWidth="1"/>
    <col min="2" max="2" width="38" style="8" customWidth="1"/>
    <col min="3" max="3" width="17.36328125" style="8" customWidth="1"/>
    <col min="4" max="4" width="17.90625" style="8" customWidth="1"/>
    <col min="5" max="5" width="28.81640625" style="8" customWidth="1"/>
    <col min="6" max="6" width="7.6328125" style="4" customWidth="1"/>
    <col min="7" max="7" width="29.08984375" style="4" customWidth="1"/>
    <col min="8" max="8" width="17.54296875" style="4" customWidth="1"/>
    <col min="9" max="9" width="20.90625" style="12" customWidth="1"/>
    <col min="10" max="10" width="27.7265625" style="4" customWidth="1"/>
    <col min="11" max="15" width="10.90625" style="4"/>
    <col min="16" max="16384" width="10.90625" style="8"/>
  </cols>
  <sheetData>
    <row r="1" spans="1:11" s="4" customFormat="1" ht="15.5" x14ac:dyDescent="0.35">
      <c r="A1" s="21"/>
      <c r="B1" s="21"/>
      <c r="C1" s="21"/>
      <c r="D1" s="21"/>
      <c r="E1" s="21"/>
      <c r="F1" s="21"/>
      <c r="G1" s="21"/>
      <c r="H1" s="21"/>
      <c r="I1" s="58"/>
      <c r="J1" s="21"/>
      <c r="K1" s="21"/>
    </row>
    <row r="2" spans="1:11" ht="15.5" x14ac:dyDescent="0.35">
      <c r="A2" s="21"/>
      <c r="B2" s="159" t="s">
        <v>17</v>
      </c>
      <c r="C2" s="159"/>
      <c r="D2" s="159"/>
      <c r="E2" s="159"/>
      <c r="F2" s="21"/>
      <c r="G2" s="21"/>
      <c r="H2" s="21"/>
      <c r="I2" s="58"/>
      <c r="J2" s="21"/>
      <c r="K2" s="21"/>
    </row>
    <row r="3" spans="1:11" ht="15.5" x14ac:dyDescent="0.35">
      <c r="A3" s="21"/>
      <c r="B3" s="159"/>
      <c r="C3" s="159"/>
      <c r="D3" s="159"/>
      <c r="E3" s="159"/>
      <c r="F3" s="21"/>
      <c r="G3" s="21"/>
      <c r="H3" s="21"/>
      <c r="I3" s="58"/>
      <c r="J3" s="21"/>
      <c r="K3" s="21"/>
    </row>
    <row r="4" spans="1:11" ht="15.5" x14ac:dyDescent="0.35">
      <c r="A4" s="21"/>
      <c r="B4" s="59" t="s">
        <v>25</v>
      </c>
      <c r="C4" s="59" t="s">
        <v>26</v>
      </c>
      <c r="D4" s="59" t="s">
        <v>27</v>
      </c>
      <c r="E4" s="59" t="s">
        <v>28</v>
      </c>
      <c r="F4" s="21"/>
      <c r="G4" s="21"/>
      <c r="H4" s="21"/>
      <c r="I4" s="58"/>
      <c r="J4" s="21"/>
      <c r="K4" s="21"/>
    </row>
    <row r="5" spans="1:11" ht="15.5" x14ac:dyDescent="0.35">
      <c r="A5" s="21"/>
      <c r="B5" s="60" t="s">
        <v>3</v>
      </c>
      <c r="C5" s="60"/>
      <c r="D5" s="61">
        <v>539</v>
      </c>
      <c r="E5" s="59"/>
      <c r="F5" s="21"/>
      <c r="G5" s="21"/>
      <c r="H5" s="21"/>
      <c r="I5" s="58"/>
      <c r="J5" s="21"/>
      <c r="K5" s="21"/>
    </row>
    <row r="6" spans="1:11" ht="15.5" x14ac:dyDescent="0.35">
      <c r="A6" s="21"/>
      <c r="B6" s="160" t="s">
        <v>18</v>
      </c>
      <c r="C6" s="161"/>
      <c r="D6" s="63">
        <v>140</v>
      </c>
      <c r="E6" s="59"/>
      <c r="F6" s="21"/>
      <c r="G6" s="21"/>
      <c r="H6" s="21"/>
      <c r="I6" s="58"/>
      <c r="J6" s="21"/>
      <c r="K6" s="21"/>
    </row>
    <row r="7" spans="1:11" ht="15.5" x14ac:dyDescent="0.35">
      <c r="A7" s="21"/>
      <c r="B7" s="160"/>
      <c r="C7" s="162"/>
      <c r="D7" s="64">
        <f>D6/1000</f>
        <v>0.14000000000000001</v>
      </c>
      <c r="E7" s="59"/>
      <c r="F7" s="21"/>
      <c r="G7" s="21"/>
      <c r="H7" s="21"/>
      <c r="I7" s="58"/>
      <c r="J7" s="21"/>
      <c r="K7" s="21"/>
    </row>
    <row r="8" spans="1:11" ht="31" x14ac:dyDescent="0.35">
      <c r="A8" s="21"/>
      <c r="B8" s="65" t="s">
        <v>19</v>
      </c>
      <c r="C8" s="60"/>
      <c r="D8" s="66">
        <v>8</v>
      </c>
      <c r="E8" s="62" t="s">
        <v>32</v>
      </c>
      <c r="F8" s="21"/>
      <c r="G8" s="21"/>
      <c r="H8" s="21"/>
      <c r="I8" s="58"/>
      <c r="J8" s="21"/>
      <c r="K8" s="21"/>
    </row>
    <row r="9" spans="1:11" ht="34.5" customHeight="1" x14ac:dyDescent="0.35">
      <c r="A9" s="21"/>
      <c r="B9" s="90" t="s">
        <v>169</v>
      </c>
      <c r="C9" s="42"/>
      <c r="D9" s="91">
        <f>(Caudales!D16)*3.6</f>
        <v>21.586534369172597</v>
      </c>
      <c r="E9" s="92"/>
      <c r="F9" s="21"/>
      <c r="G9" s="21"/>
      <c r="H9" s="21"/>
      <c r="I9" s="58"/>
      <c r="J9" s="21"/>
      <c r="K9" s="21"/>
    </row>
    <row r="10" spans="1:11" ht="15.5" x14ac:dyDescent="0.35">
      <c r="A10" s="21"/>
      <c r="B10" s="155" t="s">
        <v>20</v>
      </c>
      <c r="C10" s="157"/>
      <c r="D10" s="67">
        <v>8</v>
      </c>
      <c r="E10" s="68"/>
      <c r="F10" s="21"/>
      <c r="G10" s="21"/>
      <c r="H10" s="21"/>
      <c r="I10" s="58"/>
      <c r="J10" s="21"/>
      <c r="K10" s="21"/>
    </row>
    <row r="11" spans="1:11" ht="15.5" x14ac:dyDescent="0.35">
      <c r="A11" s="21"/>
      <c r="B11" s="156"/>
      <c r="C11" s="158"/>
      <c r="D11" s="69">
        <f>D10/60</f>
        <v>0.13333333333333333</v>
      </c>
      <c r="E11" s="70"/>
      <c r="F11" s="21"/>
      <c r="G11" s="21"/>
      <c r="H11" s="21"/>
      <c r="I11" s="58"/>
      <c r="J11" s="21"/>
      <c r="K11" s="21"/>
    </row>
    <row r="12" spans="1:11" ht="22.5" customHeight="1" x14ac:dyDescent="0.35">
      <c r="A12" s="21"/>
      <c r="B12" s="60" t="s">
        <v>166</v>
      </c>
      <c r="C12" s="62"/>
      <c r="D12" s="93">
        <f>D9*D11</f>
        <v>2.878204582556346</v>
      </c>
      <c r="E12" s="71"/>
      <c r="F12" s="21"/>
      <c r="G12" s="72" t="s">
        <v>23</v>
      </c>
      <c r="H12" s="72" t="s">
        <v>26</v>
      </c>
      <c r="I12" s="72" t="s">
        <v>27</v>
      </c>
      <c r="J12" s="73"/>
      <c r="K12" s="21"/>
    </row>
    <row r="13" spans="1:11" ht="24.5" customHeight="1" x14ac:dyDescent="0.35">
      <c r="A13" s="21"/>
      <c r="B13" s="60" t="s">
        <v>21</v>
      </c>
      <c r="C13" s="62"/>
      <c r="D13" s="74">
        <v>1.5</v>
      </c>
      <c r="E13" s="70" t="s">
        <v>31</v>
      </c>
      <c r="F13" s="21"/>
      <c r="G13" s="78" t="s">
        <v>170</v>
      </c>
      <c r="H13" s="75"/>
      <c r="I13" s="111">
        <f>E16*D17</f>
        <v>2</v>
      </c>
      <c r="J13" s="111"/>
      <c r="K13" s="21"/>
    </row>
    <row r="14" spans="1:11" ht="22.5" customHeight="1" x14ac:dyDescent="0.35">
      <c r="A14" s="21"/>
      <c r="B14" s="60" t="s">
        <v>165</v>
      </c>
      <c r="C14" s="62"/>
      <c r="D14" s="94">
        <f>D12/D13</f>
        <v>1.9188030550375641</v>
      </c>
      <c r="E14" s="70"/>
      <c r="F14" s="21"/>
      <c r="G14" s="78" t="s">
        <v>171</v>
      </c>
      <c r="H14" s="75"/>
      <c r="I14" s="112">
        <f>I13*D13</f>
        <v>3</v>
      </c>
      <c r="J14" s="112"/>
      <c r="K14" s="21"/>
    </row>
    <row r="15" spans="1:11" ht="15.5" x14ac:dyDescent="0.35">
      <c r="A15" s="21"/>
      <c r="B15" s="76" t="s">
        <v>22</v>
      </c>
      <c r="C15" s="62"/>
      <c r="D15" s="77">
        <v>2</v>
      </c>
      <c r="E15" s="70"/>
      <c r="F15" s="21"/>
      <c r="G15" s="151" t="s">
        <v>172</v>
      </c>
      <c r="H15" s="153"/>
      <c r="I15" s="113">
        <f>I14/D9</f>
        <v>0.13897552746050124</v>
      </c>
      <c r="J15" s="113"/>
      <c r="K15" s="21"/>
    </row>
    <row r="16" spans="1:11" ht="24" customHeight="1" x14ac:dyDescent="0.35">
      <c r="A16" s="21"/>
      <c r="B16" s="90" t="s">
        <v>167</v>
      </c>
      <c r="C16" s="78"/>
      <c r="D16" s="95">
        <f>SQRT(D14/D15)</f>
        <v>0.97949044279093511</v>
      </c>
      <c r="E16" s="79">
        <v>1</v>
      </c>
      <c r="F16" s="21"/>
      <c r="G16" s="152"/>
      <c r="H16" s="154"/>
      <c r="I16" s="114">
        <f>I15*60</f>
        <v>8.3385316476300737</v>
      </c>
      <c r="J16" s="114" t="s">
        <v>30</v>
      </c>
      <c r="K16" s="21"/>
    </row>
    <row r="17" spans="1:11" ht="25" customHeight="1" x14ac:dyDescent="0.35">
      <c r="A17" s="21"/>
      <c r="B17" s="90" t="s">
        <v>168</v>
      </c>
      <c r="C17" s="78"/>
      <c r="D17" s="95">
        <f>D15*E16</f>
        <v>2</v>
      </c>
      <c r="E17" s="95"/>
      <c r="F17" s="21"/>
      <c r="G17" s="78" t="s">
        <v>173</v>
      </c>
      <c r="H17" s="75"/>
      <c r="I17" s="115">
        <f>D9/I13</f>
        <v>10.793267184586298</v>
      </c>
      <c r="J17" s="115" t="s">
        <v>29</v>
      </c>
      <c r="K17" s="21"/>
    </row>
    <row r="18" spans="1:11" s="4" customFormat="1" ht="22.5" customHeight="1" x14ac:dyDescent="0.35">
      <c r="A18" s="21"/>
      <c r="B18" s="21"/>
      <c r="C18" s="21"/>
      <c r="D18" s="21"/>
      <c r="E18" s="21"/>
      <c r="F18" s="21"/>
      <c r="G18" s="21"/>
      <c r="H18" s="21"/>
      <c r="I18" s="58"/>
      <c r="J18" s="21"/>
      <c r="K18" s="21"/>
    </row>
    <row r="19" spans="1:11" s="4" customFormat="1" ht="26" customHeight="1" x14ac:dyDescent="0.35">
      <c r="B19" s="14"/>
      <c r="C19" s="14"/>
      <c r="D19" s="14"/>
      <c r="E19" s="14"/>
      <c r="F19" s="14"/>
      <c r="I19" s="12"/>
    </row>
    <row r="20" spans="1:11" s="4" customFormat="1" x14ac:dyDescent="0.35">
      <c r="F20" s="14"/>
      <c r="I20" s="12"/>
    </row>
    <row r="21" spans="1:11" s="4" customFormat="1" x14ac:dyDescent="0.35">
      <c r="F21" s="14"/>
      <c r="I21" s="12"/>
    </row>
    <row r="22" spans="1:11" s="4" customFormat="1" x14ac:dyDescent="0.35">
      <c r="I22" s="12"/>
    </row>
    <row r="23" spans="1:11" s="4" customFormat="1" x14ac:dyDescent="0.35">
      <c r="I23" s="12"/>
    </row>
    <row r="24" spans="1:11" s="4" customFormat="1" x14ac:dyDescent="0.35">
      <c r="I24" s="12"/>
    </row>
    <row r="25" spans="1:11" s="4" customFormat="1" x14ac:dyDescent="0.35">
      <c r="I25" s="12"/>
    </row>
    <row r="26" spans="1:11" s="4" customFormat="1" x14ac:dyDescent="0.35">
      <c r="I26" s="12"/>
    </row>
    <row r="27" spans="1:11" s="4" customFormat="1" x14ac:dyDescent="0.35">
      <c r="I27" s="12"/>
    </row>
    <row r="28" spans="1:11" s="4" customFormat="1" x14ac:dyDescent="0.35">
      <c r="I28" s="12"/>
    </row>
    <row r="29" spans="1:11" s="4" customFormat="1" x14ac:dyDescent="0.35">
      <c r="I29" s="12"/>
    </row>
  </sheetData>
  <mergeCells count="7">
    <mergeCell ref="G15:G16"/>
    <mergeCell ref="H15:H16"/>
    <mergeCell ref="B10:B11"/>
    <mergeCell ref="C10:C11"/>
    <mergeCell ref="B2:E3"/>
    <mergeCell ref="B6:B7"/>
    <mergeCell ref="C6:C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C72C8-6958-4BCF-B436-05E0C8363671}">
  <sheetPr codeName="Hoja13">
    <tabColor rgb="FFFFFF00"/>
  </sheetPr>
  <dimension ref="A1:W47"/>
  <sheetViews>
    <sheetView zoomScale="60" zoomScaleNormal="60" workbookViewId="0">
      <selection activeCell="J9" sqref="J9"/>
    </sheetView>
  </sheetViews>
  <sheetFormatPr baseColWidth="10" defaultColWidth="10.90625" defaultRowHeight="15.5" x14ac:dyDescent="0.35"/>
  <cols>
    <col min="1" max="1" width="3" style="21" customWidth="1"/>
    <col min="2" max="2" width="1.7265625" style="21" customWidth="1"/>
    <col min="3" max="3" width="40.36328125" style="21" bestFit="1" customWidth="1"/>
    <col min="4" max="4" width="20.1796875" style="21" customWidth="1"/>
    <col min="5" max="5" width="18.54296875" style="21" customWidth="1"/>
    <col min="6" max="6" width="47.1796875" style="21" bestFit="1" customWidth="1"/>
    <col min="7" max="7" width="2.08984375" style="21" customWidth="1"/>
    <col min="8" max="23" width="10.90625" style="21"/>
    <col min="24" max="16384" width="10.90625" style="87"/>
  </cols>
  <sheetData>
    <row r="1" spans="2:8" s="21" customFormat="1" x14ac:dyDescent="0.35"/>
    <row r="2" spans="2:8" s="21" customFormat="1" x14ac:dyDescent="0.35">
      <c r="B2" s="80"/>
      <c r="C2" s="163" t="s">
        <v>33</v>
      </c>
      <c r="D2" s="163"/>
      <c r="E2" s="163"/>
      <c r="F2" s="163"/>
      <c r="G2" s="80"/>
    </row>
    <row r="3" spans="2:8" s="21" customFormat="1" ht="13.5" customHeight="1" x14ac:dyDescent="0.35">
      <c r="C3" s="163"/>
      <c r="D3" s="163"/>
      <c r="E3" s="163"/>
      <c r="F3" s="163"/>
    </row>
    <row r="4" spans="2:8" s="21" customFormat="1" x14ac:dyDescent="0.35">
      <c r="B4" s="80"/>
      <c r="C4" s="59" t="s">
        <v>25</v>
      </c>
      <c r="D4" s="59" t="s">
        <v>26</v>
      </c>
      <c r="E4" s="59" t="s">
        <v>27</v>
      </c>
      <c r="F4" s="59" t="s">
        <v>28</v>
      </c>
      <c r="G4" s="80"/>
    </row>
    <row r="5" spans="2:8" s="21" customFormat="1" x14ac:dyDescent="0.35">
      <c r="B5" s="80"/>
      <c r="C5" s="60" t="s">
        <v>3</v>
      </c>
      <c r="D5" s="60"/>
      <c r="E5" s="61">
        <v>539</v>
      </c>
      <c r="F5" s="24"/>
      <c r="G5" s="80"/>
    </row>
    <row r="6" spans="2:8" s="21" customFormat="1" x14ac:dyDescent="0.35">
      <c r="B6" s="80"/>
      <c r="C6" s="76" t="s">
        <v>18</v>
      </c>
      <c r="D6" s="81"/>
      <c r="E6" s="63">
        <v>140</v>
      </c>
      <c r="F6" s="61"/>
      <c r="G6" s="58"/>
    </row>
    <row r="7" spans="2:8" s="21" customFormat="1" ht="14.5" customHeight="1" x14ac:dyDescent="0.35">
      <c r="B7" s="80"/>
      <c r="C7" s="65" t="s">
        <v>19</v>
      </c>
      <c r="D7" s="61"/>
      <c r="E7" s="66">
        <v>24</v>
      </c>
      <c r="F7" s="61"/>
      <c r="G7" s="58"/>
    </row>
    <row r="8" spans="2:8" s="21" customFormat="1" ht="29" customHeight="1" x14ac:dyDescent="0.35">
      <c r="B8" s="80"/>
      <c r="C8" s="42" t="s">
        <v>174</v>
      </c>
      <c r="D8" s="42" t="s">
        <v>137</v>
      </c>
      <c r="E8" s="91">
        <f>(Caudales!D16)*3.6</f>
        <v>21.586534369172597</v>
      </c>
      <c r="F8" s="92"/>
      <c r="G8" s="58"/>
    </row>
    <row r="9" spans="2:8" s="21" customFormat="1" ht="28.5" customHeight="1" x14ac:dyDescent="0.35">
      <c r="B9" s="80"/>
      <c r="C9" s="96" t="s">
        <v>175</v>
      </c>
      <c r="D9" s="70" t="s">
        <v>137</v>
      </c>
      <c r="E9" s="97">
        <f>(Caudales!D15)</f>
        <v>1.3852595469923883</v>
      </c>
      <c r="F9" s="98"/>
      <c r="G9" s="83"/>
    </row>
    <row r="10" spans="2:8" s="21" customFormat="1" ht="31.5" customHeight="1" x14ac:dyDescent="0.35">
      <c r="B10" s="80"/>
      <c r="C10" s="70" t="s">
        <v>35</v>
      </c>
      <c r="D10" s="70"/>
      <c r="E10" s="66">
        <v>2</v>
      </c>
      <c r="F10" s="70" t="s">
        <v>34</v>
      </c>
      <c r="G10" s="84"/>
      <c r="H10" s="83"/>
    </row>
    <row r="11" spans="2:8" s="21" customFormat="1" x14ac:dyDescent="0.35">
      <c r="B11" s="80"/>
      <c r="C11" s="70" t="s">
        <v>36</v>
      </c>
      <c r="D11" s="70"/>
      <c r="E11" s="85">
        <v>77</v>
      </c>
      <c r="F11" s="70" t="s">
        <v>39</v>
      </c>
    </row>
    <row r="12" spans="2:8" s="21" customFormat="1" ht="17.5" customHeight="1" x14ac:dyDescent="0.35">
      <c r="B12" s="80"/>
      <c r="C12" s="70" t="s">
        <v>37</v>
      </c>
      <c r="D12" s="70"/>
      <c r="E12" s="86">
        <v>3</v>
      </c>
      <c r="F12" s="70" t="s">
        <v>38</v>
      </c>
    </row>
    <row r="13" spans="2:8" s="21" customFormat="1" ht="19.5" customHeight="1" x14ac:dyDescent="0.35">
      <c r="C13" s="41" t="s">
        <v>176</v>
      </c>
      <c r="D13" s="42"/>
      <c r="E13" s="99">
        <f>E8*E10</f>
        <v>43.173068738345194</v>
      </c>
      <c r="F13" s="42"/>
    </row>
    <row r="14" spans="2:8" s="21" customFormat="1" ht="22" customHeight="1" x14ac:dyDescent="0.35">
      <c r="C14" s="41" t="s">
        <v>177</v>
      </c>
      <c r="D14" s="42"/>
      <c r="E14" s="100">
        <f>E13/E12</f>
        <v>14.391022912781731</v>
      </c>
      <c r="F14" s="42"/>
    </row>
    <row r="15" spans="2:8" s="21" customFormat="1" ht="31" x14ac:dyDescent="0.35">
      <c r="C15" s="76" t="s">
        <v>22</v>
      </c>
      <c r="D15" s="70"/>
      <c r="E15" s="77">
        <v>5</v>
      </c>
      <c r="F15" s="76" t="s">
        <v>40</v>
      </c>
    </row>
    <row r="16" spans="2:8" s="21" customFormat="1" ht="26" customHeight="1" x14ac:dyDescent="0.35">
      <c r="C16" s="41" t="s">
        <v>167</v>
      </c>
      <c r="D16" s="88"/>
      <c r="E16" s="101">
        <f>SQRT(E14/E15)</f>
        <v>1.6965272124420363</v>
      </c>
      <c r="F16" s="88"/>
    </row>
    <row r="17" spans="2:7" s="21" customFormat="1" ht="29" customHeight="1" x14ac:dyDescent="0.35">
      <c r="C17" s="41" t="s">
        <v>168</v>
      </c>
      <c r="D17" s="42"/>
      <c r="E17" s="101">
        <f>E15*E16</f>
        <v>8.4826360622101813</v>
      </c>
      <c r="F17" s="89" t="s">
        <v>136</v>
      </c>
    </row>
    <row r="18" spans="2:7" s="21" customFormat="1" ht="20" customHeight="1" x14ac:dyDescent="0.35">
      <c r="B18" s="58"/>
      <c r="G18" s="58"/>
    </row>
    <row r="19" spans="2:7" s="21" customFormat="1" ht="23" customHeight="1" x14ac:dyDescent="0.35"/>
    <row r="20" spans="2:7" s="21" customFormat="1" ht="29.5" customHeight="1" x14ac:dyDescent="0.35"/>
    <row r="21" spans="2:7" s="21" customFormat="1" ht="27.5" customHeight="1" x14ac:dyDescent="0.35"/>
    <row r="22" spans="2:7" s="21" customFormat="1" ht="25" customHeight="1" x14ac:dyDescent="0.35"/>
    <row r="24" spans="2:7" s="21" customFormat="1" ht="27.5" customHeight="1" x14ac:dyDescent="0.35"/>
    <row r="25" spans="2:7" s="21" customFormat="1" x14ac:dyDescent="0.35"/>
    <row r="26" spans="2:7" s="21" customFormat="1" x14ac:dyDescent="0.35"/>
    <row r="27" spans="2:7" s="21" customFormat="1" x14ac:dyDescent="0.35"/>
    <row r="28" spans="2:7" s="21" customFormat="1" x14ac:dyDescent="0.35"/>
    <row r="29" spans="2:7" s="21" customFormat="1" x14ac:dyDescent="0.35"/>
    <row r="30" spans="2:7" s="21" customFormat="1" x14ac:dyDescent="0.35"/>
    <row r="31" spans="2:7" s="21" customFormat="1" x14ac:dyDescent="0.35"/>
    <row r="32" spans="2:7" s="21" customFormat="1" x14ac:dyDescent="0.35"/>
    <row r="33" s="21" customFormat="1" x14ac:dyDescent="0.35"/>
    <row r="34" s="21" customFormat="1" x14ac:dyDescent="0.35"/>
    <row r="35" s="21" customFormat="1" x14ac:dyDescent="0.35"/>
    <row r="36" s="21" customFormat="1" x14ac:dyDescent="0.35"/>
    <row r="37" s="21" customFormat="1" x14ac:dyDescent="0.35"/>
    <row r="38" s="21" customFormat="1" x14ac:dyDescent="0.35"/>
    <row r="39" s="21" customFormat="1" x14ac:dyDescent="0.35"/>
    <row r="40" s="21" customFormat="1" x14ac:dyDescent="0.35"/>
    <row r="41" s="21" customFormat="1" x14ac:dyDescent="0.35"/>
    <row r="42" s="21" customFormat="1" x14ac:dyDescent="0.35"/>
    <row r="43" s="21" customFormat="1" x14ac:dyDescent="0.35"/>
    <row r="44" s="21" customFormat="1" x14ac:dyDescent="0.35"/>
    <row r="45" s="21" customFormat="1" x14ac:dyDescent="0.35"/>
    <row r="46" s="21" customFormat="1" x14ac:dyDescent="0.35"/>
    <row r="47" s="21" customFormat="1" x14ac:dyDescent="0.35"/>
  </sheetData>
  <mergeCells count="1">
    <mergeCell ref="C2:F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09EC0-4C33-4863-B468-41927715E605}">
  <sheetPr codeName="Hoja9">
    <tabColor rgb="FFFFFF00"/>
  </sheetPr>
  <dimension ref="A1:S59"/>
  <sheetViews>
    <sheetView zoomScale="60" zoomScaleNormal="60" workbookViewId="0">
      <selection activeCell="K15" sqref="K15"/>
    </sheetView>
  </sheetViews>
  <sheetFormatPr baseColWidth="10" defaultColWidth="10.90625" defaultRowHeight="19.5" customHeight="1" x14ac:dyDescent="0.35"/>
  <cols>
    <col min="1" max="1" width="2.81640625" style="18" customWidth="1"/>
    <col min="2" max="2" width="79.36328125" style="17" customWidth="1"/>
    <col min="3" max="3" width="17.7265625" style="17" customWidth="1"/>
    <col min="4" max="4" width="14.36328125" style="17" customWidth="1"/>
    <col min="5" max="5" width="15.7265625" style="17" customWidth="1"/>
    <col min="6" max="6" width="33.08984375" style="17" customWidth="1"/>
    <col min="7" max="7" width="12.08984375" style="18" bestFit="1" customWidth="1"/>
    <col min="8" max="8" width="10.90625" style="18"/>
    <col min="9" max="9" width="17.08984375" style="18" bestFit="1" customWidth="1"/>
    <col min="10" max="10" width="10.90625" style="18"/>
    <col min="11" max="11" width="17.08984375" style="18" bestFit="1" customWidth="1"/>
    <col min="12" max="19" width="10.90625" style="18"/>
    <col min="20" max="16384" width="10.90625" style="17"/>
  </cols>
  <sheetData>
    <row r="1" spans="2:7" ht="19.5" customHeight="1" x14ac:dyDescent="0.35">
      <c r="B1" s="18"/>
      <c r="C1" s="18"/>
      <c r="D1" s="18"/>
      <c r="E1" s="18"/>
      <c r="F1" s="18"/>
    </row>
    <row r="2" spans="2:7" ht="19.5" customHeight="1" x14ac:dyDescent="0.35">
      <c r="B2" s="18"/>
      <c r="C2" s="18"/>
      <c r="D2" s="18"/>
      <c r="E2" s="18"/>
      <c r="F2" s="131" t="s">
        <v>41</v>
      </c>
    </row>
    <row r="3" spans="2:7" ht="33" customHeight="1" x14ac:dyDescent="0.35">
      <c r="B3" s="24" t="s">
        <v>42</v>
      </c>
      <c r="C3" s="24" t="s">
        <v>139</v>
      </c>
      <c r="D3" s="132" t="s">
        <v>43</v>
      </c>
      <c r="E3" s="132" t="s">
        <v>44</v>
      </c>
      <c r="F3" s="133"/>
      <c r="G3" s="133"/>
    </row>
    <row r="4" spans="2:7" ht="19.5" customHeight="1" x14ac:dyDescent="0.35">
      <c r="B4" s="19" t="s">
        <v>45</v>
      </c>
      <c r="C4" s="22">
        <v>0</v>
      </c>
      <c r="D4" s="22">
        <v>160</v>
      </c>
      <c r="E4" s="134">
        <v>1</v>
      </c>
      <c r="F4" s="164">
        <f>((D4*C4)+(D5*C5)+(D6*C6)+(D7*C7)+(D8*C8)+(D9*C9)+(D10*C10)+(D11*C11)+(D12*C12)+(D13*C13)+(D14*C14)+(D15*C15)+(D16*C16))/$C$17</f>
        <v>94.95682210708118</v>
      </c>
      <c r="G4" s="165">
        <f>(($E$8*C4)*(E5*C5)*(E6*C6)+(E7*C7)+(E8*C8)+(E9*C9)+(E10*C10)+(E11*C11)+(E12*C12)+(E13*C13)*(E14*C14)*(E15*C15)*(E16*C16))/$C$17</f>
        <v>5.181347150259067E-2</v>
      </c>
    </row>
    <row r="5" spans="2:7" ht="19.5" customHeight="1" x14ac:dyDescent="0.35">
      <c r="B5" s="19" t="s">
        <v>46</v>
      </c>
      <c r="C5" s="22">
        <v>48</v>
      </c>
      <c r="D5" s="22">
        <v>130</v>
      </c>
      <c r="E5" s="134">
        <v>1</v>
      </c>
      <c r="F5" s="164"/>
      <c r="G5" s="166"/>
    </row>
    <row r="6" spans="2:7" ht="19.5" customHeight="1" x14ac:dyDescent="0.35">
      <c r="B6" s="19" t="s">
        <v>47</v>
      </c>
      <c r="C6" s="22">
        <v>461</v>
      </c>
      <c r="D6" s="22">
        <v>100</v>
      </c>
      <c r="E6" s="134">
        <v>1</v>
      </c>
      <c r="F6" s="164"/>
      <c r="G6" s="166"/>
    </row>
    <row r="7" spans="2:7" ht="19.5" customHeight="1" x14ac:dyDescent="0.35">
      <c r="B7" s="19" t="s">
        <v>48</v>
      </c>
      <c r="C7" s="22">
        <v>0</v>
      </c>
      <c r="D7" s="22">
        <v>100</v>
      </c>
      <c r="E7" s="134">
        <v>1</v>
      </c>
      <c r="F7" s="164"/>
      <c r="G7" s="166"/>
    </row>
    <row r="8" spans="2:7" ht="19.5" customHeight="1" thickBot="1" x14ac:dyDescent="0.4">
      <c r="B8" s="135" t="s">
        <v>15</v>
      </c>
      <c r="C8" s="136">
        <v>30</v>
      </c>
      <c r="D8" s="136">
        <v>80</v>
      </c>
      <c r="E8" s="137">
        <v>1</v>
      </c>
      <c r="F8" s="164"/>
      <c r="G8" s="166"/>
    </row>
    <row r="9" spans="2:7" ht="19.5" customHeight="1" x14ac:dyDescent="0.35">
      <c r="B9" s="138" t="s">
        <v>49</v>
      </c>
      <c r="C9" s="139">
        <v>0</v>
      </c>
      <c r="D9" s="139">
        <v>70</v>
      </c>
      <c r="E9" s="140">
        <v>0.3</v>
      </c>
      <c r="F9" s="164"/>
      <c r="G9" s="166"/>
    </row>
    <row r="10" spans="2:7" ht="19.5" customHeight="1" x14ac:dyDescent="0.35">
      <c r="B10" s="19" t="s">
        <v>50</v>
      </c>
      <c r="C10" s="22">
        <v>0</v>
      </c>
      <c r="D10" s="22">
        <v>50</v>
      </c>
      <c r="E10" s="134">
        <v>0.2</v>
      </c>
      <c r="F10" s="164"/>
      <c r="G10" s="166"/>
    </row>
    <row r="11" spans="2:7" ht="19.5" customHeight="1" x14ac:dyDescent="0.35">
      <c r="B11" s="19" t="s">
        <v>51</v>
      </c>
      <c r="C11" s="22">
        <v>0</v>
      </c>
      <c r="D11" s="22">
        <v>50</v>
      </c>
      <c r="E11" s="134">
        <v>0.2</v>
      </c>
      <c r="F11" s="164"/>
      <c r="G11" s="166"/>
    </row>
    <row r="12" spans="2:7" ht="19.5" customHeight="1" x14ac:dyDescent="0.35">
      <c r="B12" s="19" t="s">
        <v>52</v>
      </c>
      <c r="C12" s="22">
        <v>0</v>
      </c>
      <c r="D12" s="22">
        <v>50</v>
      </c>
      <c r="E12" s="134">
        <v>0.2</v>
      </c>
      <c r="F12" s="164"/>
      <c r="G12" s="166"/>
    </row>
    <row r="13" spans="2:7" ht="19.5" customHeight="1" x14ac:dyDescent="0.35">
      <c r="B13" s="19" t="s">
        <v>53</v>
      </c>
      <c r="C13" s="22">
        <v>40</v>
      </c>
      <c r="D13" s="22">
        <v>6</v>
      </c>
      <c r="E13" s="134">
        <v>0.1</v>
      </c>
      <c r="F13" s="164"/>
      <c r="G13" s="166"/>
    </row>
    <row r="14" spans="2:7" ht="19.5" customHeight="1" x14ac:dyDescent="0.35">
      <c r="B14" s="19" t="s">
        <v>54</v>
      </c>
      <c r="C14" s="22">
        <v>0</v>
      </c>
      <c r="D14" s="22">
        <v>25</v>
      </c>
      <c r="E14" s="134">
        <v>0.01</v>
      </c>
      <c r="F14" s="164"/>
      <c r="G14" s="166"/>
    </row>
    <row r="15" spans="2:7" ht="19.5" customHeight="1" x14ac:dyDescent="0.35">
      <c r="B15" s="19" t="s">
        <v>55</v>
      </c>
      <c r="C15" s="22">
        <v>0</v>
      </c>
      <c r="D15" s="22">
        <v>2</v>
      </c>
      <c r="E15" s="134">
        <v>0.02</v>
      </c>
      <c r="F15" s="164"/>
      <c r="G15" s="166"/>
    </row>
    <row r="16" spans="2:7" ht="19.5" customHeight="1" thickBot="1" x14ac:dyDescent="0.4">
      <c r="B16" s="141" t="s">
        <v>56</v>
      </c>
      <c r="C16" s="142">
        <v>0</v>
      </c>
      <c r="D16" s="22">
        <v>480</v>
      </c>
      <c r="E16" s="134">
        <v>4</v>
      </c>
      <c r="F16" s="164"/>
      <c r="G16" s="167"/>
    </row>
    <row r="17" spans="2:19" ht="19.5" customHeight="1" thickBot="1" x14ac:dyDescent="0.4">
      <c r="B17" s="143" t="s">
        <v>57</v>
      </c>
      <c r="C17" s="144">
        <f>SUM(C4:C16)</f>
        <v>579</v>
      </c>
      <c r="D17" s="18"/>
      <c r="E17" s="18"/>
      <c r="F17" s="18"/>
    </row>
    <row r="18" spans="2:19" ht="19.5" customHeight="1" x14ac:dyDescent="0.35">
      <c r="B18" s="18"/>
      <c r="C18" s="18"/>
      <c r="D18" s="18"/>
      <c r="E18" s="18"/>
      <c r="F18" s="18"/>
    </row>
    <row r="19" spans="2:19" s="18" customFormat="1" ht="10.5" customHeight="1" x14ac:dyDescent="0.35"/>
    <row r="20" spans="2:19" s="18" customFormat="1" ht="31" customHeight="1" x14ac:dyDescent="0.35">
      <c r="B20" s="172" t="s">
        <v>189</v>
      </c>
      <c r="C20" s="173"/>
      <c r="D20" s="173"/>
      <c r="E20" s="174"/>
      <c r="F20" s="102"/>
    </row>
    <row r="21" spans="2:19" s="18" customFormat="1" ht="15.5" customHeight="1" x14ac:dyDescent="0.35">
      <c r="B21" s="82" t="s">
        <v>25</v>
      </c>
      <c r="C21" s="59" t="s">
        <v>69</v>
      </c>
      <c r="D21" s="59" t="s">
        <v>27</v>
      </c>
      <c r="E21" s="59" t="s">
        <v>68</v>
      </c>
    </row>
    <row r="22" spans="2:19" s="18" customFormat="1" ht="15.5" x14ac:dyDescent="0.35">
      <c r="B22" s="96" t="s">
        <v>188</v>
      </c>
      <c r="C22" s="128" t="s">
        <v>58</v>
      </c>
      <c r="D22" s="61">
        <f>C17</f>
        <v>579</v>
      </c>
      <c r="E22" s="61" t="s">
        <v>120</v>
      </c>
    </row>
    <row r="23" spans="2:19" s="18" customFormat="1" ht="19.5" customHeight="1" x14ac:dyDescent="0.35">
      <c r="B23" s="155" t="s">
        <v>83</v>
      </c>
      <c r="C23" s="157" t="s">
        <v>66</v>
      </c>
      <c r="D23" s="61">
        <v>144</v>
      </c>
      <c r="E23" s="61" t="s">
        <v>84</v>
      </c>
      <c r="G23" s="21"/>
    </row>
    <row r="24" spans="2:19" s="18" customFormat="1" ht="19.5" customHeight="1" x14ac:dyDescent="0.35">
      <c r="B24" s="156"/>
      <c r="C24" s="158"/>
      <c r="D24" s="61">
        <f>D23/1000</f>
        <v>0.14399999999999999</v>
      </c>
      <c r="E24" s="61" t="s">
        <v>85</v>
      </c>
      <c r="S24" s="17"/>
    </row>
    <row r="25" spans="2:19" s="18" customFormat="1" ht="19.5" customHeight="1" x14ac:dyDescent="0.35">
      <c r="B25" s="70" t="s">
        <v>133</v>
      </c>
      <c r="C25" s="61" t="s">
        <v>70</v>
      </c>
      <c r="D25" s="103">
        <v>10</v>
      </c>
      <c r="E25" s="103" t="s">
        <v>132</v>
      </c>
      <c r="S25" s="17"/>
    </row>
    <row r="26" spans="2:19" s="18" customFormat="1" ht="19.5" customHeight="1" x14ac:dyDescent="0.35">
      <c r="B26" s="70" t="s">
        <v>186</v>
      </c>
      <c r="C26" s="61" t="s">
        <v>59</v>
      </c>
      <c r="D26" s="104">
        <f>F4</f>
        <v>94.95682210708118</v>
      </c>
      <c r="E26" s="129" t="s">
        <v>121</v>
      </c>
      <c r="S26" s="17"/>
    </row>
    <row r="27" spans="2:19" s="18" customFormat="1" ht="19.5" customHeight="1" x14ac:dyDescent="0.35">
      <c r="B27" s="106" t="s">
        <v>187</v>
      </c>
      <c r="C27" s="108" t="s">
        <v>72</v>
      </c>
      <c r="D27" s="109">
        <f>(D26*C17)/1000</f>
        <v>54.98</v>
      </c>
      <c r="E27" s="108" t="s">
        <v>73</v>
      </c>
      <c r="S27" s="17"/>
    </row>
    <row r="28" spans="2:19" s="18" customFormat="1" ht="19.5" customHeight="1" x14ac:dyDescent="0.35">
      <c r="B28" s="76" t="s">
        <v>134</v>
      </c>
      <c r="C28" s="103" t="s">
        <v>62</v>
      </c>
      <c r="D28" s="104">
        <f>D27/D25</f>
        <v>5.4979999999999993</v>
      </c>
      <c r="E28" s="103" t="s">
        <v>71</v>
      </c>
      <c r="K28" s="145"/>
      <c r="S28" s="17"/>
    </row>
    <row r="29" spans="2:19" s="18" customFormat="1" ht="19.5" customHeight="1" x14ac:dyDescent="0.35">
      <c r="B29" s="106" t="s">
        <v>78</v>
      </c>
      <c r="C29" s="108" t="s">
        <v>63</v>
      </c>
      <c r="D29" s="109">
        <f>SQRT(D28)</f>
        <v>2.3447814397081874</v>
      </c>
      <c r="E29" s="108" t="s">
        <v>77</v>
      </c>
      <c r="K29" s="145"/>
      <c r="S29" s="17"/>
    </row>
    <row r="30" spans="2:19" s="18" customFormat="1" ht="19.5" customHeight="1" x14ac:dyDescent="0.35">
      <c r="B30" s="76" t="s">
        <v>135</v>
      </c>
      <c r="C30" s="103" t="s">
        <v>79</v>
      </c>
      <c r="D30" s="104">
        <v>0.5</v>
      </c>
      <c r="E30" s="103" t="s">
        <v>80</v>
      </c>
      <c r="K30" s="145"/>
      <c r="S30" s="17"/>
    </row>
    <row r="31" spans="2:19" s="18" customFormat="1" ht="19.5" customHeight="1" x14ac:dyDescent="0.35">
      <c r="B31" s="76" t="s">
        <v>81</v>
      </c>
      <c r="C31" s="103" t="s">
        <v>82</v>
      </c>
      <c r="D31" s="105">
        <f>(D27*D24)/D30</f>
        <v>15.834239999999998</v>
      </c>
      <c r="E31" s="103" t="s">
        <v>86</v>
      </c>
      <c r="F31" s="28"/>
      <c r="K31" s="145"/>
      <c r="S31" s="17"/>
    </row>
    <row r="32" spans="2:19" s="18" customFormat="1" ht="19.5" customHeight="1" x14ac:dyDescent="0.35">
      <c r="B32" s="76" t="s">
        <v>140</v>
      </c>
      <c r="C32" s="103" t="s">
        <v>74</v>
      </c>
      <c r="D32" s="104">
        <f>D31/D28</f>
        <v>2.88</v>
      </c>
      <c r="E32" s="103" t="s">
        <v>77</v>
      </c>
      <c r="K32" s="145"/>
      <c r="S32" s="17"/>
    </row>
    <row r="33" spans="2:19" s="18" customFormat="1" ht="19.5" customHeight="1" x14ac:dyDescent="0.35">
      <c r="B33" s="42" t="s">
        <v>141</v>
      </c>
      <c r="C33" s="88" t="s">
        <v>61</v>
      </c>
      <c r="D33" s="110">
        <f>D32+D34+D35</f>
        <v>3.88</v>
      </c>
      <c r="E33" s="88" t="s">
        <v>77</v>
      </c>
      <c r="K33" s="145"/>
      <c r="S33" s="17"/>
    </row>
    <row r="34" spans="2:19" s="18" customFormat="1" ht="15.5" x14ac:dyDescent="0.35">
      <c r="B34" s="76" t="s">
        <v>142</v>
      </c>
      <c r="C34" s="61" t="s">
        <v>76</v>
      </c>
      <c r="D34" s="61">
        <v>0.5</v>
      </c>
      <c r="E34" s="61" t="s">
        <v>77</v>
      </c>
      <c r="I34" s="28"/>
      <c r="K34" s="145"/>
      <c r="S34" s="17"/>
    </row>
    <row r="35" spans="2:19" s="18" customFormat="1" ht="16" customHeight="1" x14ac:dyDescent="0.35">
      <c r="B35" s="70" t="s">
        <v>143</v>
      </c>
      <c r="C35" s="61" t="s">
        <v>75</v>
      </c>
      <c r="D35" s="61">
        <v>0.5</v>
      </c>
      <c r="E35" s="61" t="s">
        <v>77</v>
      </c>
      <c r="F35" s="18" t="s">
        <v>146</v>
      </c>
      <c r="K35" s="145"/>
      <c r="S35" s="17"/>
    </row>
    <row r="36" spans="2:19" s="18" customFormat="1" ht="19.5" customHeight="1" x14ac:dyDescent="0.35">
      <c r="B36" s="42" t="s">
        <v>87</v>
      </c>
      <c r="C36" s="88" t="s">
        <v>88</v>
      </c>
      <c r="D36" s="107">
        <f>D28*D33</f>
        <v>21.332239999999995</v>
      </c>
      <c r="E36" s="88" t="s">
        <v>86</v>
      </c>
      <c r="K36" s="145"/>
      <c r="S36" s="17"/>
    </row>
    <row r="37" spans="2:19" s="18" customFormat="1" ht="35.65" customHeight="1" x14ac:dyDescent="0.35">
      <c r="B37" s="76" t="s">
        <v>100</v>
      </c>
      <c r="C37" s="61" t="s">
        <v>89</v>
      </c>
      <c r="D37" s="74">
        <f>(D27*D24)/D36</f>
        <v>0.37113402061855671</v>
      </c>
      <c r="E37" s="61" t="s">
        <v>90</v>
      </c>
      <c r="F37" s="168" t="s">
        <v>144</v>
      </c>
      <c r="G37" s="169"/>
      <c r="H37" s="169"/>
      <c r="I37" s="169"/>
      <c r="K37" s="145"/>
      <c r="S37" s="17"/>
    </row>
    <row r="38" spans="2:19" s="18" customFormat="1" ht="19.5" customHeight="1" x14ac:dyDescent="0.35">
      <c r="B38" s="170" t="s">
        <v>91</v>
      </c>
      <c r="C38" s="157" t="s">
        <v>92</v>
      </c>
      <c r="D38" s="74">
        <f>D31/D27</f>
        <v>0.28799999999999998</v>
      </c>
      <c r="E38" s="61" t="s">
        <v>93</v>
      </c>
      <c r="S38" s="17"/>
    </row>
    <row r="39" spans="2:19" s="18" customFormat="1" ht="19.5" customHeight="1" x14ac:dyDescent="0.35">
      <c r="B39" s="171"/>
      <c r="C39" s="158"/>
      <c r="D39" s="74">
        <f>D38*24</f>
        <v>6.911999999999999</v>
      </c>
      <c r="E39" s="61" t="s">
        <v>94</v>
      </c>
    </row>
    <row r="40" spans="2:19" s="18" customFormat="1" ht="19.5" customHeight="1" x14ac:dyDescent="0.35">
      <c r="B40" s="106" t="s">
        <v>95</v>
      </c>
      <c r="C40" s="88" t="s">
        <v>67</v>
      </c>
      <c r="D40" s="107">
        <f>100*(1-0.87*(D39)^-0.5)</f>
        <v>66.908428817396199</v>
      </c>
      <c r="E40" s="88" t="s">
        <v>96</v>
      </c>
    </row>
    <row r="41" spans="2:19" s="18" customFormat="1" ht="19.5" customHeight="1" x14ac:dyDescent="0.35">
      <c r="B41" s="106" t="s">
        <v>97</v>
      </c>
      <c r="C41" s="88" t="s">
        <v>98</v>
      </c>
      <c r="D41" s="110">
        <f>D23-((D40*D23)/100)</f>
        <v>47.651862502949484</v>
      </c>
      <c r="E41" s="88" t="s">
        <v>84</v>
      </c>
    </row>
    <row r="42" spans="2:19" s="18" customFormat="1" ht="19.5" customHeight="1" x14ac:dyDescent="0.35"/>
    <row r="43" spans="2:19" s="18" customFormat="1" ht="19.5" customHeight="1" x14ac:dyDescent="0.35"/>
    <row r="44" spans="2:19" s="18" customFormat="1" ht="19.5" customHeight="1" x14ac:dyDescent="0.35"/>
    <row r="45" spans="2:19" s="18" customFormat="1" ht="19.5" customHeight="1" x14ac:dyDescent="0.35"/>
    <row r="46" spans="2:19" s="18" customFormat="1" ht="19.5" customHeight="1" x14ac:dyDescent="0.35"/>
    <row r="47" spans="2:19" s="18" customFormat="1" ht="19.5" customHeight="1" x14ac:dyDescent="0.35"/>
    <row r="48" spans="2:19" s="18" customFormat="1" ht="19.5" customHeight="1" x14ac:dyDescent="0.35"/>
    <row r="49" spans="2:5" s="18" customFormat="1" ht="19.5" customHeight="1" x14ac:dyDescent="0.35"/>
    <row r="50" spans="2:5" s="18" customFormat="1" ht="19.5" customHeight="1" x14ac:dyDescent="0.35"/>
    <row r="51" spans="2:5" s="18" customFormat="1" ht="19.5" customHeight="1" x14ac:dyDescent="0.35"/>
    <row r="52" spans="2:5" s="18" customFormat="1" ht="19.5" customHeight="1" x14ac:dyDescent="0.35"/>
    <row r="53" spans="2:5" s="18" customFormat="1" ht="19.5" customHeight="1" x14ac:dyDescent="0.35"/>
    <row r="54" spans="2:5" s="18" customFormat="1" ht="19.5" customHeight="1" x14ac:dyDescent="0.35"/>
    <row r="55" spans="2:5" s="18" customFormat="1" ht="19.5" customHeight="1" x14ac:dyDescent="0.35"/>
    <row r="56" spans="2:5" s="18" customFormat="1" ht="19.5" customHeight="1" x14ac:dyDescent="0.35"/>
    <row r="57" spans="2:5" ht="19.5" customHeight="1" x14ac:dyDescent="0.35">
      <c r="B57" s="18"/>
      <c r="C57" s="18"/>
      <c r="D57" s="18"/>
      <c r="E57" s="18"/>
    </row>
    <row r="58" spans="2:5" ht="19.5" customHeight="1" x14ac:dyDescent="0.35">
      <c r="B58" s="18"/>
      <c r="C58" s="18"/>
      <c r="D58" s="18"/>
      <c r="E58" s="18"/>
    </row>
    <row r="59" spans="2:5" ht="19.5" customHeight="1" x14ac:dyDescent="0.35">
      <c r="B59" s="18"/>
      <c r="C59" s="18"/>
      <c r="D59" s="18"/>
      <c r="E59" s="18"/>
    </row>
  </sheetData>
  <mergeCells count="8">
    <mergeCell ref="F4:F16"/>
    <mergeCell ref="G4:G16"/>
    <mergeCell ref="F37:I37"/>
    <mergeCell ref="B38:B39"/>
    <mergeCell ref="C38:C39"/>
    <mergeCell ref="B20:E20"/>
    <mergeCell ref="B23:B24"/>
    <mergeCell ref="C23:C24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618DE-BA94-469B-BCF1-07C21F5DB019}">
  <sheetPr codeName="Hoja7">
    <tabColor rgb="FFFFFF00"/>
  </sheetPr>
  <dimension ref="A1:U98"/>
  <sheetViews>
    <sheetView zoomScale="60" zoomScaleNormal="60" workbookViewId="0">
      <selection activeCell="H20" sqref="H20"/>
    </sheetView>
  </sheetViews>
  <sheetFormatPr baseColWidth="10" defaultColWidth="10.90625" defaultRowHeight="15.5" x14ac:dyDescent="0.35"/>
  <cols>
    <col min="1" max="1" width="3.7265625" style="18" customWidth="1"/>
    <col min="2" max="2" width="40.08984375" style="17" customWidth="1"/>
    <col min="3" max="3" width="16.6328125" style="17" customWidth="1"/>
    <col min="4" max="4" width="16.26953125" style="17" bestFit="1" customWidth="1"/>
    <col min="5" max="5" width="12.90625" style="17" customWidth="1"/>
    <col min="6" max="6" width="29.7265625" style="17" customWidth="1"/>
    <col min="7" max="10" width="10.90625" style="18"/>
    <col min="11" max="11" width="17.08984375" style="18" bestFit="1" customWidth="1"/>
    <col min="12" max="21" width="10.90625" style="18"/>
    <col min="22" max="16384" width="10.90625" style="17"/>
  </cols>
  <sheetData>
    <row r="1" spans="2:8" s="18" customFormat="1" x14ac:dyDescent="0.35"/>
    <row r="2" spans="2:8" ht="32" customHeight="1" x14ac:dyDescent="0.35">
      <c r="B2" s="175" t="s">
        <v>190</v>
      </c>
      <c r="C2" s="175"/>
      <c r="D2" s="175"/>
      <c r="E2" s="175"/>
      <c r="F2" s="175"/>
    </row>
    <row r="3" spans="2:8" x14ac:dyDescent="0.35">
      <c r="B3" s="116" t="s">
        <v>25</v>
      </c>
      <c r="C3" s="59" t="s">
        <v>69</v>
      </c>
      <c r="D3" s="59" t="s">
        <v>27</v>
      </c>
      <c r="E3" s="59" t="s">
        <v>68</v>
      </c>
      <c r="F3" s="117" t="s">
        <v>28</v>
      </c>
    </row>
    <row r="4" spans="2:8" x14ac:dyDescent="0.35">
      <c r="B4" s="118" t="s">
        <v>119</v>
      </c>
      <c r="C4" s="119" t="s">
        <v>58</v>
      </c>
      <c r="D4" s="119">
        <f>'F.A '!C17</f>
        <v>579</v>
      </c>
      <c r="E4" s="120" t="s">
        <v>120</v>
      </c>
      <c r="F4" s="119"/>
    </row>
    <row r="5" spans="2:8" x14ac:dyDescent="0.35">
      <c r="B5" s="120" t="s">
        <v>123</v>
      </c>
      <c r="C5" s="22" t="s">
        <v>59</v>
      </c>
      <c r="D5" s="130">
        <f>'F.A '!D26</f>
        <v>94.95682210708118</v>
      </c>
      <c r="E5" s="120" t="s">
        <v>121</v>
      </c>
      <c r="F5" s="119"/>
    </row>
    <row r="6" spans="2:8" x14ac:dyDescent="0.35">
      <c r="B6" s="120" t="s">
        <v>129</v>
      </c>
      <c r="C6" s="22" t="s">
        <v>128</v>
      </c>
      <c r="D6" s="121">
        <f>D4*D5/1000</f>
        <v>54.98</v>
      </c>
      <c r="E6" s="120" t="s">
        <v>73</v>
      </c>
      <c r="F6" s="119"/>
    </row>
    <row r="7" spans="2:8" x14ac:dyDescent="0.35">
      <c r="B7" s="120" t="s">
        <v>145</v>
      </c>
      <c r="C7" s="119" t="s">
        <v>122</v>
      </c>
      <c r="D7" s="119">
        <v>30</v>
      </c>
      <c r="E7" s="120" t="s">
        <v>122</v>
      </c>
      <c r="F7" s="120"/>
    </row>
    <row r="8" spans="2:8" x14ac:dyDescent="0.35">
      <c r="B8" s="178" t="s">
        <v>125</v>
      </c>
      <c r="C8" s="180" t="s">
        <v>130</v>
      </c>
      <c r="D8" s="88">
        <v>144</v>
      </c>
      <c r="E8" s="41" t="s">
        <v>84</v>
      </c>
      <c r="F8" s="35" t="s">
        <v>99</v>
      </c>
    </row>
    <row r="9" spans="2:8" x14ac:dyDescent="0.35">
      <c r="B9" s="179"/>
      <c r="C9" s="181"/>
      <c r="D9" s="125">
        <f>D8/1000</f>
        <v>0.14399999999999999</v>
      </c>
      <c r="E9" s="41" t="s">
        <v>85</v>
      </c>
      <c r="F9" s="126"/>
    </row>
    <row r="10" spans="2:8" x14ac:dyDescent="0.35">
      <c r="B10" s="176" t="s">
        <v>124</v>
      </c>
      <c r="C10" s="177" t="s">
        <v>131</v>
      </c>
      <c r="D10" s="88">
        <v>20</v>
      </c>
      <c r="E10" s="41" t="s">
        <v>84</v>
      </c>
      <c r="F10" s="35"/>
    </row>
    <row r="11" spans="2:8" x14ac:dyDescent="0.35">
      <c r="B11" s="176"/>
      <c r="C11" s="177"/>
      <c r="D11" s="125">
        <f>D10/1000</f>
        <v>0.02</v>
      </c>
      <c r="E11" s="41" t="s">
        <v>85</v>
      </c>
      <c r="F11" s="126"/>
    </row>
    <row r="12" spans="2:8" x14ac:dyDescent="0.35">
      <c r="B12" s="120" t="s">
        <v>126</v>
      </c>
      <c r="C12" s="119" t="s">
        <v>60</v>
      </c>
      <c r="D12" s="122">
        <f>1.104*1.06^(D7-20)</f>
        <v>1.9770958569833117</v>
      </c>
      <c r="E12" s="120"/>
      <c r="F12" s="119"/>
    </row>
    <row r="13" spans="2:8" x14ac:dyDescent="0.35">
      <c r="B13" s="120" t="s">
        <v>108</v>
      </c>
      <c r="C13" s="119" t="s">
        <v>75</v>
      </c>
      <c r="D13" s="119">
        <v>0.45</v>
      </c>
      <c r="E13" s="120" t="s">
        <v>77</v>
      </c>
      <c r="F13" s="119"/>
    </row>
    <row r="14" spans="2:8" x14ac:dyDescent="0.35">
      <c r="B14" s="120" t="s">
        <v>109</v>
      </c>
      <c r="C14" s="119" t="s">
        <v>110</v>
      </c>
      <c r="D14" s="123">
        <v>0.38</v>
      </c>
      <c r="E14" s="120" t="s">
        <v>96</v>
      </c>
      <c r="F14" s="119"/>
    </row>
    <row r="15" spans="2:8" x14ac:dyDescent="0.35">
      <c r="B15" s="120" t="s">
        <v>111</v>
      </c>
      <c r="C15" s="119" t="s">
        <v>65</v>
      </c>
      <c r="D15" s="123">
        <v>0.01</v>
      </c>
      <c r="E15" s="120" t="s">
        <v>96</v>
      </c>
      <c r="F15" s="119"/>
    </row>
    <row r="16" spans="2:8" x14ac:dyDescent="0.35">
      <c r="B16" s="120" t="s">
        <v>112</v>
      </c>
      <c r="C16" s="22" t="s">
        <v>113</v>
      </c>
      <c r="D16" s="124">
        <f>D6*((LN(D8)-LN(D10))/(D12*D13*D14))</f>
        <v>321.03018818810511</v>
      </c>
      <c r="E16" s="120" t="s">
        <v>71</v>
      </c>
      <c r="F16" s="119"/>
      <c r="H16" s="28"/>
    </row>
    <row r="17" spans="2:6" x14ac:dyDescent="0.35">
      <c r="B17" s="120" t="s">
        <v>114</v>
      </c>
      <c r="C17" s="22" t="s">
        <v>64</v>
      </c>
      <c r="D17" s="124">
        <f>D14*D16*D13/(D6)</f>
        <v>0.99847512150174567</v>
      </c>
      <c r="E17" s="118" t="s">
        <v>93</v>
      </c>
      <c r="F17" s="118" t="s">
        <v>192</v>
      </c>
    </row>
    <row r="18" spans="2:6" x14ac:dyDescent="0.35">
      <c r="B18" s="120" t="s">
        <v>115</v>
      </c>
      <c r="C18" s="22" t="s">
        <v>107</v>
      </c>
      <c r="D18" s="124">
        <f>D16*D13</f>
        <v>144.46358468464732</v>
      </c>
      <c r="E18" s="118" t="s">
        <v>86</v>
      </c>
      <c r="F18" s="118"/>
    </row>
    <row r="19" spans="2:6" x14ac:dyDescent="0.35">
      <c r="B19" s="120" t="s">
        <v>105</v>
      </c>
      <c r="C19" s="22" t="s">
        <v>106</v>
      </c>
      <c r="D19" s="124">
        <v>3</v>
      </c>
      <c r="E19" s="118"/>
      <c r="F19" s="118" t="s">
        <v>191</v>
      </c>
    </row>
    <row r="20" spans="2:6" x14ac:dyDescent="0.35">
      <c r="B20" s="35" t="s">
        <v>178</v>
      </c>
      <c r="C20" s="125" t="s">
        <v>116</v>
      </c>
      <c r="D20" s="127">
        <f>SQRT(D16/D19)</f>
        <v>10.344566821736345</v>
      </c>
      <c r="E20" s="34" t="s">
        <v>77</v>
      </c>
      <c r="F20" s="34"/>
    </row>
    <row r="21" spans="2:6" x14ac:dyDescent="0.35">
      <c r="B21" s="35" t="s">
        <v>179</v>
      </c>
      <c r="C21" s="125" t="s">
        <v>63</v>
      </c>
      <c r="D21" s="127">
        <f>D19*D20</f>
        <v>31.033700465209037</v>
      </c>
      <c r="E21" s="34" t="s">
        <v>77</v>
      </c>
      <c r="F21" s="34"/>
    </row>
    <row r="22" spans="2:6" x14ac:dyDescent="0.35">
      <c r="B22" s="120" t="s">
        <v>117</v>
      </c>
      <c r="C22" s="22" t="s">
        <v>118</v>
      </c>
      <c r="D22" s="124">
        <f>5*D6/(D20*D13*D15)</f>
        <v>5905.4081182526543</v>
      </c>
      <c r="E22" s="118" t="s">
        <v>127</v>
      </c>
      <c r="F22" s="118"/>
    </row>
    <row r="23" spans="2:6" s="18" customFormat="1" x14ac:dyDescent="0.35">
      <c r="D23" s="25"/>
    </row>
    <row r="24" spans="2:6" s="18" customFormat="1" x14ac:dyDescent="0.35">
      <c r="D24" s="25"/>
    </row>
    <row r="25" spans="2:6" s="18" customFormat="1" x14ac:dyDescent="0.35">
      <c r="D25" s="25"/>
    </row>
    <row r="26" spans="2:6" s="18" customFormat="1" x14ac:dyDescent="0.35"/>
    <row r="27" spans="2:6" s="18" customFormat="1" x14ac:dyDescent="0.35"/>
    <row r="28" spans="2:6" s="18" customFormat="1" x14ac:dyDescent="0.35"/>
    <row r="29" spans="2:6" s="18" customFormat="1" x14ac:dyDescent="0.35"/>
    <row r="30" spans="2:6" s="18" customFormat="1" x14ac:dyDescent="0.35"/>
    <row r="31" spans="2:6" s="18" customFormat="1" x14ac:dyDescent="0.35"/>
    <row r="32" spans="2:6" s="18" customFormat="1" x14ac:dyDescent="0.35"/>
    <row r="33" s="18" customFormat="1" x14ac:dyDescent="0.35"/>
    <row r="34" s="18" customFormat="1" x14ac:dyDescent="0.35"/>
    <row r="35" s="18" customFormat="1" x14ac:dyDescent="0.35"/>
    <row r="36" s="18" customFormat="1" x14ac:dyDescent="0.35"/>
    <row r="37" s="18" customFormat="1" x14ac:dyDescent="0.35"/>
    <row r="38" s="18" customFormat="1" x14ac:dyDescent="0.35"/>
    <row r="39" s="18" customFormat="1" x14ac:dyDescent="0.35"/>
    <row r="40" s="18" customFormat="1" x14ac:dyDescent="0.35"/>
    <row r="41" s="18" customFormat="1" x14ac:dyDescent="0.35"/>
    <row r="42" s="18" customFormat="1" x14ac:dyDescent="0.35"/>
    <row r="43" s="18" customFormat="1" x14ac:dyDescent="0.35"/>
    <row r="44" s="18" customFormat="1" x14ac:dyDescent="0.35"/>
    <row r="45" s="18" customFormat="1" x14ac:dyDescent="0.35"/>
    <row r="46" s="18" customFormat="1" x14ac:dyDescent="0.35"/>
    <row r="47" s="18" customFormat="1" x14ac:dyDescent="0.35"/>
    <row r="48" s="18" customFormat="1" x14ac:dyDescent="0.35"/>
    <row r="49" s="18" customFormat="1" x14ac:dyDescent="0.35"/>
    <row r="50" s="18" customFormat="1" x14ac:dyDescent="0.35"/>
    <row r="51" s="18" customFormat="1" x14ac:dyDescent="0.35"/>
    <row r="52" s="18" customFormat="1" x14ac:dyDescent="0.35"/>
    <row r="53" s="18" customFormat="1" x14ac:dyDescent="0.35"/>
    <row r="54" s="18" customFormat="1" x14ac:dyDescent="0.35"/>
    <row r="55" s="18" customFormat="1" x14ac:dyDescent="0.35"/>
    <row r="56" s="18" customFormat="1" x14ac:dyDescent="0.35"/>
    <row r="57" s="18" customFormat="1" x14ac:dyDescent="0.35"/>
    <row r="58" s="18" customFormat="1" x14ac:dyDescent="0.35"/>
    <row r="59" s="18" customFormat="1" x14ac:dyDescent="0.35"/>
    <row r="60" s="18" customFormat="1" x14ac:dyDescent="0.35"/>
    <row r="61" s="18" customFormat="1" x14ac:dyDescent="0.35"/>
    <row r="62" s="18" customFormat="1" x14ac:dyDescent="0.35"/>
    <row r="63" s="18" customFormat="1" x14ac:dyDescent="0.35"/>
    <row r="64" s="18" customFormat="1" x14ac:dyDescent="0.35"/>
    <row r="65" s="18" customFormat="1" x14ac:dyDescent="0.35"/>
    <row r="66" s="18" customFormat="1" x14ac:dyDescent="0.35"/>
    <row r="67" s="18" customFormat="1" x14ac:dyDescent="0.35"/>
    <row r="68" s="18" customFormat="1" x14ac:dyDescent="0.35"/>
    <row r="69" s="18" customFormat="1" x14ac:dyDescent="0.35"/>
    <row r="70" s="18" customFormat="1" x14ac:dyDescent="0.35"/>
    <row r="71" s="18" customFormat="1" x14ac:dyDescent="0.35"/>
    <row r="72" s="18" customFormat="1" x14ac:dyDescent="0.35"/>
    <row r="73" s="18" customFormat="1" x14ac:dyDescent="0.35"/>
    <row r="74" s="18" customFormat="1" x14ac:dyDescent="0.35"/>
    <row r="75" s="18" customFormat="1" x14ac:dyDescent="0.35"/>
    <row r="76" s="18" customFormat="1" x14ac:dyDescent="0.35"/>
    <row r="77" s="18" customFormat="1" x14ac:dyDescent="0.35"/>
    <row r="78" s="18" customFormat="1" x14ac:dyDescent="0.35"/>
    <row r="79" s="18" customFormat="1" x14ac:dyDescent="0.35"/>
    <row r="80" s="18" customFormat="1" x14ac:dyDescent="0.35"/>
    <row r="81" s="18" customFormat="1" x14ac:dyDescent="0.35"/>
    <row r="82" s="18" customFormat="1" x14ac:dyDescent="0.35"/>
    <row r="83" s="18" customFormat="1" x14ac:dyDescent="0.35"/>
    <row r="84" s="18" customFormat="1" x14ac:dyDescent="0.35"/>
    <row r="85" s="18" customFormat="1" x14ac:dyDescent="0.35"/>
    <row r="86" s="18" customFormat="1" x14ac:dyDescent="0.35"/>
    <row r="87" s="18" customFormat="1" x14ac:dyDescent="0.35"/>
    <row r="88" s="18" customFormat="1" x14ac:dyDescent="0.35"/>
    <row r="89" s="18" customFormat="1" x14ac:dyDescent="0.35"/>
    <row r="90" s="18" customFormat="1" x14ac:dyDescent="0.35"/>
    <row r="91" s="18" customFormat="1" x14ac:dyDescent="0.35"/>
    <row r="92" s="18" customFormat="1" x14ac:dyDescent="0.35"/>
    <row r="93" s="18" customFormat="1" x14ac:dyDescent="0.35"/>
    <row r="94" s="18" customFormat="1" x14ac:dyDescent="0.35"/>
    <row r="95" s="18" customFormat="1" x14ac:dyDescent="0.35"/>
    <row r="96" s="18" customFormat="1" x14ac:dyDescent="0.35"/>
    <row r="97" s="18" customFormat="1" x14ac:dyDescent="0.35"/>
    <row r="98" s="18" customFormat="1" x14ac:dyDescent="0.35"/>
  </sheetData>
  <mergeCells count="5">
    <mergeCell ref="B2:F2"/>
    <mergeCell ref="B10:B11"/>
    <mergeCell ref="C10:C11"/>
    <mergeCell ref="B8:B9"/>
    <mergeCell ref="C8:C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Proyeción Población</vt:lpstr>
      <vt:lpstr>Caudales</vt:lpstr>
      <vt:lpstr>T.G </vt:lpstr>
      <vt:lpstr>S.P </vt:lpstr>
      <vt:lpstr>F.A </vt:lpstr>
      <vt:lpstr>H.A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Jhon Motta</dc:creator>
  <cp:lastModifiedBy>LINDA VANESSA MOTTA GARNICA</cp:lastModifiedBy>
  <dcterms:created xsi:type="dcterms:W3CDTF">2024-02-13T12:06:34Z</dcterms:created>
  <dcterms:modified xsi:type="dcterms:W3CDTF">2024-10-17T01:52:06Z</dcterms:modified>
</cp:coreProperties>
</file>