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upcedu-my.sharepoint.com/personal/gilma-muneton_upc_edu_co/Documents/GILMA/Trabajo final de grado especialización/"/>
    </mc:Choice>
  </mc:AlternateContent>
  <xr:revisionPtr revIDLastSave="6" documentId="8_{4606F556-AD32-C142-9A7E-04588A36FC76}" xr6:coauthVersionLast="47" xr6:coauthVersionMax="47" xr10:uidLastSave="{1F56F6EA-484F-4520-8AF1-0668E6FF26B1}"/>
  <bookViews>
    <workbookView xWindow="-120" yWindow="-120" windowWidth="20730" windowHeight="11160" firstSheet="5" activeTab="5" xr2:uid="{00000000-000D-0000-FFFF-FFFF00000000}"/>
  </bookViews>
  <sheets>
    <sheet name="FC_Año 0" sheetId="2" state="hidden" r:id="rId1"/>
    <sheet name="FC_Año 1" sheetId="11" state="hidden" r:id="rId2"/>
    <sheet name="FC_Año 2" sheetId="12" state="hidden" r:id="rId3"/>
    <sheet name="FC_Año 3" sheetId="13" state="hidden" r:id="rId4"/>
    <sheet name="FC_Año 4" sheetId="14" state="hidden" r:id="rId5"/>
    <sheet name="Estado Resultados" sheetId="15" r:id="rId6"/>
    <sheet name="Estado Tesoreria" sheetId="16" r:id="rId7"/>
    <sheet name="E_Indicadores" sheetId="10" r:id="rId8"/>
    <sheet name="Estudio Viabilidad" sheetId="21" r:id="rId9"/>
  </sheets>
  <externalReferences>
    <externalReference r:id="rId10"/>
    <externalReference r:id="rId11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" i="10" l="1"/>
  <c r="M15" i="10"/>
  <c r="M24" i="10"/>
  <c r="H23" i="16"/>
  <c r="G23" i="16"/>
  <c r="F23" i="16"/>
  <c r="E23" i="16"/>
  <c r="I14" i="16"/>
  <c r="H14" i="16"/>
  <c r="G14" i="16"/>
  <c r="F14" i="16"/>
  <c r="E14" i="16"/>
  <c r="M8" i="10"/>
  <c r="I23" i="16"/>
  <c r="I25" i="16"/>
  <c r="I30" i="16"/>
  <c r="H25" i="16"/>
  <c r="H30" i="16"/>
  <c r="G25" i="16"/>
  <c r="G30" i="16"/>
  <c r="F25" i="16"/>
  <c r="F30" i="16"/>
  <c r="E25" i="16"/>
  <c r="E30" i="16"/>
  <c r="M10" i="10"/>
  <c r="Q8" i="10"/>
  <c r="P8" i="10"/>
  <c r="O8" i="10"/>
  <c r="N8" i="10"/>
  <c r="H21" i="15"/>
  <c r="G21" i="15"/>
  <c r="E21" i="15"/>
  <c r="E26" i="16"/>
  <c r="H26" i="16"/>
  <c r="I26" i="16"/>
  <c r="F26" i="16"/>
  <c r="G26" i="16"/>
  <c r="D37" i="15"/>
  <c r="I33" i="15"/>
  <c r="F33" i="15"/>
  <c r="E33" i="15"/>
  <c r="D17" i="15"/>
  <c r="D5" i="15"/>
  <c r="H9" i="15"/>
  <c r="H11" i="15"/>
  <c r="G9" i="15"/>
  <c r="G11" i="15"/>
  <c r="F9" i="15"/>
  <c r="F11" i="15"/>
  <c r="I9" i="15"/>
  <c r="I11" i="15"/>
  <c r="E9" i="15"/>
  <c r="E11" i="15"/>
  <c r="E16" i="15"/>
  <c r="F21" i="15"/>
  <c r="I21" i="15"/>
  <c r="F14" i="15"/>
  <c r="E13" i="15"/>
  <c r="F16" i="15"/>
  <c r="G14" i="15"/>
  <c r="E19" i="15"/>
  <c r="E30" i="15"/>
  <c r="E36" i="15"/>
  <c r="E38" i="15"/>
  <c r="E40" i="15"/>
  <c r="F13" i="15"/>
  <c r="F19" i="15"/>
  <c r="F30" i="15"/>
  <c r="F36" i="15"/>
  <c r="F38" i="15"/>
  <c r="F40" i="15"/>
  <c r="G16" i="15"/>
  <c r="H14" i="15"/>
  <c r="C13" i="14"/>
  <c r="O13" i="14"/>
  <c r="C15" i="14"/>
  <c r="C30" i="14"/>
  <c r="C44" i="14"/>
  <c r="D8" i="14"/>
  <c r="D30" i="14"/>
  <c r="D44" i="14"/>
  <c r="E8" i="14"/>
  <c r="E30" i="14"/>
  <c r="E44" i="14"/>
  <c r="F8" i="14"/>
  <c r="F30" i="14"/>
  <c r="F44" i="14"/>
  <c r="G8" i="14"/>
  <c r="C22" i="14"/>
  <c r="C28" i="14"/>
  <c r="C36" i="14"/>
  <c r="C42" i="14"/>
  <c r="D13" i="14"/>
  <c r="D15" i="14"/>
  <c r="D19" i="14"/>
  <c r="D22" i="14"/>
  <c r="D28" i="14"/>
  <c r="D36" i="14"/>
  <c r="D42" i="14"/>
  <c r="E13" i="14"/>
  <c r="E15" i="14"/>
  <c r="E19" i="14"/>
  <c r="E22" i="14"/>
  <c r="E28" i="14"/>
  <c r="E36" i="14"/>
  <c r="E42" i="14"/>
  <c r="F13" i="14"/>
  <c r="F15" i="14"/>
  <c r="F19" i="14"/>
  <c r="F28" i="14"/>
  <c r="F22" i="14"/>
  <c r="F36" i="14"/>
  <c r="F42" i="14"/>
  <c r="G13" i="14"/>
  <c r="G15" i="14"/>
  <c r="G22" i="14"/>
  <c r="G36" i="14"/>
  <c r="G42" i="14"/>
  <c r="H13" i="14"/>
  <c r="H15" i="14"/>
  <c r="H22" i="14"/>
  <c r="H36" i="14"/>
  <c r="H42" i="14"/>
  <c r="I13" i="14"/>
  <c r="I15" i="14"/>
  <c r="I22" i="14"/>
  <c r="I36" i="14"/>
  <c r="I42" i="14"/>
  <c r="J13" i="14"/>
  <c r="J15" i="14"/>
  <c r="J22" i="14"/>
  <c r="J36" i="14"/>
  <c r="J42" i="14"/>
  <c r="K13" i="14"/>
  <c r="K15" i="14"/>
  <c r="K22" i="14"/>
  <c r="K36" i="14"/>
  <c r="K42" i="14"/>
  <c r="L13" i="14"/>
  <c r="L15" i="14"/>
  <c r="L22" i="14"/>
  <c r="L36" i="14"/>
  <c r="L42" i="14"/>
  <c r="M13" i="14"/>
  <c r="M15" i="14"/>
  <c r="M22" i="14"/>
  <c r="M36" i="14"/>
  <c r="M42" i="14"/>
  <c r="N13" i="14"/>
  <c r="N15" i="14"/>
  <c r="N22" i="14"/>
  <c r="N36" i="14"/>
  <c r="N42" i="14"/>
  <c r="O12" i="14"/>
  <c r="O15" i="14"/>
  <c r="C13" i="13"/>
  <c r="O13" i="13"/>
  <c r="O15" i="13"/>
  <c r="C15" i="13"/>
  <c r="C30" i="13"/>
  <c r="C44" i="13"/>
  <c r="D8" i="13"/>
  <c r="D30" i="13"/>
  <c r="D44" i="13"/>
  <c r="E8" i="13"/>
  <c r="C22" i="13"/>
  <c r="C28" i="13"/>
  <c r="C36" i="13"/>
  <c r="C42" i="13"/>
  <c r="D13" i="13"/>
  <c r="D15" i="13"/>
  <c r="D19" i="13"/>
  <c r="D28" i="13"/>
  <c r="D22" i="13"/>
  <c r="D36" i="13"/>
  <c r="D42" i="13"/>
  <c r="E13" i="13"/>
  <c r="E15" i="13"/>
  <c r="E19" i="13"/>
  <c r="E28" i="13"/>
  <c r="E22" i="13"/>
  <c r="E36" i="13"/>
  <c r="E42" i="13"/>
  <c r="F13" i="13"/>
  <c r="F15" i="13"/>
  <c r="F22" i="13"/>
  <c r="F36" i="13"/>
  <c r="F42" i="13"/>
  <c r="G13" i="13"/>
  <c r="G15" i="13"/>
  <c r="G22" i="13"/>
  <c r="G36" i="13"/>
  <c r="G42" i="13"/>
  <c r="H13" i="13"/>
  <c r="H15" i="13"/>
  <c r="H22" i="13"/>
  <c r="H36" i="13"/>
  <c r="H42" i="13"/>
  <c r="I13" i="13"/>
  <c r="I15" i="13"/>
  <c r="I22" i="13"/>
  <c r="I36" i="13"/>
  <c r="I42" i="13"/>
  <c r="J13" i="13"/>
  <c r="J15" i="13"/>
  <c r="J22" i="13"/>
  <c r="J36" i="13"/>
  <c r="J42" i="13"/>
  <c r="K13" i="13"/>
  <c r="K15" i="13"/>
  <c r="K22" i="13"/>
  <c r="K36" i="13"/>
  <c r="K42" i="13"/>
  <c r="L13" i="13"/>
  <c r="L15" i="13"/>
  <c r="L22" i="13"/>
  <c r="L36" i="13"/>
  <c r="L42" i="13"/>
  <c r="M13" i="13"/>
  <c r="M15" i="13"/>
  <c r="M22" i="13"/>
  <c r="M36" i="13"/>
  <c r="M42" i="13"/>
  <c r="N13" i="13"/>
  <c r="N15" i="13"/>
  <c r="N22" i="13"/>
  <c r="N36" i="13"/>
  <c r="N42" i="13"/>
  <c r="O12" i="13"/>
  <c r="C13" i="12"/>
  <c r="C15" i="12"/>
  <c r="C30" i="12"/>
  <c r="C44" i="12"/>
  <c r="D8" i="12"/>
  <c r="D30" i="12"/>
  <c r="D44" i="12"/>
  <c r="E8" i="12"/>
  <c r="E30" i="12"/>
  <c r="E44" i="12"/>
  <c r="F8" i="12"/>
  <c r="F30" i="12"/>
  <c r="F44" i="12"/>
  <c r="G8" i="12"/>
  <c r="C22" i="12"/>
  <c r="C28" i="12"/>
  <c r="C36" i="12"/>
  <c r="C42" i="12"/>
  <c r="D13" i="12"/>
  <c r="D15" i="12"/>
  <c r="D19" i="12"/>
  <c r="D22" i="12"/>
  <c r="D28" i="12"/>
  <c r="D36" i="12"/>
  <c r="D42" i="12"/>
  <c r="E13" i="12"/>
  <c r="E15" i="12"/>
  <c r="E19" i="12"/>
  <c r="E22" i="12"/>
  <c r="E28" i="12"/>
  <c r="E36" i="12"/>
  <c r="E42" i="12"/>
  <c r="F13" i="12"/>
  <c r="F15" i="12"/>
  <c r="F19" i="12"/>
  <c r="F28" i="12"/>
  <c r="F22" i="12"/>
  <c r="F36" i="12"/>
  <c r="F42" i="12"/>
  <c r="G13" i="12"/>
  <c r="G15" i="12"/>
  <c r="G22" i="12"/>
  <c r="G36" i="12"/>
  <c r="G42" i="12"/>
  <c r="H13" i="12"/>
  <c r="H15" i="12"/>
  <c r="H22" i="12"/>
  <c r="H36" i="12"/>
  <c r="H42" i="12"/>
  <c r="I13" i="12"/>
  <c r="I15" i="12"/>
  <c r="I22" i="12"/>
  <c r="I36" i="12"/>
  <c r="I42" i="12"/>
  <c r="J13" i="12"/>
  <c r="J15" i="12"/>
  <c r="J22" i="12"/>
  <c r="J36" i="12"/>
  <c r="J42" i="12"/>
  <c r="K13" i="12"/>
  <c r="K15" i="12"/>
  <c r="K22" i="12"/>
  <c r="K36" i="12"/>
  <c r="K42" i="12"/>
  <c r="L13" i="12"/>
  <c r="L15" i="12"/>
  <c r="L22" i="12"/>
  <c r="L36" i="12"/>
  <c r="L42" i="12"/>
  <c r="M13" i="12"/>
  <c r="M15" i="12"/>
  <c r="M22" i="12"/>
  <c r="M36" i="12"/>
  <c r="M42" i="12"/>
  <c r="N13" i="12"/>
  <c r="N15" i="12"/>
  <c r="N22" i="12"/>
  <c r="N36" i="12"/>
  <c r="N42" i="12"/>
  <c r="O12" i="12"/>
  <c r="C13" i="11"/>
  <c r="C15" i="11"/>
  <c r="C30" i="11"/>
  <c r="C44" i="11"/>
  <c r="D8" i="11"/>
  <c r="D30" i="11"/>
  <c r="D44" i="11"/>
  <c r="E8" i="11"/>
  <c r="C22" i="11"/>
  <c r="C28" i="11"/>
  <c r="C36" i="11"/>
  <c r="C42" i="11"/>
  <c r="D13" i="11"/>
  <c r="D15" i="11"/>
  <c r="D19" i="11"/>
  <c r="E19" i="11"/>
  <c r="D22" i="11"/>
  <c r="D28" i="11"/>
  <c r="D36" i="11"/>
  <c r="D42" i="11"/>
  <c r="E13" i="11"/>
  <c r="E15" i="11"/>
  <c r="E22" i="11"/>
  <c r="E36" i="11"/>
  <c r="E42" i="11"/>
  <c r="F13" i="11"/>
  <c r="F15" i="11"/>
  <c r="F22" i="11"/>
  <c r="F36" i="11"/>
  <c r="F42" i="11"/>
  <c r="G13" i="11"/>
  <c r="G15" i="11"/>
  <c r="G22" i="11"/>
  <c r="G36" i="11"/>
  <c r="G42" i="11"/>
  <c r="H13" i="11"/>
  <c r="H15" i="11"/>
  <c r="H22" i="11"/>
  <c r="H36" i="11"/>
  <c r="H42" i="11"/>
  <c r="I13" i="11"/>
  <c r="I15" i="11"/>
  <c r="I22" i="11"/>
  <c r="I36" i="11"/>
  <c r="I42" i="11"/>
  <c r="J13" i="11"/>
  <c r="J15" i="11"/>
  <c r="J22" i="11"/>
  <c r="J36" i="11"/>
  <c r="J42" i="11"/>
  <c r="K13" i="11"/>
  <c r="K15" i="11"/>
  <c r="K22" i="11"/>
  <c r="K36" i="11"/>
  <c r="K42" i="11"/>
  <c r="L13" i="11"/>
  <c r="L15" i="11"/>
  <c r="L22" i="11"/>
  <c r="L36" i="11"/>
  <c r="L42" i="11"/>
  <c r="M13" i="11"/>
  <c r="M15" i="11"/>
  <c r="M22" i="11"/>
  <c r="M36" i="11"/>
  <c r="M42" i="11"/>
  <c r="N13" i="11"/>
  <c r="N15" i="11"/>
  <c r="N22" i="11"/>
  <c r="N36" i="11"/>
  <c r="N42" i="11"/>
  <c r="O12" i="11"/>
  <c r="D19" i="2"/>
  <c r="D28" i="2"/>
  <c r="D22" i="2"/>
  <c r="E22" i="2"/>
  <c r="F22" i="2"/>
  <c r="G22" i="2"/>
  <c r="H22" i="2"/>
  <c r="I22" i="2"/>
  <c r="J22" i="2"/>
  <c r="K22" i="2"/>
  <c r="L22" i="2"/>
  <c r="M22" i="2"/>
  <c r="N22" i="2"/>
  <c r="C22" i="2"/>
  <c r="C28" i="2"/>
  <c r="C13" i="2"/>
  <c r="C15" i="2"/>
  <c r="C30" i="2"/>
  <c r="C36" i="2"/>
  <c r="C44" i="2"/>
  <c r="D8" i="2"/>
  <c r="D13" i="2"/>
  <c r="D15" i="2"/>
  <c r="D42" i="2"/>
  <c r="E13" i="2"/>
  <c r="E15" i="2"/>
  <c r="E42" i="2"/>
  <c r="F13" i="2"/>
  <c r="F15" i="2"/>
  <c r="F42" i="2"/>
  <c r="G13" i="2"/>
  <c r="G15" i="2"/>
  <c r="G42" i="2"/>
  <c r="H13" i="2"/>
  <c r="H15" i="2"/>
  <c r="H36" i="2"/>
  <c r="H42" i="2"/>
  <c r="I13" i="2"/>
  <c r="I15" i="2"/>
  <c r="I42" i="2"/>
  <c r="I36" i="2"/>
  <c r="J13" i="2"/>
  <c r="J15" i="2"/>
  <c r="J42" i="2"/>
  <c r="K13" i="2"/>
  <c r="K15" i="2"/>
  <c r="K42" i="2"/>
  <c r="L13" i="2"/>
  <c r="L15" i="2"/>
  <c r="M13" i="2"/>
  <c r="M15" i="2"/>
  <c r="O12" i="2"/>
  <c r="N13" i="2"/>
  <c r="N15" i="2"/>
  <c r="N42" i="2"/>
  <c r="M42" i="2"/>
  <c r="L42" i="2"/>
  <c r="C42" i="2"/>
  <c r="N36" i="2"/>
  <c r="M36" i="2"/>
  <c r="L36" i="2"/>
  <c r="K36" i="2"/>
  <c r="J36" i="2"/>
  <c r="G36" i="2"/>
  <c r="F36" i="2"/>
  <c r="E36" i="2"/>
  <c r="D36" i="2"/>
  <c r="G13" i="15"/>
  <c r="G19" i="15"/>
  <c r="G30" i="15"/>
  <c r="G36" i="15"/>
  <c r="G38" i="15"/>
  <c r="G40" i="15"/>
  <c r="H16" i="15"/>
  <c r="I14" i="15"/>
  <c r="I16" i="15"/>
  <c r="I13" i="15"/>
  <c r="I19" i="15"/>
  <c r="I30" i="15"/>
  <c r="I36" i="15"/>
  <c r="I38" i="15"/>
  <c r="I40" i="15"/>
  <c r="H13" i="15"/>
  <c r="H19" i="15"/>
  <c r="H30" i="15"/>
  <c r="H36" i="15"/>
  <c r="H38" i="15"/>
  <c r="H40" i="15"/>
  <c r="F19" i="13"/>
  <c r="O13" i="12"/>
  <c r="O15" i="12"/>
  <c r="F19" i="11"/>
  <c r="E28" i="11"/>
  <c r="E30" i="11"/>
  <c r="E44" i="11"/>
  <c r="F8" i="11"/>
  <c r="O13" i="11"/>
  <c r="O15" i="11"/>
  <c r="D30" i="2"/>
  <c r="D44" i="2"/>
  <c r="E8" i="2"/>
  <c r="E19" i="2"/>
  <c r="O13" i="2"/>
  <c r="O15" i="2"/>
  <c r="E30" i="13"/>
  <c r="E44" i="13"/>
  <c r="F8" i="13"/>
  <c r="F30" i="13"/>
  <c r="F44" i="13"/>
  <c r="G8" i="13"/>
  <c r="F28" i="13"/>
  <c r="G19" i="13"/>
  <c r="G19" i="12"/>
  <c r="G19" i="14"/>
  <c r="F28" i="11"/>
  <c r="F30" i="11"/>
  <c r="F44" i="11"/>
  <c r="G8" i="11"/>
  <c r="G19" i="11"/>
  <c r="F19" i="2"/>
  <c r="E28" i="2"/>
  <c r="E30" i="2"/>
  <c r="E44" i="2"/>
  <c r="F8" i="2"/>
  <c r="G28" i="14"/>
  <c r="G30" i="14"/>
  <c r="G44" i="14"/>
  <c r="H8" i="14"/>
  <c r="H19" i="14"/>
  <c r="G28" i="13"/>
  <c r="H19" i="13"/>
  <c r="G30" i="13"/>
  <c r="G44" i="13"/>
  <c r="H8" i="13"/>
  <c r="H19" i="12"/>
  <c r="G28" i="12"/>
  <c r="G30" i="12"/>
  <c r="G44" i="12"/>
  <c r="H8" i="12"/>
  <c r="G28" i="11"/>
  <c r="G30" i="11"/>
  <c r="G44" i="11"/>
  <c r="H8" i="11"/>
  <c r="H19" i="11"/>
  <c r="G19" i="2"/>
  <c r="F28" i="2"/>
  <c r="F30" i="2"/>
  <c r="F44" i="2"/>
  <c r="G8" i="2"/>
  <c r="I19" i="13"/>
  <c r="H28" i="13"/>
  <c r="H30" i="13"/>
  <c r="H44" i="13"/>
  <c r="I8" i="13"/>
  <c r="I19" i="14"/>
  <c r="H28" i="14"/>
  <c r="H30" i="14"/>
  <c r="H44" i="14"/>
  <c r="I8" i="14"/>
  <c r="H28" i="12"/>
  <c r="H30" i="12"/>
  <c r="H44" i="12"/>
  <c r="I8" i="12"/>
  <c r="I19" i="12"/>
  <c r="H28" i="11"/>
  <c r="H30" i="11"/>
  <c r="H44" i="11"/>
  <c r="I8" i="11"/>
  <c r="I19" i="11"/>
  <c r="H19" i="2"/>
  <c r="G28" i="2"/>
  <c r="G30" i="2"/>
  <c r="G44" i="2"/>
  <c r="H8" i="2"/>
  <c r="I28" i="14"/>
  <c r="I30" i="14"/>
  <c r="I44" i="14"/>
  <c r="J8" i="14"/>
  <c r="J19" i="14"/>
  <c r="I28" i="13"/>
  <c r="I30" i="13"/>
  <c r="I44" i="13"/>
  <c r="J8" i="13"/>
  <c r="J19" i="13"/>
  <c r="I28" i="12"/>
  <c r="I30" i="12"/>
  <c r="I44" i="12"/>
  <c r="J8" i="12"/>
  <c r="J19" i="12"/>
  <c r="I28" i="11"/>
  <c r="I30" i="11"/>
  <c r="I44" i="11"/>
  <c r="J8" i="11"/>
  <c r="J19" i="11"/>
  <c r="I19" i="2"/>
  <c r="H28" i="2"/>
  <c r="H30" i="2"/>
  <c r="H44" i="2"/>
  <c r="I8" i="2"/>
  <c r="J28" i="14"/>
  <c r="J30" i="14"/>
  <c r="J44" i="14"/>
  <c r="K8" i="14"/>
  <c r="K19" i="14"/>
  <c r="J28" i="12"/>
  <c r="J30" i="12"/>
  <c r="J44" i="12"/>
  <c r="K8" i="12"/>
  <c r="K19" i="12"/>
  <c r="J28" i="13"/>
  <c r="J30" i="13"/>
  <c r="J44" i="13"/>
  <c r="K8" i="13"/>
  <c r="K19" i="13"/>
  <c r="J28" i="11"/>
  <c r="J30" i="11"/>
  <c r="J44" i="11"/>
  <c r="K8" i="11"/>
  <c r="K19" i="11"/>
  <c r="I28" i="2"/>
  <c r="I30" i="2"/>
  <c r="I44" i="2"/>
  <c r="J8" i="2"/>
  <c r="J19" i="2"/>
  <c r="K28" i="14"/>
  <c r="K30" i="14"/>
  <c r="K44" i="14"/>
  <c r="L8" i="14"/>
  <c r="L19" i="14"/>
  <c r="K28" i="13"/>
  <c r="K30" i="13"/>
  <c r="K44" i="13"/>
  <c r="L8" i="13"/>
  <c r="L19" i="13"/>
  <c r="L19" i="12"/>
  <c r="K28" i="12"/>
  <c r="K30" i="12"/>
  <c r="K44" i="12"/>
  <c r="L8" i="12"/>
  <c r="K28" i="11"/>
  <c r="K30" i="11"/>
  <c r="K44" i="11"/>
  <c r="L8" i="11"/>
  <c r="L19" i="11"/>
  <c r="J28" i="2"/>
  <c r="J30" i="2"/>
  <c r="J44" i="2"/>
  <c r="K8" i="2"/>
  <c r="K19" i="2"/>
  <c r="M19" i="12"/>
  <c r="L28" i="12"/>
  <c r="L30" i="12"/>
  <c r="L44" i="12"/>
  <c r="M8" i="12"/>
  <c r="L28" i="13"/>
  <c r="L30" i="13"/>
  <c r="L44" i="13"/>
  <c r="M8" i="13"/>
  <c r="M19" i="13"/>
  <c r="L28" i="14"/>
  <c r="L30" i="14"/>
  <c r="L44" i="14"/>
  <c r="M8" i="14"/>
  <c r="M19" i="14"/>
  <c r="L28" i="11"/>
  <c r="L30" i="11"/>
  <c r="L44" i="11"/>
  <c r="M8" i="11"/>
  <c r="M19" i="11"/>
  <c r="K28" i="2"/>
  <c r="K30" i="2"/>
  <c r="K44" i="2"/>
  <c r="L8" i="2"/>
  <c r="L19" i="2"/>
  <c r="M28" i="12"/>
  <c r="M30" i="12"/>
  <c r="M44" i="12"/>
  <c r="N8" i="12"/>
  <c r="N19" i="12"/>
  <c r="N28" i="12"/>
  <c r="M30" i="14"/>
  <c r="M44" i="14"/>
  <c r="N8" i="14"/>
  <c r="N19" i="14"/>
  <c r="N28" i="14"/>
  <c r="M28" i="14"/>
  <c r="N19" i="13"/>
  <c r="N28" i="13"/>
  <c r="M28" i="13"/>
  <c r="M30" i="13"/>
  <c r="M44" i="13"/>
  <c r="N8" i="13"/>
  <c r="N30" i="13"/>
  <c r="N44" i="13"/>
  <c r="N30" i="12"/>
  <c r="N44" i="12"/>
  <c r="M28" i="11"/>
  <c r="M30" i="11"/>
  <c r="M44" i="11"/>
  <c r="N8" i="11"/>
  <c r="N19" i="11"/>
  <c r="N28" i="11"/>
  <c r="M19" i="2"/>
  <c r="L28" i="2"/>
  <c r="L30" i="2"/>
  <c r="L44" i="2"/>
  <c r="M8" i="2"/>
  <c r="N30" i="14"/>
  <c r="N44" i="14"/>
  <c r="N30" i="11"/>
  <c r="N44" i="11"/>
  <c r="N19" i="2"/>
  <c r="N28" i="2"/>
  <c r="M28" i="2"/>
  <c r="M30" i="2"/>
  <c r="M44" i="2"/>
  <c r="N8" i="2"/>
  <c r="N30" i="2"/>
  <c r="N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tc={273FF7EA-F49B-4558-9D25-923ADE1AE827}</author>
  </authors>
  <commentList>
    <comment ref="D18" authorId="0" shapeId="0" xr:uid="{273FF7EA-F49B-4558-9D25-923ADE1AE82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Días de Inventario / Producto Terminado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tc={8B09DD15-788F-4624-8E73-0A78A2BD94BE}</author>
    <author>JAIMEHERRERA</author>
  </authors>
  <commentList>
    <comment ref="D2" authorId="0" shapeId="0" xr:uid="{8B09DD15-788F-4624-8E73-0A78A2BD94B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Estado de Tesorería, es un documento que muestra la posición de los ingresos y egresos 
de las cuentas bancarias que administra la empresa </t>
      </text>
    </comment>
    <comment ref="D21" authorId="1" shapeId="0" xr:uid="{D95C993F-2C59-4BE1-95AA-94EC153E1E35}">
      <text>
        <r>
          <rPr>
            <b/>
            <sz val="9"/>
            <color indexed="81"/>
            <rFont val="Tahoma"/>
            <family val="2"/>
          </rPr>
          <t>JAIMEHERRERA:</t>
        </r>
        <r>
          <rPr>
            <sz val="9"/>
            <color indexed="81"/>
            <rFont val="Tahoma"/>
            <family val="2"/>
          </rPr>
          <t xml:space="preserve">
Viene del estado de resultados
</t>
        </r>
      </text>
    </comment>
  </commentList>
</comments>
</file>

<file path=xl/sharedStrings.xml><?xml version="1.0" encoding="utf-8"?>
<sst xmlns="http://schemas.openxmlformats.org/spreadsheetml/2006/main" count="271" uniqueCount="106">
  <si>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</si>
  <si>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</si>
  <si>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</si>
  <si>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</si>
  <si>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</si>
  <si>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</si>
  <si>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</si>
  <si>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</si>
  <si>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</si>
  <si>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</si>
  <si>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</si>
  <si>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</si>
  <si>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Saldo Inicial</t>
  </si>
  <si>
    <t>Ingresos</t>
  </si>
  <si>
    <t>Total Ingresos</t>
  </si>
  <si>
    <t>Flujo de caja económico</t>
  </si>
  <si>
    <t>Financiamiento Recibido</t>
  </si>
  <si>
    <t>Préstamo 1</t>
  </si>
  <si>
    <t>Préstamo 2</t>
  </si>
  <si>
    <t>Total Financiamiento</t>
  </si>
  <si>
    <t>Pagos de financiamiento</t>
  </si>
  <si>
    <t>Pagos préstamo 1</t>
  </si>
  <si>
    <t>Pagos préstamo 2</t>
  </si>
  <si>
    <t>Flujo de caja financiero</t>
  </si>
  <si>
    <t>Ventas Brutas</t>
  </si>
  <si>
    <t>Cartera Recaudar 1</t>
  </si>
  <si>
    <t>Cartera Recaudar 2</t>
  </si>
  <si>
    <t>Inversiones</t>
  </si>
  <si>
    <t>Impuestos</t>
  </si>
  <si>
    <t>Nomina &amp; Parafiscales</t>
  </si>
  <si>
    <t>Cuotas Obligaciones 1</t>
  </si>
  <si>
    <t>Creditos Rotativos</t>
  </si>
  <si>
    <t>Gastos</t>
  </si>
  <si>
    <t>Total Gastos</t>
  </si>
  <si>
    <t>VPN</t>
  </si>
  <si>
    <t>AÑO</t>
  </si>
  <si>
    <t>FCN</t>
  </si>
  <si>
    <t>EVALUACIÓN INDICADORES RENTABILIDAD PROYECTO</t>
  </si>
  <si>
    <t>Compra &amp; Insumos</t>
  </si>
  <si>
    <t>Arriendos Bodegas</t>
  </si>
  <si>
    <t>Servicios Publicos</t>
  </si>
  <si>
    <t>Cuotas Obligaciones 2</t>
  </si>
  <si>
    <t>FLUJO DE CAJA LA TROPICAL 2024 (0)</t>
  </si>
  <si>
    <t>FLUJO DE CAJA LA TROPICAL 2025 (1)</t>
  </si>
  <si>
    <t>FLUJO DE CAJA LA TROPICAL 2025 (2)</t>
  </si>
  <si>
    <t>FLUJO DE CAJA LA TROPICAL 2025 (3)</t>
  </si>
  <si>
    <t>FLUJO DE CAJA LA TROPICAL 2025 (4)</t>
  </si>
  <si>
    <t>AÑO 1</t>
  </si>
  <si>
    <t>AÑO 2</t>
  </si>
  <si>
    <t>AÑO 3</t>
  </si>
  <si>
    <t>Descuentos por Ventas</t>
  </si>
  <si>
    <t>Ventas Netas</t>
  </si>
  <si>
    <t>Costos de Ventas</t>
  </si>
  <si>
    <t>Inventario Inicial  PT</t>
  </si>
  <si>
    <t>Mas costos de producción</t>
  </si>
  <si>
    <t>Menos Inventario Final PT</t>
  </si>
  <si>
    <t>Utilidad Bruta</t>
  </si>
  <si>
    <t>Gastos de admón y Ventas</t>
  </si>
  <si>
    <t>Arrendamiento Local</t>
  </si>
  <si>
    <t>Sueldos de Administración</t>
  </si>
  <si>
    <t>Depreciación (V - M y E)</t>
  </si>
  <si>
    <t>Gastos Generales de Admón..</t>
  </si>
  <si>
    <t>Sueldos de Ventas</t>
  </si>
  <si>
    <t>Provisión para Deudas Malas</t>
  </si>
  <si>
    <t>Propaganda y Otros Gastos</t>
  </si>
  <si>
    <t>Utilidad Operacional</t>
  </si>
  <si>
    <t>Mas otros Ingresos</t>
  </si>
  <si>
    <t>Menos Gastos Financieros</t>
  </si>
  <si>
    <t>Utilidad Antes de Impuestos</t>
  </si>
  <si>
    <t>Provisión Impuestos de Renta</t>
  </si>
  <si>
    <t>UTILIDAD NETA</t>
  </si>
  <si>
    <t>AÑO 0</t>
  </si>
  <si>
    <t>AÑO 4</t>
  </si>
  <si>
    <t xml:space="preserve">LA TROPICAL </t>
  </si>
  <si>
    <t>ESTADO DE RESULTADOS PROYECTADOS ($ MM)</t>
  </si>
  <si>
    <t>Ingresos de Cartera</t>
  </si>
  <si>
    <t>Vta Papeles</t>
  </si>
  <si>
    <t>Rendimientos de Inv.</t>
  </si>
  <si>
    <t>Aportes de Capital</t>
  </si>
  <si>
    <t>Aportes de Capital en Esp.</t>
  </si>
  <si>
    <t>Vta Inventarios</t>
  </si>
  <si>
    <t>Vta Asct. Fijos</t>
  </si>
  <si>
    <t>TOTAL INGRESOS</t>
  </si>
  <si>
    <t>ESTADO DE TESORERIA</t>
  </si>
  <si>
    <t>TIR</t>
  </si>
  <si>
    <t>EGRESOS</t>
  </si>
  <si>
    <t>Proveedores</t>
  </si>
  <si>
    <t>Gastos de Admon y Vtas</t>
  </si>
  <si>
    <t>Compras de Act.</t>
  </si>
  <si>
    <t>Pago Intereses</t>
  </si>
  <si>
    <t>Utilidades Repartidas</t>
  </si>
  <si>
    <t>TOTAL EGRESOS</t>
  </si>
  <si>
    <t>Saldo del Año</t>
  </si>
  <si>
    <t>Saldo Acumulado</t>
  </si>
  <si>
    <t>Préstamos Bancarios</t>
  </si>
  <si>
    <t>Amortización de Prést.</t>
  </si>
  <si>
    <t>Inv. Bolsa</t>
  </si>
  <si>
    <t>NUEVO SALDO DEL AÑO</t>
  </si>
  <si>
    <t>FLUJO DE TESORERIA</t>
  </si>
  <si>
    <t>INGRESOS</t>
  </si>
  <si>
    <t>$</t>
  </si>
  <si>
    <t>RBC</t>
  </si>
  <si>
    <t>Analisis:Con la relación arrojada se determina que nuestro proyecto es viable</t>
  </si>
  <si>
    <t>PRC</t>
  </si>
  <si>
    <t>PRC (0)</t>
  </si>
  <si>
    <r>
      <rPr>
        <b/>
        <sz val="11"/>
        <color theme="1"/>
        <rFont val="Calibri"/>
        <family val="2"/>
        <scheme val="minor"/>
      </rPr>
      <t xml:space="preserve">
1.Cuáles son las herramientas de análisis sobre viabilidad financiera de proyectos?</t>
    </r>
    <r>
      <rPr>
        <sz val="11"/>
        <color theme="1"/>
        <rFont val="Calibri"/>
        <family val="2"/>
        <scheme val="minor"/>
      </rPr>
      <t xml:space="preserve">
Dentro de las herramientas utilizadas para el análisis de la viabilidad de un proyecto, podemos mencionar las siguientes:
Análisis de Costos y Beneficios (RBC): En el cual se compara costos y beneficios del proyecto para determinar su rentabilidad.
Valor Presente Neto (VPN): Calcula el valor actual de los flujos de efectivo futuros del proyecto.
Tasa Interna de Retorno (TIR): Tasa de descuento que hace que el VPN sea igual a cero.
Índice de Rentabilidad (IR): Relación entre el valor presente de los beneficios y el valor presente de los costos.
Así mismo podemos tener las respectivas proyecciones financieras como son:
Estado de Resultados Proyectado: En el cual se estiman los ingresos, costos y gastos del proyecto.
Balance General Proyectado: Muestra la posición financiera del proyecto en un momento determinado.
Flujo de Caja Proyectado: Detalla las entradas y salidas de efectivo del proyecto.
Otras herramientas adicionales que se pueden utilizar son como el </t>
    </r>
    <r>
      <rPr>
        <b/>
        <sz val="11"/>
        <color theme="1"/>
        <rFont val="Calibri"/>
        <family val="2"/>
        <scheme val="minor"/>
      </rPr>
      <t>punto de equilibrio</t>
    </r>
    <r>
      <rPr>
        <sz val="11"/>
        <color theme="1"/>
        <rFont val="Calibri"/>
        <family val="2"/>
        <scheme val="minor"/>
      </rPr>
      <t xml:space="preserve"> que nos determina el nivel de ventas necesario para cubrir los costos del proyecto, </t>
    </r>
    <r>
      <rPr>
        <b/>
        <sz val="11"/>
        <color theme="1"/>
        <rFont val="Calibri"/>
        <family val="2"/>
        <scheme val="minor"/>
      </rPr>
      <t>el análisis del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periodo de recuperación</t>
    </r>
    <r>
      <rPr>
        <sz val="11"/>
        <color theme="1"/>
        <rFont val="Calibri"/>
        <family val="2"/>
        <scheme val="minor"/>
      </rPr>
      <t xml:space="preserve">, utilizado para calcula el tiempo que tarda el proyecto en recuperar la inversión inicial y </t>
    </r>
    <r>
      <rPr>
        <b/>
        <sz val="11"/>
        <color theme="1"/>
        <rFont val="Calibri"/>
        <family val="2"/>
        <scheme val="minor"/>
      </rPr>
      <t>el análisis de Riesgos</t>
    </r>
    <r>
      <rPr>
        <sz val="11"/>
        <color theme="1"/>
        <rFont val="Calibri"/>
        <family val="2"/>
        <scheme val="minor"/>
      </rPr>
      <t xml:space="preserve"> en el cual se Identifica y evalúa los riesgos financieros del proyecto.
</t>
    </r>
    <r>
      <rPr>
        <b/>
        <sz val="11"/>
        <color theme="1"/>
        <rFont val="Calibri"/>
        <family val="2"/>
        <scheme val="minor"/>
      </rPr>
      <t xml:space="preserve">2.Cómo se interpretan el B/C, PRC, VAN y TIR, para evaluar la viabilidad financiera de un proyecto?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
Relación Beneficio-Costo (B/C):
Interpretación: Indica la cantidad de dinero que se gana por cada peso invertido.
Valor ideal: B/C &gt; 1. Indica que el proyecto genera beneficios por cada peso invertido.
Período de Recuperación de Capital (PRC):
Interpretación: Tiempo que tarda el proyecto en recuperar la inversión inicial.
Valor ideal: PRC corto. Indica que el proyecto recupera la inversión rápidamente.
Valor Presente Neto (VAN):
Interpretación: Valor actual de todos los flujos de caja futuros del proyecto.
Valor ideal: VAN &gt; 0. Indica que el proyecto genera un valor positivo.
Tasa Interna de Retorno (TIR):
Interpretación: Tasa de descuento que hace que el VAN sea igual a cero.
Valor ideal: TIR &gt; Tasa de descuento. Indica que el proyecto genera una rentabilidad mayor que la tasa de descuento.
En resumen podemos indicar que B/C y PRC: Miden la recuperación de la inversión &amp; VAN y TIR: Miden la rentabilidad del proyecto.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</si>
</sst>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&quot;$&quot;\ #,##0"/>
    <numFmt numFmtId="166" formatCode="_(* #,##0.0_);_(* \(#,##0.0\);_(* &quot;-&quot;??_);_(@_)"/>
    <numFmt numFmtId="167" formatCode="_(* #,##0_);_(* \(#,##0\);_(* &quot;-&quot;??_);_(@_)"/>
    <numFmt numFmtId="168" formatCode="&quot;$&quot;\ #,##0.00"/>
    <numFmt numFmtId="169" formatCode="0.00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2"/>
      <color rgb="FF033829"/>
      <name val="Arial"/>
      <family val="2"/>
    </font>
    <font>
      <sz val="11"/>
      <color theme="1"/>
      <name val="Arial"/>
      <family val="2"/>
    </font>
    <font>
      <sz val="12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033829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5" tint="0.59999389629810485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</font>
    <font>
      <i/>
      <sz val="11"/>
      <color theme="0"/>
      <name val="Arial"/>
      <family val="2"/>
    </font>
    <font>
      <sz val="10"/>
      <name val="Verdana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33829"/>
        <bgColor rgb="FF033829"/>
      </patternFill>
    </fill>
    <fill>
      <patternFill patternType="solid">
        <fgColor rgb="FFACE497"/>
        <bgColor rgb="FFACE497"/>
      </patternFill>
    </fill>
    <fill>
      <patternFill patternType="solid">
        <fgColor rgb="FFE2EFD9"/>
        <bgColor rgb="FFE2EFD9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ACE497"/>
      </patternFill>
    </fill>
    <fill>
      <patternFill patternType="solid">
        <fgColor theme="5" tint="0.39997558519241921"/>
        <bgColor rgb="FFFFF2CC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7" tint="0.59999389629810485"/>
        <bgColor rgb="FFACE497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EFEFEF"/>
      </left>
      <right style="thin">
        <color rgb="FFEFEFE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4" fillId="0" borderId="1" applyFont="0" applyFill="0" applyBorder="0" applyAlignment="0" applyProtection="0"/>
    <xf numFmtId="43" fontId="13" fillId="0" borderId="0" applyFont="0" applyFill="0" applyBorder="0" applyAlignment="0" applyProtection="0"/>
    <xf numFmtId="0" fontId="17" fillId="0" borderId="1"/>
    <xf numFmtId="9" fontId="19" fillId="0" borderId="1" applyFont="0" applyFill="0" applyBorder="0" applyAlignment="0" applyProtection="0"/>
    <xf numFmtId="164" fontId="19" fillId="0" borderId="1" applyFont="0" applyFill="0" applyBorder="0" applyAlignment="0" applyProtection="0"/>
    <xf numFmtId="0" fontId="19" fillId="0" borderId="1"/>
  </cellStyleXfs>
  <cellXfs count="100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4" borderId="0" xfId="0" applyNumberFormat="1" applyFont="1" applyFill="1" applyAlignment="1">
      <alignment horizontal="center" vertical="center"/>
    </xf>
    <xf numFmtId="0" fontId="9" fillId="8" borderId="0" xfId="0" applyFont="1" applyFill="1" applyAlignment="1">
      <alignment vertical="center"/>
    </xf>
    <xf numFmtId="2" fontId="5" fillId="9" borderId="0" xfId="0" applyNumberFormat="1" applyFont="1" applyFill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vertical="center"/>
    </xf>
    <xf numFmtId="9" fontId="14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5" fillId="10" borderId="2" xfId="0" applyNumberFormat="1" applyFont="1" applyFill="1" applyBorder="1" applyAlignment="1">
      <alignment horizontal="center" vertical="center"/>
    </xf>
    <xf numFmtId="43" fontId="14" fillId="2" borderId="0" xfId="2" applyFont="1" applyFill="1" applyAlignment="1">
      <alignment vertical="center"/>
    </xf>
    <xf numFmtId="2" fontId="5" fillId="11" borderId="0" xfId="0" applyNumberFormat="1" applyFont="1" applyFill="1" applyAlignment="1">
      <alignment horizontal="center" vertical="center"/>
    </xf>
    <xf numFmtId="0" fontId="18" fillId="12" borderId="1" xfId="3" applyFont="1" applyFill="1"/>
    <xf numFmtId="166" fontId="5" fillId="12" borderId="1" xfId="5" applyNumberFormat="1" applyFont="1" applyFill="1"/>
    <xf numFmtId="167" fontId="5" fillId="12" borderId="1" xfId="5" applyNumberFormat="1" applyFont="1" applyFill="1"/>
    <xf numFmtId="0" fontId="21" fillId="12" borderId="1" xfId="3" applyFont="1" applyFill="1"/>
    <xf numFmtId="0" fontId="22" fillId="12" borderId="1" xfId="3" applyFont="1" applyFill="1"/>
    <xf numFmtId="0" fontId="23" fillId="12" borderId="1" xfId="3" applyFont="1" applyFill="1"/>
    <xf numFmtId="9" fontId="25" fillId="13" borderId="7" xfId="3" applyNumberFormat="1" applyFont="1" applyFill="1" applyBorder="1" applyAlignment="1">
      <alignment horizontal="center"/>
    </xf>
    <xf numFmtId="0" fontId="21" fillId="12" borderId="8" xfId="3" applyFont="1" applyFill="1" applyBorder="1"/>
    <xf numFmtId="9" fontId="25" fillId="13" borderId="7" xfId="4" applyFont="1" applyFill="1" applyBorder="1" applyAlignment="1">
      <alignment horizontal="center"/>
    </xf>
    <xf numFmtId="0" fontId="22" fillId="12" borderId="1" xfId="3" applyFont="1" applyFill="1" applyAlignment="1">
      <alignment horizontal="right" vertical="center"/>
    </xf>
    <xf numFmtId="0" fontId="22" fillId="12" borderId="8" xfId="3" applyFont="1" applyFill="1" applyBorder="1" applyAlignment="1">
      <alignment horizontal="right" vertical="center"/>
    </xf>
    <xf numFmtId="0" fontId="21" fillId="12" borderId="9" xfId="3" applyFont="1" applyFill="1" applyBorder="1"/>
    <xf numFmtId="0" fontId="21" fillId="12" borderId="9" xfId="3" applyFont="1" applyFill="1" applyBorder="1" applyAlignment="1">
      <alignment horizontal="center"/>
    </xf>
    <xf numFmtId="165" fontId="21" fillId="12" borderId="1" xfId="3" applyNumberFormat="1" applyFont="1" applyFill="1"/>
    <xf numFmtId="165" fontId="21" fillId="12" borderId="8" xfId="3" applyNumberFormat="1" applyFont="1" applyFill="1" applyBorder="1"/>
    <xf numFmtId="0" fontId="22" fillId="12" borderId="9" xfId="3" applyFont="1" applyFill="1" applyBorder="1" applyAlignment="1">
      <alignment horizontal="center"/>
    </xf>
    <xf numFmtId="168" fontId="21" fillId="12" borderId="1" xfId="3" applyNumberFormat="1" applyFont="1" applyFill="1"/>
    <xf numFmtId="168" fontId="21" fillId="12" borderId="8" xfId="3" applyNumberFormat="1" applyFont="1" applyFill="1" applyBorder="1"/>
    <xf numFmtId="0" fontId="25" fillId="13" borderId="7" xfId="3" applyFont="1" applyFill="1" applyBorder="1" applyAlignment="1">
      <alignment horizontal="center"/>
    </xf>
    <xf numFmtId="9" fontId="21" fillId="12" borderId="9" xfId="3" applyNumberFormat="1" applyFont="1" applyFill="1" applyBorder="1" applyAlignment="1">
      <alignment horizontal="center"/>
    </xf>
    <xf numFmtId="0" fontId="22" fillId="13" borderId="11" xfId="3" applyFont="1" applyFill="1" applyBorder="1" applyAlignment="1">
      <alignment horizontal="center"/>
    </xf>
    <xf numFmtId="168" fontId="22" fillId="13" borderId="12" xfId="3" applyNumberFormat="1" applyFont="1" applyFill="1" applyBorder="1"/>
    <xf numFmtId="168" fontId="22" fillId="13" borderId="13" xfId="3" applyNumberFormat="1" applyFont="1" applyFill="1" applyBorder="1"/>
    <xf numFmtId="0" fontId="21" fillId="14" borderId="9" xfId="3" applyFont="1" applyFill="1" applyBorder="1"/>
    <xf numFmtId="168" fontId="21" fillId="14" borderId="1" xfId="3" applyNumberFormat="1" applyFont="1" applyFill="1"/>
    <xf numFmtId="168" fontId="21" fillId="14" borderId="8" xfId="3" applyNumberFormat="1" applyFont="1" applyFill="1" applyBorder="1"/>
    <xf numFmtId="0" fontId="21" fillId="14" borderId="10" xfId="3" applyFont="1" applyFill="1" applyBorder="1"/>
    <xf numFmtId="0" fontId="21" fillId="14" borderId="9" xfId="3" applyFont="1" applyFill="1" applyBorder="1" applyAlignment="1">
      <alignment horizontal="center"/>
    </xf>
    <xf numFmtId="0" fontId="5" fillId="12" borderId="0" xfId="0" applyFont="1" applyFill="1"/>
    <xf numFmtId="0" fontId="22" fillId="12" borderId="0" xfId="0" applyFont="1" applyFill="1" applyAlignment="1">
      <alignment horizontal="center"/>
    </xf>
    <xf numFmtId="0" fontId="5" fillId="12" borderId="0" xfId="0" applyFont="1" applyFill="1" applyAlignment="1">
      <alignment horizontal="left"/>
    </xf>
    <xf numFmtId="43" fontId="5" fillId="12" borderId="0" xfId="2" applyFont="1" applyFill="1" applyAlignment="1">
      <alignment horizontal="center"/>
    </xf>
    <xf numFmtId="40" fontId="5" fillId="12" borderId="0" xfId="0" applyNumberFormat="1" applyFont="1" applyFill="1" applyAlignment="1">
      <alignment horizontal="left"/>
    </xf>
    <xf numFmtId="43" fontId="22" fillId="12" borderId="0" xfId="2" applyFont="1" applyFill="1" applyAlignment="1">
      <alignment horizontal="center"/>
    </xf>
    <xf numFmtId="0" fontId="0" fillId="15" borderId="0" xfId="0" applyFill="1"/>
    <xf numFmtId="0" fontId="0" fillId="15" borderId="3" xfId="0" applyFill="1" applyBorder="1" applyAlignment="1">
      <alignment horizontal="center"/>
    </xf>
    <xf numFmtId="0" fontId="0" fillId="15" borderId="3" xfId="0" applyFill="1" applyBorder="1"/>
    <xf numFmtId="0" fontId="0" fillId="15" borderId="1" xfId="0" applyFill="1" applyBorder="1"/>
    <xf numFmtId="0" fontId="0" fillId="15" borderId="0" xfId="0" applyFill="1" applyAlignment="1">
      <alignment horizontal="center"/>
    </xf>
    <xf numFmtId="0" fontId="22" fillId="7" borderId="0" xfId="0" applyFont="1" applyFill="1"/>
    <xf numFmtId="0" fontId="22" fillId="7" borderId="0" xfId="0" applyFont="1" applyFill="1" applyAlignment="1">
      <alignment horizontal="left"/>
    </xf>
    <xf numFmtId="0" fontId="26" fillId="12" borderId="0" xfId="0" applyFont="1" applyFill="1" applyAlignment="1">
      <alignment horizontal="left"/>
    </xf>
    <xf numFmtId="43" fontId="26" fillId="12" borderId="0" xfId="2" applyFont="1" applyFill="1" applyAlignment="1">
      <alignment horizontal="center"/>
    </xf>
    <xf numFmtId="0" fontId="0" fillId="13" borderId="3" xfId="0" applyFill="1" applyBorder="1"/>
    <xf numFmtId="0" fontId="0" fillId="13" borderId="3" xfId="0" applyFill="1" applyBorder="1" applyAlignment="1">
      <alignment horizontal="center"/>
    </xf>
    <xf numFmtId="2" fontId="0" fillId="15" borderId="3" xfId="0" applyNumberFormat="1" applyFill="1" applyBorder="1" applyAlignment="1">
      <alignment horizontal="center"/>
    </xf>
    <xf numFmtId="10" fontId="5" fillId="12" borderId="0" xfId="0" applyNumberFormat="1" applyFont="1" applyFill="1" applyAlignment="1">
      <alignment horizontal="left"/>
    </xf>
    <xf numFmtId="0" fontId="9" fillId="7" borderId="0" xfId="0" applyFont="1" applyFill="1"/>
    <xf numFmtId="0" fontId="3" fillId="15" borderId="3" xfId="0" applyFont="1" applyFill="1" applyBorder="1" applyAlignment="1">
      <alignment horizontal="center"/>
    </xf>
    <xf numFmtId="9" fontId="0" fillId="13" borderId="3" xfId="0" applyNumberFormat="1" applyFill="1" applyBorder="1" applyAlignment="1">
      <alignment horizontal="center"/>
    </xf>
    <xf numFmtId="169" fontId="0" fillId="13" borderId="3" xfId="0" applyNumberFormat="1" applyFill="1" applyBorder="1"/>
    <xf numFmtId="0" fontId="3" fillId="13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9" fillId="6" borderId="0" xfId="0" applyFont="1" applyFill="1" applyAlignment="1">
      <alignment horizontal="left" vertical="center"/>
    </xf>
    <xf numFmtId="0" fontId="0" fillId="7" borderId="0" xfId="0" applyFill="1"/>
    <xf numFmtId="0" fontId="9" fillId="5" borderId="0" xfId="0" applyFont="1" applyFill="1" applyAlignment="1">
      <alignment horizontal="left" vertical="center"/>
    </xf>
    <xf numFmtId="0" fontId="22" fillId="7" borderId="1" xfId="3" applyFont="1" applyFill="1" applyAlignment="1">
      <alignment horizontal="center"/>
    </xf>
    <xf numFmtId="0" fontId="24" fillId="7" borderId="4" xfId="3" applyFont="1" applyFill="1" applyBorder="1" applyAlignment="1">
      <alignment horizontal="center"/>
    </xf>
    <xf numFmtId="0" fontId="24" fillId="7" borderId="5" xfId="3" applyFont="1" applyFill="1" applyBorder="1" applyAlignment="1">
      <alignment horizontal="center"/>
    </xf>
    <xf numFmtId="0" fontId="24" fillId="7" borderId="6" xfId="3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5" fillId="12" borderId="0" xfId="0" applyFont="1" applyFill="1" applyAlignment="1">
      <alignment horizontal="left" vertical="center" wrapText="1"/>
    </xf>
    <xf numFmtId="0" fontId="16" fillId="7" borderId="0" xfId="0" applyFont="1" applyFill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15" fillId="15" borderId="0" xfId="0" applyFont="1" applyFill="1" applyAlignment="1">
      <alignment horizontal="center"/>
    </xf>
    <xf numFmtId="0" fontId="0" fillId="13" borderId="0" xfId="0" applyFill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</cellXfs>
  <cellStyles count="7">
    <cellStyle name="Millares" xfId="2" builtinId="3"/>
    <cellStyle name="Millares 2" xfId="1" xr:uid="{4908E646-038C-4492-8FD6-96E873A86C2A}"/>
    <cellStyle name="Millares 3" xfId="5" xr:uid="{816853A7-9EF4-44A1-97B9-42D57DF0E9ED}"/>
    <cellStyle name="Normal" xfId="0" builtinId="0"/>
    <cellStyle name="Normal 2" xfId="3" xr:uid="{B0B3549A-0F00-4EC4-B51B-CFC537E3544D}"/>
    <cellStyle name="Normal 3" xfId="6" xr:uid="{EE0F23C7-4A99-4B99-B40B-BFA1ECA0C19A}"/>
    <cellStyle name="Porcentaje 2" xfId="4" xr:uid="{BCB67402-2A85-4804-A578-1D7FB62BB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275167</xdr:colOff>
      <xdr:row>0</xdr:row>
      <xdr:rowOff>211667</xdr:rowOff>
    </xdr:from>
    <xdr:to>
      <xdr:col>1</xdr:col>
      <xdr:colOff>2143572</xdr:colOff>
      <xdr:row>6</xdr:row>
      <xdr:rowOff>137584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9C227C-79F6-4D7E-B383-7800E8E19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857250" y="211667"/>
          <a:ext cx="1868405" cy="1322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222250</xdr:rowOff>
    </xdr:from>
    <xdr:to>
      <xdr:col>1</xdr:col>
      <xdr:colOff>2154155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E1BD2-B0CE-4C2F-9284-4B51563C4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867833" y="222250"/>
          <a:ext cx="1868405" cy="1322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222250</xdr:rowOff>
    </xdr:from>
    <xdr:to>
      <xdr:col>1</xdr:col>
      <xdr:colOff>2154155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2ED7B2-6ABD-400C-92EB-BB6FA108A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866775" y="222250"/>
          <a:ext cx="1868405" cy="12975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222250</xdr:rowOff>
    </xdr:from>
    <xdr:to>
      <xdr:col>1</xdr:col>
      <xdr:colOff>2154155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E8BFCA-441F-417F-BA32-808577831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866775" y="222250"/>
          <a:ext cx="1868405" cy="12975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222250</xdr:rowOff>
    </xdr:from>
    <xdr:to>
      <xdr:col>1</xdr:col>
      <xdr:colOff>2154155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FEEC92-DA14-4E30-8923-FCFBC04DE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866775" y="222250"/>
          <a:ext cx="1868405" cy="12975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182880</xdr:rowOff>
    </xdr:from>
    <xdr:to>
      <xdr:col>2</xdr:col>
      <xdr:colOff>245345</xdr:colOff>
      <xdr:row>8</xdr:row>
      <xdr:rowOff>24977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B75A82-CEF4-4EC6-8695-9BAA1D2EA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129540" y="182880"/>
          <a:ext cx="1868405" cy="12975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</xdr:row>
      <xdr:rowOff>0</xdr:rowOff>
    </xdr:from>
    <xdr:to>
      <xdr:col>2</xdr:col>
      <xdr:colOff>199625</xdr:colOff>
      <xdr:row>8</xdr:row>
      <xdr:rowOff>70697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117DF2-30BE-40BC-B96C-EC18B87BF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734" t="8204" r="31657" b="11982"/>
        <a:stretch/>
      </xdr:blipFill>
      <xdr:spPr>
        <a:xfrm>
          <a:off x="83820" y="175260"/>
          <a:ext cx="1868405" cy="12975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3</xdr:row>
      <xdr:rowOff>17559</xdr:rowOff>
    </xdr:from>
    <xdr:to>
      <xdr:col>9</xdr:col>
      <xdr:colOff>803487</xdr:colOff>
      <xdr:row>10</xdr:row>
      <xdr:rowOff>83820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63EAF0-16FD-4CC1-44FE-4D85CD30F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9790" y="566199"/>
          <a:ext cx="3569970" cy="1346421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</xdr:colOff>
      <xdr:row>10</xdr:row>
      <xdr:rowOff>173205</xdr:rowOff>
    </xdr:from>
    <xdr:to>
      <xdr:col>9</xdr:col>
      <xdr:colOff>777240</xdr:colOff>
      <xdr:row>18</xdr:row>
      <xdr:rowOff>152401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08C62A-2A9F-0937-331C-EAA09E20D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5505" y="2002005"/>
          <a:ext cx="3541395" cy="1442236"/>
        </a:xfrm>
        <a:prstGeom prst="rect">
          <a:avLst/>
        </a:prstGeom>
      </xdr:spPr>
    </xdr:pic>
    <xdr:clientData/>
  </xdr:twoCellAnchor>
  <xdr:twoCellAnchor editAs="oneCell">
    <xdr:from>
      <xdr:col>3</xdr:col>
      <xdr:colOff>23919</xdr:colOff>
      <xdr:row>20</xdr:row>
      <xdr:rowOff>4396</xdr:rowOff>
    </xdr:from>
    <xdr:to>
      <xdr:col>9</xdr:col>
      <xdr:colOff>778934</xdr:colOff>
      <xdr:row>28</xdr:row>
      <xdr:rowOff>163408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353306-9D33-CFEB-35FF-435C8916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0586" y="3729729"/>
          <a:ext cx="3557481" cy="164914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114300</xdr:rowOff>
    </xdr:from>
    <xdr:to>
      <xdr:col>2</xdr:col>
      <xdr:colOff>435845</xdr:colOff>
      <xdr:row>7</xdr:row>
      <xdr:rowOff>131657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761B01-77ED-4333-9DE8-9702D6731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7734" t="8204" r="31657" b="11982"/>
        <a:stretch/>
      </xdr:blipFill>
      <xdr:spPr>
        <a:xfrm>
          <a:off x="152400" y="114300"/>
          <a:ext cx="1868405" cy="12975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06/relationships/xlExternalLinkPath/xlPathMissing" Target="Taller_Industrial%20Bicis%20Madera%20Sas_Rvo1.xlsx" TargetMode="External"/><Relationship Id="rId1" Type="http://schemas.openxmlformats.org/officeDocument/2006/relationships/externalLinkPath" Target="Taller_Industrial%20Bicis%20Madera%20Sas_Rvo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pcedu-my.sharepoint.com/personal/gilma-muneton_upc_edu_co/Documents/Escritorio/Taller%20flujo%20de%20caja/LA%20CALCULADORA%20LTDA%202021.xlsx" TargetMode="External"/><Relationship Id="rId1" Type="http://schemas.openxmlformats.org/officeDocument/2006/relationships/externalLinkPath" Target="/personal/gilma-muneton_upc_edu_co/Documents/Escritorio/Taller%20flujo%20de%20caja/LA%20CALCULADORA%20LTD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Ejercicio"/>
      <sheetName val="Presupuesto de ventas"/>
      <sheetName val="Presupuesto de producción"/>
      <sheetName val="Presupuesto materias primas "/>
      <sheetName val="P. compra materias  primas "/>
      <sheetName val="P. mano de obra"/>
      <sheetName val="P. Gastos ind. de fabricación"/>
      <sheetName val="P. Gastos admón ventas "/>
      <sheetName val="Plan de inversión fija"/>
      <sheetName val="Tablas de amortización"/>
      <sheetName val="Estado costo de producción"/>
      <sheetName val="Estado de resultados proyectado"/>
      <sheetName val="Presupuesto de caja"/>
      <sheetName val="Balance general proyectado"/>
      <sheetName val="Riesgos"/>
      <sheetName val="Punto de equilibrio"/>
      <sheetName val="Razón"/>
      <sheetName val="Análisis"/>
      <sheetName val="SENSIBILIDAD"/>
      <sheetName val="GRAFICAS"/>
      <sheetName val="VIABILIDAD"/>
      <sheetName val="Hoja4"/>
      <sheetName val="SENSIBLE"/>
    </sheetNames>
    <sheetDataSet>
      <sheetData sheetId="0"/>
      <sheetData sheetId="1"/>
      <sheetData sheetId="2">
        <row r="33">
          <cell r="H33">
            <v>0.02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CION"/>
      <sheetName val="BASES"/>
      <sheetName val="Presupuesto de Ventas"/>
      <sheetName val="SENSIBILIDAD"/>
      <sheetName val="GRAFICAS"/>
      <sheetName val="VIABILIDAD"/>
      <sheetName val="Hoja4"/>
      <sheetName val="Presupuesto de Producción"/>
      <sheetName val="Presupuesto de Materias Primas"/>
      <sheetName val="P. de compra de Materiales"/>
      <sheetName val="P. de Mano de Obra"/>
      <sheetName val="P.Gastos Indirectos Fabricación"/>
      <sheetName val="P. Gastos Administración ventas"/>
      <sheetName val="Plan de Inversión Fija"/>
      <sheetName val="Tabla de Amortización"/>
      <sheetName val="Estado de costo de producción p"/>
      <sheetName val="Estado de Resultados Proyectado"/>
      <sheetName val="PRESUPUESTO DE CAJA"/>
      <sheetName val="BALANCE GENERAL PROYECTADO"/>
      <sheetName val="RIESGO"/>
      <sheetName val="PUNTO EQU"/>
      <sheetName val="RAZON"/>
      <sheetName val="SENSIBLE"/>
      <sheetName val="Hoja1"/>
    </sheetNames>
    <sheetDataSet>
      <sheetData sheetId="0" refreshError="1"/>
      <sheetData sheetId="1">
        <row r="154">
          <cell r="C154">
            <v>0.32</v>
          </cell>
        </row>
      </sheetData>
      <sheetData sheetId="2">
        <row r="24">
          <cell r="I24">
            <v>1187723250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4">
          <cell r="E14">
            <v>45</v>
          </cell>
        </row>
      </sheetData>
      <sheetData sheetId="8">
        <row r="29">
          <cell r="E29">
            <v>10</v>
          </cell>
        </row>
      </sheetData>
      <sheetData sheetId="9" refreshError="1"/>
      <sheetData sheetId="10" refreshError="1"/>
      <sheetData sheetId="11" refreshError="1"/>
      <sheetData sheetId="12">
        <row r="18">
          <cell r="F18">
            <v>0.2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aime Herrera" id="{BC3BC99D-A1BD-419B-879A-59B13E35D599}" userId="S::jherrera@transequipos.com::e230a4dc-2d8c-4581-9fd5-cae962731ab6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8" dT="2024-02-21T01:46:45.41" personId="{BC3BC99D-A1BD-419B-879A-59B13E35D599}" id="{273FF7EA-F49B-4558-9D25-923ADE1AE827}">
    <text>Días de Inventario / Producto Terminado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4-02-24T20:22:48.57" personId="{BC3BC99D-A1BD-419B-879A-59B13E35D599}" id="{8B09DD15-788F-4624-8E73-0A78A2BD94BE}">
    <text xml:space="preserve">El Estado de Tesorería, es un documento que muestra la posición de los ingresos y egresos 
de las cuentas bancarias que administra la empresa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9"/>
  <sheetViews>
    <sheetView showGridLines="0" topLeftCell="A95" zoomScale="90" zoomScaleNormal="90" workbookViewId="0"/>
  </sheetViews>
  <sheetFormatPr baseColWidth="10" defaultColWidth="14.42578125" defaultRowHeight="15" customHeight="1" x14ac:dyDescent="0.25"/>
  <cols>
    <col min="1" max="1" width="8.5703125" customWidth="1"/>
    <col min="2" max="2" width="38" customWidth="1"/>
    <col min="3" max="3" width="9.85546875" customWidth="1"/>
    <col min="4" max="4" width="11.28515625" customWidth="1"/>
    <col min="5" max="6" width="9.5703125" customWidth="1"/>
    <col min="7" max="7" width="9" customWidth="1"/>
    <col min="8" max="9" width="10" customWidth="1"/>
    <col min="10" max="10" width="10.5703125" bestFit="1" customWidth="1"/>
    <col min="11" max="11" width="13.28515625" bestFit="1" customWidth="1"/>
    <col min="12" max="12" width="10.5703125" bestFit="1" customWidth="1"/>
    <col min="13" max="13" width="12.42578125" bestFit="1" customWidth="1"/>
    <col min="14" max="14" width="12" bestFit="1" customWidth="1"/>
    <col min="15" max="15" width="9.5703125" bestFit="1" customWidth="1"/>
    <col min="16" max="25" width="8.5703125" customWidth="1"/>
  </cols>
  <sheetData>
    <row r="1" spans="1:25" ht="18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25">
      <c r="A3" s="1"/>
      <c r="B3" s="76" t="s">
        <v>42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25">
      <c r="A6" s="1"/>
      <c r="B6" s="3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25">
      <c r="A8" s="1"/>
      <c r="B8" s="12" t="s">
        <v>12</v>
      </c>
      <c r="C8" s="13">
        <v>800</v>
      </c>
      <c r="D8" s="11">
        <f t="shared" ref="D8:N8" si="0">C44</f>
        <v>606.5</v>
      </c>
      <c r="E8" s="11">
        <f t="shared" si="0"/>
        <v>471.125</v>
      </c>
      <c r="F8" s="11">
        <f t="shared" si="0"/>
        <v>363.34687500000007</v>
      </c>
      <c r="G8" s="11">
        <f t="shared" si="0"/>
        <v>273.63707812500013</v>
      </c>
      <c r="H8" s="11">
        <f t="shared" si="0"/>
        <v>211.46663429687521</v>
      </c>
      <c r="I8" s="11">
        <f t="shared" si="0"/>
        <v>132.30613381132844</v>
      </c>
      <c r="J8" s="11">
        <f t="shared" si="0"/>
        <v>145.62572581849849</v>
      </c>
      <c r="K8" s="11">
        <f t="shared" si="0"/>
        <v>26.895111705776117</v>
      </c>
      <c r="L8" s="11">
        <f t="shared" si="0"/>
        <v>15.083538381362928</v>
      </c>
      <c r="M8" s="11">
        <f t="shared" si="0"/>
        <v>191.15979145708354</v>
      </c>
      <c r="N8" s="21">
        <f t="shared" si="0"/>
        <v>394.59218832893998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25">
      <c r="A10" s="1"/>
      <c r="B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25">
      <c r="A11" s="1"/>
      <c r="B11" s="78" t="s">
        <v>13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25">
      <c r="A12" s="1"/>
      <c r="B12" s="1" t="s">
        <v>24</v>
      </c>
      <c r="C12" s="10">
        <v>350</v>
      </c>
      <c r="D12" s="10">
        <v>350</v>
      </c>
      <c r="E12" s="10">
        <v>400</v>
      </c>
      <c r="F12" s="10">
        <v>400</v>
      </c>
      <c r="G12" s="10">
        <v>450</v>
      </c>
      <c r="H12" s="10">
        <v>450</v>
      </c>
      <c r="I12" s="10">
        <v>500</v>
      </c>
      <c r="J12" s="10">
        <v>500</v>
      </c>
      <c r="K12" s="10">
        <v>600</v>
      </c>
      <c r="L12" s="10">
        <v>600</v>
      </c>
      <c r="M12" s="10">
        <v>650</v>
      </c>
      <c r="N12" s="10">
        <v>650</v>
      </c>
      <c r="O12" s="16">
        <f>+SUM(C12:N12)</f>
        <v>5900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25">
      <c r="A13" s="1"/>
      <c r="B13" s="1" t="s">
        <v>25</v>
      </c>
      <c r="C13" s="10">
        <f>+C12*C16</f>
        <v>210</v>
      </c>
      <c r="D13" s="10">
        <f>+D12*D16+C12*D17</f>
        <v>350</v>
      </c>
      <c r="E13" s="10">
        <f>+E12*E16+D12*E17</f>
        <v>380</v>
      </c>
      <c r="F13" s="10">
        <f t="shared" ref="F13:N13" si="1">+F12*F16+E12*F17</f>
        <v>400</v>
      </c>
      <c r="G13" s="10">
        <f t="shared" si="1"/>
        <v>430</v>
      </c>
      <c r="H13" s="10">
        <f t="shared" si="1"/>
        <v>450</v>
      </c>
      <c r="I13" s="10">
        <f t="shared" si="1"/>
        <v>480</v>
      </c>
      <c r="J13" s="10">
        <f t="shared" si="1"/>
        <v>500</v>
      </c>
      <c r="K13" s="10">
        <f t="shared" si="1"/>
        <v>560</v>
      </c>
      <c r="L13" s="10">
        <f t="shared" si="1"/>
        <v>600</v>
      </c>
      <c r="M13" s="10">
        <f t="shared" si="1"/>
        <v>630</v>
      </c>
      <c r="N13" s="10">
        <f t="shared" si="1"/>
        <v>650</v>
      </c>
      <c r="O13" s="16">
        <f>+SUM(C13:N13)</f>
        <v>5640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25">
      <c r="A14" s="1"/>
      <c r="B14" s="1" t="s">
        <v>26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6" t="s">
        <v>14</v>
      </c>
      <c r="C15" s="14">
        <f>+C13</f>
        <v>210</v>
      </c>
      <c r="D15" s="14">
        <f t="shared" ref="D15:N15" si="2">+D13</f>
        <v>350</v>
      </c>
      <c r="E15" s="14">
        <f t="shared" si="2"/>
        <v>380</v>
      </c>
      <c r="F15" s="14">
        <f t="shared" si="2"/>
        <v>400</v>
      </c>
      <c r="G15" s="14">
        <f t="shared" si="2"/>
        <v>430</v>
      </c>
      <c r="H15" s="14">
        <f t="shared" si="2"/>
        <v>450</v>
      </c>
      <c r="I15" s="14">
        <f t="shared" si="2"/>
        <v>480</v>
      </c>
      <c r="J15" s="14">
        <f t="shared" si="2"/>
        <v>500</v>
      </c>
      <c r="K15" s="14">
        <f t="shared" si="2"/>
        <v>560</v>
      </c>
      <c r="L15" s="14">
        <f t="shared" si="2"/>
        <v>600</v>
      </c>
      <c r="M15" s="14">
        <f t="shared" si="2"/>
        <v>630</v>
      </c>
      <c r="N15" s="14">
        <f t="shared" si="2"/>
        <v>650</v>
      </c>
      <c r="O15" s="16">
        <f>+O12-O13</f>
        <v>260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7">
        <v>0.6</v>
      </c>
      <c r="D16" s="17">
        <v>0.6</v>
      </c>
      <c r="E16" s="17">
        <v>0.6</v>
      </c>
      <c r="F16" s="17">
        <v>0.6</v>
      </c>
      <c r="G16" s="17">
        <v>0.6</v>
      </c>
      <c r="H16" s="17">
        <v>0.6</v>
      </c>
      <c r="I16" s="17">
        <v>0.6</v>
      </c>
      <c r="J16" s="17">
        <v>0.6</v>
      </c>
      <c r="K16" s="17">
        <v>0.6</v>
      </c>
      <c r="L16" s="17">
        <v>0.6</v>
      </c>
      <c r="M16" s="17">
        <v>0.6</v>
      </c>
      <c r="N16" s="17">
        <v>0.6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7">
        <v>0.4</v>
      </c>
      <c r="D17" s="17">
        <v>0.4</v>
      </c>
      <c r="E17" s="17">
        <v>0.4</v>
      </c>
      <c r="F17" s="17">
        <v>0.4</v>
      </c>
      <c r="G17" s="17">
        <v>0.4</v>
      </c>
      <c r="H17" s="17">
        <v>0.4</v>
      </c>
      <c r="I17" s="17">
        <v>0.4</v>
      </c>
      <c r="J17" s="17">
        <v>0.4</v>
      </c>
      <c r="K17" s="17">
        <v>0.4</v>
      </c>
      <c r="L17" s="17">
        <v>0.4</v>
      </c>
      <c r="M17" s="17">
        <v>0.4</v>
      </c>
      <c r="N17" s="17">
        <v>0.4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80" t="s">
        <v>32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 t="s">
        <v>38</v>
      </c>
      <c r="C19" s="10">
        <v>125</v>
      </c>
      <c r="D19" s="10">
        <f>+C19*O19</f>
        <v>126.87499999999999</v>
      </c>
      <c r="E19" s="10">
        <f>+D19*O19</f>
        <v>128.77812499999996</v>
      </c>
      <c r="F19" s="10">
        <f>+E19*O19</f>
        <v>130.70979687499994</v>
      </c>
      <c r="G19" s="10">
        <f>+F19*O19</f>
        <v>132.67044382812492</v>
      </c>
      <c r="H19" s="19">
        <f>+G19*O19</f>
        <v>134.66050048554678</v>
      </c>
      <c r="I19" s="10">
        <f>+H19*O19</f>
        <v>136.68040799282997</v>
      </c>
      <c r="J19" s="10">
        <f>+I19*O19</f>
        <v>138.73061411272241</v>
      </c>
      <c r="K19" s="10">
        <f>+J19*O19</f>
        <v>140.81157332441322</v>
      </c>
      <c r="L19" s="10">
        <f>+K19*O19</f>
        <v>142.92374692427941</v>
      </c>
      <c r="M19" s="10">
        <f>+L19*O19</f>
        <v>145.06760312814359</v>
      </c>
      <c r="N19" s="19">
        <f>+M19*O19</f>
        <v>147.24361717506574</v>
      </c>
      <c r="O19" s="20">
        <v>1.0149999999999999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 t="s">
        <v>27</v>
      </c>
      <c r="C20" s="10">
        <v>200</v>
      </c>
      <c r="D20" s="10">
        <v>0</v>
      </c>
      <c r="E20" s="10">
        <v>0</v>
      </c>
      <c r="F20" s="10">
        <v>0</v>
      </c>
      <c r="G20" s="10">
        <v>0</v>
      </c>
      <c r="H20" s="19">
        <v>0</v>
      </c>
      <c r="I20" s="10">
        <v>150</v>
      </c>
      <c r="J20" s="10">
        <v>0</v>
      </c>
      <c r="K20" s="10">
        <v>0</v>
      </c>
      <c r="L20" s="10">
        <v>0</v>
      </c>
      <c r="M20" s="10"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 t="s">
        <v>39</v>
      </c>
      <c r="C21" s="10">
        <v>45</v>
      </c>
      <c r="D21" s="10">
        <v>45</v>
      </c>
      <c r="E21" s="10">
        <v>45</v>
      </c>
      <c r="F21" s="10">
        <v>45</v>
      </c>
      <c r="G21" s="10">
        <v>45</v>
      </c>
      <c r="H21" s="19">
        <v>45</v>
      </c>
      <c r="I21" s="10">
        <v>45</v>
      </c>
      <c r="J21" s="10">
        <v>45</v>
      </c>
      <c r="K21" s="10">
        <v>45</v>
      </c>
      <c r="L21" s="10">
        <v>45</v>
      </c>
      <c r="M21" s="10">
        <v>45</v>
      </c>
      <c r="N21" s="19">
        <v>45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 t="s">
        <v>28</v>
      </c>
      <c r="C22" s="10">
        <f>+C12*1%</f>
        <v>3.5</v>
      </c>
      <c r="D22" s="10">
        <f t="shared" ref="D22:N22" si="3">+D12*1%</f>
        <v>3.5</v>
      </c>
      <c r="E22" s="10">
        <f t="shared" si="3"/>
        <v>4</v>
      </c>
      <c r="F22" s="10">
        <f t="shared" si="3"/>
        <v>4</v>
      </c>
      <c r="G22" s="10">
        <f t="shared" si="3"/>
        <v>4.5</v>
      </c>
      <c r="H22" s="19">
        <f t="shared" si="3"/>
        <v>4.5</v>
      </c>
      <c r="I22" s="10">
        <f t="shared" si="3"/>
        <v>5</v>
      </c>
      <c r="J22" s="10">
        <f t="shared" si="3"/>
        <v>5</v>
      </c>
      <c r="K22" s="10">
        <f t="shared" si="3"/>
        <v>6</v>
      </c>
      <c r="L22" s="10">
        <f t="shared" si="3"/>
        <v>6</v>
      </c>
      <c r="M22" s="10">
        <f t="shared" si="3"/>
        <v>6.5</v>
      </c>
      <c r="N22" s="19">
        <f t="shared" si="3"/>
        <v>6.5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 t="s">
        <v>40</v>
      </c>
      <c r="C23" s="10">
        <v>15</v>
      </c>
      <c r="D23" s="10">
        <v>15</v>
      </c>
      <c r="E23" s="10">
        <v>15</v>
      </c>
      <c r="F23" s="10">
        <v>15</v>
      </c>
      <c r="G23" s="10">
        <v>15</v>
      </c>
      <c r="H23" s="19">
        <v>15</v>
      </c>
      <c r="I23" s="10">
        <v>15</v>
      </c>
      <c r="J23" s="10">
        <v>15</v>
      </c>
      <c r="K23" s="10">
        <v>15</v>
      </c>
      <c r="L23" s="10">
        <v>15</v>
      </c>
      <c r="M23" s="10">
        <v>15</v>
      </c>
      <c r="N23" s="19">
        <v>15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 t="s">
        <v>29</v>
      </c>
      <c r="C24" s="10">
        <v>215</v>
      </c>
      <c r="D24" s="10">
        <v>215</v>
      </c>
      <c r="E24" s="10">
        <v>215</v>
      </c>
      <c r="F24" s="10">
        <v>215</v>
      </c>
      <c r="G24" s="10">
        <v>215</v>
      </c>
      <c r="H24" s="19">
        <v>350</v>
      </c>
      <c r="I24" s="10">
        <v>215</v>
      </c>
      <c r="J24" s="10">
        <v>215</v>
      </c>
      <c r="K24" s="10">
        <v>215</v>
      </c>
      <c r="L24" s="10">
        <v>215</v>
      </c>
      <c r="M24" s="10">
        <v>215</v>
      </c>
      <c r="N24" s="19">
        <v>430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 t="s">
        <v>30</v>
      </c>
      <c r="C25" s="10">
        <v>0</v>
      </c>
      <c r="D25" s="10">
        <v>40</v>
      </c>
      <c r="E25" s="10">
        <v>40</v>
      </c>
      <c r="F25" s="10">
        <v>40</v>
      </c>
      <c r="G25" s="10">
        <v>40</v>
      </c>
      <c r="H25" s="19">
        <v>40</v>
      </c>
      <c r="I25" s="10">
        <v>0</v>
      </c>
      <c r="J25" s="10">
        <v>75</v>
      </c>
      <c r="K25" s="10">
        <v>75</v>
      </c>
      <c r="L25" s="10">
        <v>0</v>
      </c>
      <c r="M25" s="10">
        <v>0</v>
      </c>
      <c r="N25" s="19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 t="s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9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9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 t="s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9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8"/>
      <c r="B28" s="6" t="s">
        <v>33</v>
      </c>
      <c r="C28" s="14">
        <f t="shared" ref="C28:N28" si="4">SUM(C19:C27)</f>
        <v>603.5</v>
      </c>
      <c r="D28" s="14">
        <f t="shared" si="4"/>
        <v>445.375</v>
      </c>
      <c r="E28" s="14">
        <f t="shared" si="4"/>
        <v>447.77812499999993</v>
      </c>
      <c r="F28" s="14">
        <f t="shared" si="4"/>
        <v>449.70979687499994</v>
      </c>
      <c r="G28" s="14">
        <f t="shared" si="4"/>
        <v>452.17044382812492</v>
      </c>
      <c r="H28" s="14">
        <f t="shared" si="4"/>
        <v>589.16050048554678</v>
      </c>
      <c r="I28" s="14">
        <f t="shared" si="4"/>
        <v>566.68040799282994</v>
      </c>
      <c r="J28" s="14">
        <f t="shared" si="4"/>
        <v>493.73061411272238</v>
      </c>
      <c r="K28" s="14">
        <f t="shared" si="4"/>
        <v>496.81157332441319</v>
      </c>
      <c r="L28" s="14">
        <f t="shared" si="4"/>
        <v>423.92374692427938</v>
      </c>
      <c r="M28" s="14">
        <f t="shared" si="4"/>
        <v>426.56760312814356</v>
      </c>
      <c r="N28" s="14">
        <f t="shared" si="4"/>
        <v>643.74361717506576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9" t="s">
        <v>15</v>
      </c>
      <c r="C30" s="15">
        <f>SUM(C8+C15-C28)</f>
        <v>406.5</v>
      </c>
      <c r="D30" s="15">
        <f t="shared" ref="D30:N30" si="5">SUM(D8+D15-D28)</f>
        <v>511.125</v>
      </c>
      <c r="E30" s="15">
        <f t="shared" si="5"/>
        <v>403.34687500000007</v>
      </c>
      <c r="F30" s="15">
        <f t="shared" si="5"/>
        <v>313.63707812500013</v>
      </c>
      <c r="G30" s="15">
        <f t="shared" si="5"/>
        <v>251.46663429687521</v>
      </c>
      <c r="H30" s="15">
        <f t="shared" si="5"/>
        <v>72.306133811328436</v>
      </c>
      <c r="I30" s="15">
        <f t="shared" si="5"/>
        <v>45.625725818498495</v>
      </c>
      <c r="J30" s="15">
        <f t="shared" si="5"/>
        <v>151.89511170577612</v>
      </c>
      <c r="K30" s="15">
        <f t="shared" si="5"/>
        <v>90.083538381362928</v>
      </c>
      <c r="L30" s="15">
        <f t="shared" si="5"/>
        <v>191.15979145708354</v>
      </c>
      <c r="M30" s="15">
        <f t="shared" si="5"/>
        <v>394.59218832893998</v>
      </c>
      <c r="N30" s="15">
        <f t="shared" si="5"/>
        <v>400.84857115387422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80" t="s">
        <v>16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 t="s">
        <v>17</v>
      </c>
      <c r="C34" s="5">
        <v>200</v>
      </c>
      <c r="D34" s="5"/>
      <c r="E34" s="5"/>
      <c r="F34" s="5"/>
      <c r="G34" s="5"/>
      <c r="H34" s="5">
        <v>100</v>
      </c>
      <c r="I34" s="5"/>
      <c r="J34" s="5"/>
      <c r="K34" s="5"/>
      <c r="L34" s="5"/>
      <c r="M34" s="5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 t="s">
        <v>18</v>
      </c>
      <c r="C35" s="5"/>
      <c r="D35" s="5"/>
      <c r="E35" s="5"/>
      <c r="F35" s="5"/>
      <c r="G35" s="5"/>
      <c r="H35" s="5"/>
      <c r="I35" s="5">
        <v>150</v>
      </c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6" t="s">
        <v>19</v>
      </c>
      <c r="C36" s="7">
        <f t="shared" ref="C36:N36" si="6">SUM(C34:C35)</f>
        <v>200</v>
      </c>
      <c r="D36" s="7">
        <f t="shared" si="6"/>
        <v>0</v>
      </c>
      <c r="E36" s="7">
        <f t="shared" si="6"/>
        <v>0</v>
      </c>
      <c r="F36" s="7">
        <f t="shared" si="6"/>
        <v>0</v>
      </c>
      <c r="G36" s="7">
        <f t="shared" si="6"/>
        <v>0</v>
      </c>
      <c r="H36" s="7">
        <f t="shared" si="6"/>
        <v>100</v>
      </c>
      <c r="I36" s="7">
        <f t="shared" si="6"/>
        <v>150</v>
      </c>
      <c r="J36" s="7">
        <f t="shared" si="6"/>
        <v>0</v>
      </c>
      <c r="K36" s="7">
        <f t="shared" si="6"/>
        <v>0</v>
      </c>
      <c r="L36" s="7">
        <f t="shared" si="6"/>
        <v>0</v>
      </c>
      <c r="M36" s="7">
        <f t="shared" si="6"/>
        <v>0</v>
      </c>
      <c r="N36" s="7">
        <f t="shared" si="6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80" t="s">
        <v>20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 t="s">
        <v>21</v>
      </c>
      <c r="C40" s="10"/>
      <c r="D40" s="10">
        <v>40</v>
      </c>
      <c r="E40" s="10">
        <v>40</v>
      </c>
      <c r="F40" s="10">
        <v>40</v>
      </c>
      <c r="G40" s="10">
        <v>40</v>
      </c>
      <c r="H40" s="10">
        <v>40</v>
      </c>
      <c r="I40" s="10">
        <v>50</v>
      </c>
      <c r="J40" s="10">
        <v>50</v>
      </c>
      <c r="K40" s="10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 t="s">
        <v>22</v>
      </c>
      <c r="C41" s="10"/>
      <c r="D41" s="10"/>
      <c r="E41" s="10"/>
      <c r="F41" s="10"/>
      <c r="G41" s="10"/>
      <c r="H41" s="10"/>
      <c r="I41" s="10"/>
      <c r="J41" s="10">
        <v>75</v>
      </c>
      <c r="K41" s="10">
        <v>75</v>
      </c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6" t="s">
        <v>19</v>
      </c>
      <c r="C42" s="7">
        <f t="shared" ref="C42:N42" si="7">SUM(C40:C41)</f>
        <v>0</v>
      </c>
      <c r="D42" s="7">
        <f t="shared" si="7"/>
        <v>40</v>
      </c>
      <c r="E42" s="7">
        <f t="shared" si="7"/>
        <v>40</v>
      </c>
      <c r="F42" s="7">
        <f t="shared" si="7"/>
        <v>40</v>
      </c>
      <c r="G42" s="7">
        <f t="shared" si="7"/>
        <v>40</v>
      </c>
      <c r="H42" s="7">
        <f t="shared" si="7"/>
        <v>40</v>
      </c>
      <c r="I42" s="7">
        <f t="shared" si="7"/>
        <v>50</v>
      </c>
      <c r="J42" s="7">
        <f t="shared" si="7"/>
        <v>125</v>
      </c>
      <c r="K42" s="7">
        <f t="shared" si="7"/>
        <v>75</v>
      </c>
      <c r="L42" s="7">
        <f t="shared" si="7"/>
        <v>0</v>
      </c>
      <c r="M42" s="7">
        <f t="shared" si="7"/>
        <v>0</v>
      </c>
      <c r="N42" s="7">
        <f t="shared" si="7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9" t="s">
        <v>23</v>
      </c>
      <c r="C44" s="15">
        <f t="shared" ref="C44:N44" si="8">SUM(C30+C36-C42)</f>
        <v>606.5</v>
      </c>
      <c r="D44" s="15">
        <f t="shared" si="8"/>
        <v>471.125</v>
      </c>
      <c r="E44" s="15">
        <f t="shared" si="8"/>
        <v>363.34687500000007</v>
      </c>
      <c r="F44" s="15">
        <f t="shared" si="8"/>
        <v>273.63707812500013</v>
      </c>
      <c r="G44" s="15">
        <f t="shared" si="8"/>
        <v>211.46663429687521</v>
      </c>
      <c r="H44" s="15">
        <f t="shared" si="8"/>
        <v>132.30613381132844</v>
      </c>
      <c r="I44" s="15">
        <f t="shared" si="8"/>
        <v>145.62572581849849</v>
      </c>
      <c r="J44" s="15">
        <f t="shared" si="8"/>
        <v>26.895111705776117</v>
      </c>
      <c r="K44" s="15">
        <f t="shared" si="8"/>
        <v>15.083538381362928</v>
      </c>
      <c r="L44" s="15">
        <f t="shared" si="8"/>
        <v>191.15979145708354</v>
      </c>
      <c r="M44" s="15">
        <f t="shared" si="8"/>
        <v>394.59218832893998</v>
      </c>
      <c r="N44" s="15">
        <f t="shared" si="8"/>
        <v>400.84857115387422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25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25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" customHeight="1" x14ac:dyDescent="0.25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" customHeight="1" x14ac:dyDescent="0.25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" customHeight="1" x14ac:dyDescent="0.25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" customHeight="1" x14ac:dyDescent="0.25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" customHeight="1" x14ac:dyDescent="0.25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" customHeight="1" x14ac:dyDescent="0.25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" customHeight="1" x14ac:dyDescent="0.25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3:N4"/>
    <mergeCell ref="B11:N11"/>
    <mergeCell ref="B18:N18"/>
    <mergeCell ref="B33:N33"/>
    <mergeCell ref="B39:N39"/>
  </mergeCells>
  <pageMargins left="0.70866141732283472" right="0.70866141732283472" top="0.74803149606299213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D0425-CC38-4F5A-A616-5A0AF91211A7}">
  <dimension ref="A1:Y1009"/>
  <sheetViews>
    <sheetView showGridLines="0" zoomScale="90" zoomScaleNormal="90" workbookViewId="0"/>
  </sheetViews>
  <sheetFormatPr baseColWidth="10" defaultColWidth="14.42578125" defaultRowHeight="15" customHeight="1" x14ac:dyDescent="0.25"/>
  <cols>
    <col min="1" max="1" width="8.5703125" customWidth="1"/>
    <col min="2" max="2" width="38" customWidth="1"/>
    <col min="3" max="3" width="9.85546875" customWidth="1"/>
    <col min="4" max="4" width="11.28515625" customWidth="1"/>
    <col min="5" max="6" width="9.5703125" customWidth="1"/>
    <col min="7" max="7" width="9" customWidth="1"/>
    <col min="8" max="9" width="10" customWidth="1"/>
    <col min="10" max="10" width="10.5703125" bestFit="1" customWidth="1"/>
    <col min="11" max="11" width="13.28515625" bestFit="1" customWidth="1"/>
    <col min="12" max="12" width="10.5703125" bestFit="1" customWidth="1"/>
    <col min="13" max="13" width="12.42578125" bestFit="1" customWidth="1"/>
    <col min="14" max="14" width="12" bestFit="1" customWidth="1"/>
    <col min="15" max="15" width="9.5703125" bestFit="1" customWidth="1"/>
    <col min="16" max="25" width="8.5703125" customWidth="1"/>
  </cols>
  <sheetData>
    <row r="1" spans="1:25" ht="18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25">
      <c r="A3" s="1"/>
      <c r="B3" s="76" t="s">
        <v>43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25">
      <c r="A6" s="1"/>
      <c r="B6" s="3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25">
      <c r="A8" s="1"/>
      <c r="B8" s="12" t="s">
        <v>12</v>
      </c>
      <c r="C8" s="13">
        <v>394.59</v>
      </c>
      <c r="D8" s="11">
        <f t="shared" ref="D8:N8" si="0">C44</f>
        <v>453.08999999999992</v>
      </c>
      <c r="E8" s="11">
        <f t="shared" si="0"/>
        <v>329.52749999999992</v>
      </c>
      <c r="F8" s="11">
        <f t="shared" si="0"/>
        <v>233.37156249999992</v>
      </c>
      <c r="G8" s="11">
        <f t="shared" si="0"/>
        <v>155.09078593750002</v>
      </c>
      <c r="H8" s="11">
        <f t="shared" si="0"/>
        <v>104.15329772656253</v>
      </c>
      <c r="I8" s="11">
        <f t="shared" si="0"/>
        <v>51.026747192461016</v>
      </c>
      <c r="J8" s="11">
        <f t="shared" si="0"/>
        <v>104.67829840034801</v>
      </c>
      <c r="K8" s="11">
        <f t="shared" si="0"/>
        <v>46.07462287635326</v>
      </c>
      <c r="L8" s="11">
        <f t="shared" si="0"/>
        <v>94.18189221949865</v>
      </c>
      <c r="M8" s="11">
        <f t="shared" si="0"/>
        <v>329.96577060279117</v>
      </c>
      <c r="N8" s="21">
        <f t="shared" si="0"/>
        <v>592.89140716183306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25">
      <c r="A10" s="1"/>
      <c r="B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25">
      <c r="A11" s="1"/>
      <c r="B11" s="78" t="s">
        <v>13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25">
      <c r="A12" s="1"/>
      <c r="B12" s="1" t="s">
        <v>24</v>
      </c>
      <c r="C12" s="10">
        <v>400</v>
      </c>
      <c r="D12" s="10">
        <v>400</v>
      </c>
      <c r="E12" s="10">
        <v>450</v>
      </c>
      <c r="F12" s="10">
        <v>450</v>
      </c>
      <c r="G12" s="10">
        <v>500</v>
      </c>
      <c r="H12" s="10">
        <v>500</v>
      </c>
      <c r="I12" s="10">
        <v>600</v>
      </c>
      <c r="J12" s="10">
        <v>600</v>
      </c>
      <c r="K12" s="10">
        <v>700</v>
      </c>
      <c r="L12" s="10">
        <v>700</v>
      </c>
      <c r="M12" s="10">
        <v>750</v>
      </c>
      <c r="N12" s="10">
        <v>750</v>
      </c>
      <c r="O12" s="16">
        <f>+SUM(C12:N12)</f>
        <v>6800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25">
      <c r="A13" s="1"/>
      <c r="B13" s="1" t="s">
        <v>25</v>
      </c>
      <c r="C13" s="10">
        <f>+C12*C16+260</f>
        <v>500</v>
      </c>
      <c r="D13" s="10">
        <f>+D12*D16+C12*D17</f>
        <v>400</v>
      </c>
      <c r="E13" s="10">
        <f>+E12*E16+D12*E17</f>
        <v>430</v>
      </c>
      <c r="F13" s="10">
        <f t="shared" ref="F13:N13" si="1">+F12*F16+E12*F17</f>
        <v>450</v>
      </c>
      <c r="G13" s="10">
        <f t="shared" si="1"/>
        <v>480</v>
      </c>
      <c r="H13" s="10">
        <f t="shared" si="1"/>
        <v>500</v>
      </c>
      <c r="I13" s="10">
        <f t="shared" si="1"/>
        <v>560</v>
      </c>
      <c r="J13" s="10">
        <f t="shared" si="1"/>
        <v>600</v>
      </c>
      <c r="K13" s="10">
        <f t="shared" si="1"/>
        <v>660</v>
      </c>
      <c r="L13" s="10">
        <f t="shared" si="1"/>
        <v>700</v>
      </c>
      <c r="M13" s="10">
        <f t="shared" si="1"/>
        <v>730</v>
      </c>
      <c r="N13" s="10">
        <f t="shared" si="1"/>
        <v>750</v>
      </c>
      <c r="O13" s="16">
        <f>+SUM(C13:N13)</f>
        <v>6760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25">
      <c r="A14" s="1"/>
      <c r="B14" s="1" t="s">
        <v>26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6" t="s">
        <v>14</v>
      </c>
      <c r="C15" s="14">
        <f>+C13</f>
        <v>500</v>
      </c>
      <c r="D15" s="14">
        <f t="shared" ref="D15:N15" si="2">+D13</f>
        <v>400</v>
      </c>
      <c r="E15" s="14">
        <f t="shared" si="2"/>
        <v>430</v>
      </c>
      <c r="F15" s="14">
        <f t="shared" si="2"/>
        <v>450</v>
      </c>
      <c r="G15" s="14">
        <f t="shared" si="2"/>
        <v>480</v>
      </c>
      <c r="H15" s="14">
        <f t="shared" si="2"/>
        <v>500</v>
      </c>
      <c r="I15" s="14">
        <f t="shared" si="2"/>
        <v>560</v>
      </c>
      <c r="J15" s="14">
        <f t="shared" si="2"/>
        <v>600</v>
      </c>
      <c r="K15" s="14">
        <f t="shared" si="2"/>
        <v>660</v>
      </c>
      <c r="L15" s="14">
        <f t="shared" si="2"/>
        <v>700</v>
      </c>
      <c r="M15" s="14">
        <f t="shared" si="2"/>
        <v>730</v>
      </c>
      <c r="N15" s="14">
        <f t="shared" si="2"/>
        <v>750</v>
      </c>
      <c r="O15" s="16">
        <f>+O12-O13</f>
        <v>40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7">
        <v>0.6</v>
      </c>
      <c r="D16" s="17">
        <v>0.6</v>
      </c>
      <c r="E16" s="17">
        <v>0.6</v>
      </c>
      <c r="F16" s="17">
        <v>0.6</v>
      </c>
      <c r="G16" s="17">
        <v>0.6</v>
      </c>
      <c r="H16" s="17">
        <v>0.6</v>
      </c>
      <c r="I16" s="17">
        <v>0.6</v>
      </c>
      <c r="J16" s="17">
        <v>0.6</v>
      </c>
      <c r="K16" s="17">
        <v>0.6</v>
      </c>
      <c r="L16" s="17">
        <v>0.6</v>
      </c>
      <c r="M16" s="17">
        <v>0.6</v>
      </c>
      <c r="N16" s="17">
        <v>0.6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7">
        <v>0.4</v>
      </c>
      <c r="D17" s="17">
        <v>0.4</v>
      </c>
      <c r="E17" s="17">
        <v>0.4</v>
      </c>
      <c r="F17" s="17">
        <v>0.4</v>
      </c>
      <c r="G17" s="17">
        <v>0.4</v>
      </c>
      <c r="H17" s="17">
        <v>0.4</v>
      </c>
      <c r="I17" s="17">
        <v>0.4</v>
      </c>
      <c r="J17" s="17">
        <v>0.4</v>
      </c>
      <c r="K17" s="17">
        <v>0.4</v>
      </c>
      <c r="L17" s="17">
        <v>0.4</v>
      </c>
      <c r="M17" s="17">
        <v>0.4</v>
      </c>
      <c r="N17" s="17">
        <v>0.4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80" t="s">
        <v>32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 t="s">
        <v>38</v>
      </c>
      <c r="C19" s="10">
        <v>137.5</v>
      </c>
      <c r="D19" s="10">
        <f>+C19*O19</f>
        <v>139.5625</v>
      </c>
      <c r="E19" s="10">
        <f>+D19*O19</f>
        <v>141.65593749999999</v>
      </c>
      <c r="F19" s="10">
        <f>+E19*O19</f>
        <v>143.78077656249997</v>
      </c>
      <c r="G19" s="10">
        <f>+F19*O19</f>
        <v>145.93748821093746</v>
      </c>
      <c r="H19" s="19">
        <f>+G19*O19</f>
        <v>148.12655053410151</v>
      </c>
      <c r="I19" s="10">
        <f>+H19*O19</f>
        <v>150.34844879211303</v>
      </c>
      <c r="J19" s="10">
        <f>+I19*O19</f>
        <v>152.60367552399472</v>
      </c>
      <c r="K19" s="10">
        <f>+J19*O19</f>
        <v>154.89273065685464</v>
      </c>
      <c r="L19" s="10">
        <f>+K19*O19</f>
        <v>157.21612161670745</v>
      </c>
      <c r="M19" s="10">
        <f>+L19*O19</f>
        <v>159.57436344095805</v>
      </c>
      <c r="N19" s="19">
        <f>+M19*O19</f>
        <v>161.9679788925724</v>
      </c>
      <c r="O19" s="20">
        <v>1.0149999999999999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 t="s">
        <v>27</v>
      </c>
      <c r="C20" s="10">
        <v>200</v>
      </c>
      <c r="D20" s="10">
        <v>0</v>
      </c>
      <c r="E20" s="10">
        <v>0</v>
      </c>
      <c r="F20" s="10">
        <v>0</v>
      </c>
      <c r="G20" s="10">
        <v>0</v>
      </c>
      <c r="H20" s="19">
        <v>0</v>
      </c>
      <c r="I20" s="10">
        <v>150</v>
      </c>
      <c r="J20" s="10">
        <v>0</v>
      </c>
      <c r="K20" s="10">
        <v>0</v>
      </c>
      <c r="L20" s="10">
        <v>0</v>
      </c>
      <c r="M20" s="10"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 t="s">
        <v>39</v>
      </c>
      <c r="C21" s="10">
        <v>45</v>
      </c>
      <c r="D21" s="10">
        <v>45</v>
      </c>
      <c r="E21" s="10">
        <v>45</v>
      </c>
      <c r="F21" s="10">
        <v>45</v>
      </c>
      <c r="G21" s="10">
        <v>45</v>
      </c>
      <c r="H21" s="19">
        <v>45</v>
      </c>
      <c r="I21" s="10">
        <v>45</v>
      </c>
      <c r="J21" s="10">
        <v>45</v>
      </c>
      <c r="K21" s="10">
        <v>45</v>
      </c>
      <c r="L21" s="10">
        <v>45</v>
      </c>
      <c r="M21" s="10">
        <v>45</v>
      </c>
      <c r="N21" s="19">
        <v>45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 t="s">
        <v>28</v>
      </c>
      <c r="C22" s="10">
        <f>+C12*1%</f>
        <v>4</v>
      </c>
      <c r="D22" s="10">
        <f t="shared" ref="D22:N22" si="3">+D12*1%</f>
        <v>4</v>
      </c>
      <c r="E22" s="10">
        <f t="shared" si="3"/>
        <v>4.5</v>
      </c>
      <c r="F22" s="10">
        <f t="shared" si="3"/>
        <v>4.5</v>
      </c>
      <c r="G22" s="10">
        <f t="shared" si="3"/>
        <v>5</v>
      </c>
      <c r="H22" s="19">
        <f t="shared" si="3"/>
        <v>5</v>
      </c>
      <c r="I22" s="10">
        <f t="shared" si="3"/>
        <v>6</v>
      </c>
      <c r="J22" s="10">
        <f t="shared" si="3"/>
        <v>6</v>
      </c>
      <c r="K22" s="10">
        <f t="shared" si="3"/>
        <v>7</v>
      </c>
      <c r="L22" s="10">
        <f t="shared" si="3"/>
        <v>7</v>
      </c>
      <c r="M22" s="10">
        <f t="shared" si="3"/>
        <v>7.5</v>
      </c>
      <c r="N22" s="19">
        <f t="shared" si="3"/>
        <v>7.5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 t="s">
        <v>40</v>
      </c>
      <c r="C23" s="10">
        <v>15</v>
      </c>
      <c r="D23" s="10">
        <v>15</v>
      </c>
      <c r="E23" s="10">
        <v>15</v>
      </c>
      <c r="F23" s="10">
        <v>15</v>
      </c>
      <c r="G23" s="10">
        <v>15</v>
      </c>
      <c r="H23" s="19">
        <v>15</v>
      </c>
      <c r="I23" s="10">
        <v>15</v>
      </c>
      <c r="J23" s="10">
        <v>15</v>
      </c>
      <c r="K23" s="10">
        <v>15</v>
      </c>
      <c r="L23" s="10">
        <v>15</v>
      </c>
      <c r="M23" s="10">
        <v>15</v>
      </c>
      <c r="N23" s="19">
        <v>15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 t="s">
        <v>29</v>
      </c>
      <c r="C24" s="10">
        <v>240</v>
      </c>
      <c r="D24" s="10">
        <v>240</v>
      </c>
      <c r="E24" s="10">
        <v>240</v>
      </c>
      <c r="F24" s="10">
        <v>240</v>
      </c>
      <c r="G24" s="10">
        <v>240</v>
      </c>
      <c r="H24" s="19">
        <v>360</v>
      </c>
      <c r="I24" s="10">
        <v>240</v>
      </c>
      <c r="J24" s="10">
        <v>240</v>
      </c>
      <c r="K24" s="10">
        <v>240</v>
      </c>
      <c r="L24" s="10">
        <v>240</v>
      </c>
      <c r="M24" s="10">
        <v>240</v>
      </c>
      <c r="N24" s="19">
        <v>360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 t="s">
        <v>30</v>
      </c>
      <c r="C25" s="10">
        <v>0</v>
      </c>
      <c r="D25" s="10">
        <v>40</v>
      </c>
      <c r="E25" s="10">
        <v>40</v>
      </c>
      <c r="F25" s="10">
        <v>40</v>
      </c>
      <c r="G25" s="10">
        <v>40</v>
      </c>
      <c r="H25" s="19">
        <v>40</v>
      </c>
      <c r="I25" s="10">
        <v>0</v>
      </c>
      <c r="J25" s="10">
        <v>75</v>
      </c>
      <c r="K25" s="10">
        <v>75</v>
      </c>
      <c r="L25" s="10">
        <v>0</v>
      </c>
      <c r="M25" s="10">
        <v>0</v>
      </c>
      <c r="N25" s="19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 t="s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9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9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 t="s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9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8"/>
      <c r="B28" s="6" t="s">
        <v>33</v>
      </c>
      <c r="C28" s="14">
        <f t="shared" ref="C28:N28" si="4">SUM(C19:C27)</f>
        <v>641.5</v>
      </c>
      <c r="D28" s="14">
        <f t="shared" si="4"/>
        <v>483.5625</v>
      </c>
      <c r="E28" s="14">
        <f t="shared" si="4"/>
        <v>486.15593749999999</v>
      </c>
      <c r="F28" s="14">
        <f t="shared" si="4"/>
        <v>488.28077656249997</v>
      </c>
      <c r="G28" s="14">
        <f t="shared" si="4"/>
        <v>490.93748821093743</v>
      </c>
      <c r="H28" s="14">
        <f t="shared" si="4"/>
        <v>613.12655053410151</v>
      </c>
      <c r="I28" s="14">
        <f t="shared" si="4"/>
        <v>606.348448792113</v>
      </c>
      <c r="J28" s="14">
        <f t="shared" si="4"/>
        <v>533.60367552399475</v>
      </c>
      <c r="K28" s="14">
        <f t="shared" si="4"/>
        <v>536.89273065685461</v>
      </c>
      <c r="L28" s="14">
        <f t="shared" si="4"/>
        <v>464.21612161670748</v>
      </c>
      <c r="M28" s="14">
        <f t="shared" si="4"/>
        <v>467.07436344095805</v>
      </c>
      <c r="N28" s="14">
        <f t="shared" si="4"/>
        <v>589.46797889257243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9" t="s">
        <v>15</v>
      </c>
      <c r="C30" s="15">
        <f>SUM(C8+C15-C28)</f>
        <v>253.08999999999992</v>
      </c>
      <c r="D30" s="15">
        <f t="shared" ref="D30:N30" si="5">SUM(D8+D15-D28)</f>
        <v>369.52749999999992</v>
      </c>
      <c r="E30" s="15">
        <f t="shared" si="5"/>
        <v>273.37156249999992</v>
      </c>
      <c r="F30" s="15">
        <f t="shared" si="5"/>
        <v>195.09078593750002</v>
      </c>
      <c r="G30" s="15">
        <f t="shared" si="5"/>
        <v>144.15329772656253</v>
      </c>
      <c r="H30" s="15">
        <f t="shared" si="5"/>
        <v>-8.9732528075389837</v>
      </c>
      <c r="I30" s="15">
        <f t="shared" si="5"/>
        <v>4.6782984003480124</v>
      </c>
      <c r="J30" s="15">
        <f t="shared" si="5"/>
        <v>171.07462287635326</v>
      </c>
      <c r="K30" s="15">
        <f t="shared" si="5"/>
        <v>169.18189221949865</v>
      </c>
      <c r="L30" s="15">
        <f t="shared" si="5"/>
        <v>329.96577060279117</v>
      </c>
      <c r="M30" s="15">
        <f t="shared" si="5"/>
        <v>592.89140716183306</v>
      </c>
      <c r="N30" s="15">
        <f t="shared" si="5"/>
        <v>753.42342826926063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80" t="s">
        <v>16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 t="s">
        <v>17</v>
      </c>
      <c r="C34" s="5">
        <v>200</v>
      </c>
      <c r="D34" s="5"/>
      <c r="E34" s="5"/>
      <c r="F34" s="5"/>
      <c r="G34" s="5"/>
      <c r="H34" s="5">
        <v>100</v>
      </c>
      <c r="I34" s="5"/>
      <c r="J34" s="5"/>
      <c r="K34" s="5"/>
      <c r="L34" s="5"/>
      <c r="M34" s="5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 t="s">
        <v>18</v>
      </c>
      <c r="C35" s="5"/>
      <c r="D35" s="5"/>
      <c r="E35" s="5"/>
      <c r="F35" s="5"/>
      <c r="G35" s="5"/>
      <c r="H35" s="5"/>
      <c r="I35" s="5">
        <v>150</v>
      </c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6" t="s">
        <v>19</v>
      </c>
      <c r="C36" s="7">
        <f t="shared" ref="C36:N36" si="6">SUM(C34:C35)</f>
        <v>200</v>
      </c>
      <c r="D36" s="7">
        <f t="shared" si="6"/>
        <v>0</v>
      </c>
      <c r="E36" s="7">
        <f t="shared" si="6"/>
        <v>0</v>
      </c>
      <c r="F36" s="7">
        <f t="shared" si="6"/>
        <v>0</v>
      </c>
      <c r="G36" s="7">
        <f t="shared" si="6"/>
        <v>0</v>
      </c>
      <c r="H36" s="7">
        <f t="shared" si="6"/>
        <v>100</v>
      </c>
      <c r="I36" s="7">
        <f t="shared" si="6"/>
        <v>150</v>
      </c>
      <c r="J36" s="7">
        <f t="shared" si="6"/>
        <v>0</v>
      </c>
      <c r="K36" s="7">
        <f t="shared" si="6"/>
        <v>0</v>
      </c>
      <c r="L36" s="7">
        <f t="shared" si="6"/>
        <v>0</v>
      </c>
      <c r="M36" s="7">
        <f t="shared" si="6"/>
        <v>0</v>
      </c>
      <c r="N36" s="7">
        <f t="shared" si="6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80" t="s">
        <v>20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 t="s">
        <v>21</v>
      </c>
      <c r="C40" s="10"/>
      <c r="D40" s="10">
        <v>40</v>
      </c>
      <c r="E40" s="10">
        <v>40</v>
      </c>
      <c r="F40" s="10">
        <v>40</v>
      </c>
      <c r="G40" s="10">
        <v>40</v>
      </c>
      <c r="H40" s="10">
        <v>40</v>
      </c>
      <c r="I40" s="10">
        <v>50</v>
      </c>
      <c r="J40" s="10">
        <v>50</v>
      </c>
      <c r="K40" s="10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 t="s">
        <v>22</v>
      </c>
      <c r="C41" s="10"/>
      <c r="D41" s="10"/>
      <c r="E41" s="10"/>
      <c r="F41" s="10"/>
      <c r="G41" s="10"/>
      <c r="H41" s="10"/>
      <c r="I41" s="10"/>
      <c r="J41" s="10">
        <v>75</v>
      </c>
      <c r="K41" s="10">
        <v>75</v>
      </c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6" t="s">
        <v>19</v>
      </c>
      <c r="C42" s="7">
        <f t="shared" ref="C42:N42" si="7">SUM(C40:C41)</f>
        <v>0</v>
      </c>
      <c r="D42" s="7">
        <f t="shared" si="7"/>
        <v>40</v>
      </c>
      <c r="E42" s="7">
        <f t="shared" si="7"/>
        <v>40</v>
      </c>
      <c r="F42" s="7">
        <f t="shared" si="7"/>
        <v>40</v>
      </c>
      <c r="G42" s="7">
        <f t="shared" si="7"/>
        <v>40</v>
      </c>
      <c r="H42" s="7">
        <f t="shared" si="7"/>
        <v>40</v>
      </c>
      <c r="I42" s="7">
        <f t="shared" si="7"/>
        <v>50</v>
      </c>
      <c r="J42" s="7">
        <f t="shared" si="7"/>
        <v>125</v>
      </c>
      <c r="K42" s="7">
        <f t="shared" si="7"/>
        <v>75</v>
      </c>
      <c r="L42" s="7">
        <f t="shared" si="7"/>
        <v>0</v>
      </c>
      <c r="M42" s="7">
        <f t="shared" si="7"/>
        <v>0</v>
      </c>
      <c r="N42" s="7">
        <f t="shared" si="7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9" t="s">
        <v>23</v>
      </c>
      <c r="C44" s="15">
        <f t="shared" ref="C44:N44" si="8">SUM(C30+C36-C42)</f>
        <v>453.08999999999992</v>
      </c>
      <c r="D44" s="15">
        <f t="shared" si="8"/>
        <v>329.52749999999992</v>
      </c>
      <c r="E44" s="15">
        <f t="shared" si="8"/>
        <v>233.37156249999992</v>
      </c>
      <c r="F44" s="15">
        <f t="shared" si="8"/>
        <v>155.09078593750002</v>
      </c>
      <c r="G44" s="15">
        <f t="shared" si="8"/>
        <v>104.15329772656253</v>
      </c>
      <c r="H44" s="15">
        <f t="shared" si="8"/>
        <v>51.026747192461016</v>
      </c>
      <c r="I44" s="15">
        <f t="shared" si="8"/>
        <v>104.67829840034801</v>
      </c>
      <c r="J44" s="15">
        <f t="shared" si="8"/>
        <v>46.07462287635326</v>
      </c>
      <c r="K44" s="15">
        <f t="shared" si="8"/>
        <v>94.18189221949865</v>
      </c>
      <c r="L44" s="15">
        <f t="shared" si="8"/>
        <v>329.96577060279117</v>
      </c>
      <c r="M44" s="15">
        <f t="shared" si="8"/>
        <v>592.89140716183306</v>
      </c>
      <c r="N44" s="15">
        <f t="shared" si="8"/>
        <v>753.42342826926063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25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25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" customHeight="1" x14ac:dyDescent="0.25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" customHeight="1" x14ac:dyDescent="0.25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" customHeight="1" x14ac:dyDescent="0.25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" customHeight="1" x14ac:dyDescent="0.25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" customHeight="1" x14ac:dyDescent="0.25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" customHeight="1" x14ac:dyDescent="0.25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" customHeight="1" x14ac:dyDescent="0.25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3:N4"/>
    <mergeCell ref="B11:N11"/>
    <mergeCell ref="B18:N18"/>
    <mergeCell ref="B33:N33"/>
    <mergeCell ref="B39:N39"/>
  </mergeCells>
  <pageMargins left="0.70866141732283472" right="0.70866141732283472" top="0.74803149606299213" bottom="0.74803149606299213" header="0" footer="0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4714-FE27-47B8-8BAD-D2D44ABF56EE}">
  <dimension ref="A1:Y1009"/>
  <sheetViews>
    <sheetView showGridLines="0" zoomScale="90" zoomScaleNormal="90" workbookViewId="0"/>
  </sheetViews>
  <sheetFormatPr baseColWidth="10" defaultColWidth="14.42578125" defaultRowHeight="15" customHeight="1" x14ac:dyDescent="0.25"/>
  <cols>
    <col min="1" max="1" width="8.5703125" customWidth="1"/>
    <col min="2" max="2" width="38" customWidth="1"/>
    <col min="3" max="3" width="9.85546875" customWidth="1"/>
    <col min="4" max="4" width="11.28515625" customWidth="1"/>
    <col min="5" max="6" width="9.5703125" customWidth="1"/>
    <col min="7" max="7" width="9" customWidth="1"/>
    <col min="8" max="9" width="10" customWidth="1"/>
    <col min="10" max="10" width="10.5703125" bestFit="1" customWidth="1"/>
    <col min="11" max="11" width="13.28515625" bestFit="1" customWidth="1"/>
    <col min="12" max="12" width="10.5703125" bestFit="1" customWidth="1"/>
    <col min="13" max="13" width="12.42578125" bestFit="1" customWidth="1"/>
    <col min="14" max="14" width="12" bestFit="1" customWidth="1"/>
    <col min="15" max="15" width="9.5703125" bestFit="1" customWidth="1"/>
    <col min="16" max="25" width="8.5703125" customWidth="1"/>
  </cols>
  <sheetData>
    <row r="1" spans="1:25" ht="18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25">
      <c r="A3" s="1"/>
      <c r="B3" s="76" t="s">
        <v>44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25">
      <c r="A6" s="1"/>
      <c r="B6" s="3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25">
      <c r="A8" s="1"/>
      <c r="B8" s="12" t="s">
        <v>12</v>
      </c>
      <c r="C8" s="13">
        <v>592.89</v>
      </c>
      <c r="D8" s="11">
        <f t="shared" ref="D8:N8" si="0">C44</f>
        <v>427.39</v>
      </c>
      <c r="E8" s="11">
        <f t="shared" si="0"/>
        <v>309.78625</v>
      </c>
      <c r="F8" s="11">
        <f t="shared" si="0"/>
        <v>219.54719375000002</v>
      </c>
      <c r="G8" s="11">
        <f t="shared" si="0"/>
        <v>147.14080165625012</v>
      </c>
      <c r="H8" s="11">
        <f t="shared" si="0"/>
        <v>114.53456368109391</v>
      </c>
      <c r="I8" s="11">
        <f t="shared" si="0"/>
        <v>141.19548213631037</v>
      </c>
      <c r="J8" s="11">
        <f t="shared" si="0"/>
        <v>181.09006436835512</v>
      </c>
      <c r="K8" s="11">
        <f t="shared" si="0"/>
        <v>118.18431533388048</v>
      </c>
      <c r="L8" s="11">
        <f t="shared" si="0"/>
        <v>114.94373006388878</v>
      </c>
      <c r="M8" s="11">
        <f t="shared" si="0"/>
        <v>308.8332860148472</v>
      </c>
      <c r="N8" s="21">
        <f t="shared" si="0"/>
        <v>587.31743530506992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25">
      <c r="A10" s="1"/>
      <c r="B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25">
      <c r="A11" s="1"/>
      <c r="B11" s="78" t="s">
        <v>13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25">
      <c r="A12" s="1"/>
      <c r="B12" s="1" t="s">
        <v>24</v>
      </c>
      <c r="C12" s="10">
        <v>450</v>
      </c>
      <c r="D12" s="10">
        <v>450</v>
      </c>
      <c r="E12" s="10">
        <v>500</v>
      </c>
      <c r="F12" s="10">
        <v>500</v>
      </c>
      <c r="G12" s="10">
        <v>550</v>
      </c>
      <c r="H12" s="10">
        <v>550</v>
      </c>
      <c r="I12" s="10">
        <v>600</v>
      </c>
      <c r="J12" s="10">
        <v>650</v>
      </c>
      <c r="K12" s="10">
        <v>700</v>
      </c>
      <c r="L12" s="10">
        <v>750</v>
      </c>
      <c r="M12" s="10">
        <v>800</v>
      </c>
      <c r="N12" s="10">
        <v>850</v>
      </c>
      <c r="O12" s="16">
        <f>+SUM(C12:N12)</f>
        <v>7350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25">
      <c r="A13" s="1"/>
      <c r="B13" s="1" t="s">
        <v>25</v>
      </c>
      <c r="C13" s="10">
        <f>+C12*C16+40</f>
        <v>310</v>
      </c>
      <c r="D13" s="10">
        <f>+D12*D16+C12*D17</f>
        <v>450</v>
      </c>
      <c r="E13" s="10">
        <f>+E12*E16+D12*E17</f>
        <v>480</v>
      </c>
      <c r="F13" s="10">
        <f t="shared" ref="F13:N13" si="1">+F12*F16+E12*F17</f>
        <v>500</v>
      </c>
      <c r="G13" s="10">
        <f t="shared" si="1"/>
        <v>530</v>
      </c>
      <c r="H13" s="10">
        <f t="shared" si="1"/>
        <v>550</v>
      </c>
      <c r="I13" s="10">
        <f t="shared" si="1"/>
        <v>580</v>
      </c>
      <c r="J13" s="10">
        <f t="shared" si="1"/>
        <v>630</v>
      </c>
      <c r="K13" s="10">
        <f t="shared" si="1"/>
        <v>680</v>
      </c>
      <c r="L13" s="10">
        <f t="shared" si="1"/>
        <v>730</v>
      </c>
      <c r="M13" s="10">
        <f t="shared" si="1"/>
        <v>780</v>
      </c>
      <c r="N13" s="10">
        <f t="shared" si="1"/>
        <v>830</v>
      </c>
      <c r="O13" s="16">
        <f>+SUM(C13:N13)</f>
        <v>7050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25">
      <c r="A14" s="1"/>
      <c r="B14" s="1" t="s">
        <v>26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6" t="s">
        <v>14</v>
      </c>
      <c r="C15" s="14">
        <f>+C13</f>
        <v>310</v>
      </c>
      <c r="D15" s="14">
        <f t="shared" ref="D15:N15" si="2">+D13</f>
        <v>450</v>
      </c>
      <c r="E15" s="14">
        <f t="shared" si="2"/>
        <v>480</v>
      </c>
      <c r="F15" s="14">
        <f t="shared" si="2"/>
        <v>500</v>
      </c>
      <c r="G15" s="14">
        <f t="shared" si="2"/>
        <v>530</v>
      </c>
      <c r="H15" s="14">
        <f t="shared" si="2"/>
        <v>550</v>
      </c>
      <c r="I15" s="14">
        <f t="shared" si="2"/>
        <v>580</v>
      </c>
      <c r="J15" s="14">
        <f t="shared" si="2"/>
        <v>630</v>
      </c>
      <c r="K15" s="14">
        <f t="shared" si="2"/>
        <v>680</v>
      </c>
      <c r="L15" s="14">
        <f t="shared" si="2"/>
        <v>730</v>
      </c>
      <c r="M15" s="14">
        <f t="shared" si="2"/>
        <v>780</v>
      </c>
      <c r="N15" s="14">
        <f t="shared" si="2"/>
        <v>830</v>
      </c>
      <c r="O15" s="16">
        <f>+O12-O13</f>
        <v>300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7">
        <v>0.6</v>
      </c>
      <c r="D16" s="17">
        <v>0.6</v>
      </c>
      <c r="E16" s="17">
        <v>0.6</v>
      </c>
      <c r="F16" s="17">
        <v>0.6</v>
      </c>
      <c r="G16" s="17">
        <v>0.6</v>
      </c>
      <c r="H16" s="17">
        <v>0.6</v>
      </c>
      <c r="I16" s="17">
        <v>0.6</v>
      </c>
      <c r="J16" s="17">
        <v>0.6</v>
      </c>
      <c r="K16" s="17">
        <v>0.6</v>
      </c>
      <c r="L16" s="17">
        <v>0.6</v>
      </c>
      <c r="M16" s="17">
        <v>0.6</v>
      </c>
      <c r="N16" s="17">
        <v>0.6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7">
        <v>0.4</v>
      </c>
      <c r="D17" s="17">
        <v>0.4</v>
      </c>
      <c r="E17" s="17">
        <v>0.4</v>
      </c>
      <c r="F17" s="17">
        <v>0.4</v>
      </c>
      <c r="G17" s="17">
        <v>0.4</v>
      </c>
      <c r="H17" s="17">
        <v>0.4</v>
      </c>
      <c r="I17" s="17">
        <v>0.4</v>
      </c>
      <c r="J17" s="17">
        <v>0.4</v>
      </c>
      <c r="K17" s="17">
        <v>0.4</v>
      </c>
      <c r="L17" s="17">
        <v>0.4</v>
      </c>
      <c r="M17" s="17">
        <v>0.4</v>
      </c>
      <c r="N17" s="17">
        <v>0.4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80" t="s">
        <v>32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 t="s">
        <v>38</v>
      </c>
      <c r="C19" s="10">
        <v>140.25</v>
      </c>
      <c r="D19" s="10">
        <f>+C19*O19</f>
        <v>142.35374999999999</v>
      </c>
      <c r="E19" s="10">
        <f>+D19*O19</f>
        <v>144.48905624999998</v>
      </c>
      <c r="F19" s="10">
        <f>+E19*O19</f>
        <v>146.65639209374996</v>
      </c>
      <c r="G19" s="10">
        <f>+F19*O19</f>
        <v>148.8562379751562</v>
      </c>
      <c r="H19" s="19">
        <f>+G19*O19</f>
        <v>151.08908154478354</v>
      </c>
      <c r="I19" s="10">
        <f>+H19*O19</f>
        <v>153.35541776795529</v>
      </c>
      <c r="J19" s="10">
        <f>+I19*O19</f>
        <v>155.65574903447461</v>
      </c>
      <c r="K19" s="10">
        <f>+J19*O19</f>
        <v>157.99058526999173</v>
      </c>
      <c r="L19" s="10">
        <f>+K19*O19</f>
        <v>160.36044404904158</v>
      </c>
      <c r="M19" s="10">
        <f>+L19*O19</f>
        <v>162.7658507097772</v>
      </c>
      <c r="N19" s="19">
        <f>+M19*O19</f>
        <v>165.20733847042385</v>
      </c>
      <c r="O19" s="20">
        <v>1.0149999999999999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 t="s">
        <v>27</v>
      </c>
      <c r="C20" s="10">
        <v>150</v>
      </c>
      <c r="D20" s="10">
        <v>0</v>
      </c>
      <c r="E20" s="10">
        <v>0</v>
      </c>
      <c r="F20" s="10">
        <v>0</v>
      </c>
      <c r="G20" s="10">
        <v>0</v>
      </c>
      <c r="H20" s="19">
        <v>0</v>
      </c>
      <c r="I20" s="10">
        <v>150</v>
      </c>
      <c r="J20" s="10">
        <v>0</v>
      </c>
      <c r="K20" s="10">
        <v>0</v>
      </c>
      <c r="L20" s="10">
        <v>0</v>
      </c>
      <c r="M20" s="10"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 t="s">
        <v>39</v>
      </c>
      <c r="C21" s="10">
        <v>51.75</v>
      </c>
      <c r="D21" s="10">
        <v>51.75</v>
      </c>
      <c r="E21" s="10">
        <v>51.75</v>
      </c>
      <c r="F21" s="10">
        <v>51.75</v>
      </c>
      <c r="G21" s="10">
        <v>51.75</v>
      </c>
      <c r="H21" s="19">
        <v>51.75</v>
      </c>
      <c r="I21" s="10">
        <v>51.75</v>
      </c>
      <c r="J21" s="10">
        <v>51.75</v>
      </c>
      <c r="K21" s="10">
        <v>51.75</v>
      </c>
      <c r="L21" s="10">
        <v>51.75</v>
      </c>
      <c r="M21" s="10">
        <v>51.75</v>
      </c>
      <c r="N21" s="19">
        <v>51.75</v>
      </c>
      <c r="O21" s="20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 t="s">
        <v>28</v>
      </c>
      <c r="C22" s="10">
        <f>+C12*1%</f>
        <v>4.5</v>
      </c>
      <c r="D22" s="10">
        <f t="shared" ref="D22:N22" si="3">+D12*1%</f>
        <v>4.5</v>
      </c>
      <c r="E22" s="10">
        <f t="shared" si="3"/>
        <v>5</v>
      </c>
      <c r="F22" s="10">
        <f t="shared" si="3"/>
        <v>5</v>
      </c>
      <c r="G22" s="10">
        <f t="shared" si="3"/>
        <v>5.5</v>
      </c>
      <c r="H22" s="19">
        <f t="shared" si="3"/>
        <v>5.5</v>
      </c>
      <c r="I22" s="10">
        <f t="shared" si="3"/>
        <v>6</v>
      </c>
      <c r="J22" s="10">
        <f t="shared" si="3"/>
        <v>6.5</v>
      </c>
      <c r="K22" s="10">
        <f t="shared" si="3"/>
        <v>7</v>
      </c>
      <c r="L22" s="10">
        <f t="shared" si="3"/>
        <v>7.5</v>
      </c>
      <c r="M22" s="10">
        <f t="shared" si="3"/>
        <v>8</v>
      </c>
      <c r="N22" s="19">
        <f t="shared" si="3"/>
        <v>8.5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 t="s">
        <v>40</v>
      </c>
      <c r="C23" s="10">
        <v>15</v>
      </c>
      <c r="D23" s="10">
        <v>15</v>
      </c>
      <c r="E23" s="10">
        <v>15</v>
      </c>
      <c r="F23" s="10">
        <v>15</v>
      </c>
      <c r="G23" s="10">
        <v>15</v>
      </c>
      <c r="H23" s="19">
        <v>15</v>
      </c>
      <c r="I23" s="10">
        <v>15</v>
      </c>
      <c r="J23" s="10">
        <v>15</v>
      </c>
      <c r="K23" s="10">
        <v>15</v>
      </c>
      <c r="L23" s="10">
        <v>15</v>
      </c>
      <c r="M23" s="10">
        <v>15</v>
      </c>
      <c r="N23" s="19">
        <v>15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 t="s">
        <v>29</v>
      </c>
      <c r="C24" s="10">
        <v>264</v>
      </c>
      <c r="D24" s="10">
        <v>264</v>
      </c>
      <c r="E24" s="10">
        <v>264</v>
      </c>
      <c r="F24" s="10">
        <v>264</v>
      </c>
      <c r="G24" s="10">
        <v>264</v>
      </c>
      <c r="H24" s="19">
        <v>360</v>
      </c>
      <c r="I24" s="10">
        <v>264</v>
      </c>
      <c r="J24" s="10">
        <v>264</v>
      </c>
      <c r="K24" s="10">
        <v>264</v>
      </c>
      <c r="L24" s="10">
        <v>264</v>
      </c>
      <c r="M24" s="10">
        <v>264</v>
      </c>
      <c r="N24" s="19">
        <v>360</v>
      </c>
      <c r="O24" s="20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 t="s">
        <v>30</v>
      </c>
      <c r="C25" s="10">
        <v>0</v>
      </c>
      <c r="D25" s="10">
        <v>40</v>
      </c>
      <c r="E25" s="10">
        <v>40</v>
      </c>
      <c r="F25" s="10">
        <v>40</v>
      </c>
      <c r="G25" s="10">
        <v>40</v>
      </c>
      <c r="H25" s="19">
        <v>40</v>
      </c>
      <c r="I25" s="10">
        <v>0</v>
      </c>
      <c r="J25" s="10">
        <v>75</v>
      </c>
      <c r="K25" s="10">
        <v>75</v>
      </c>
      <c r="L25" s="10">
        <v>0</v>
      </c>
      <c r="M25" s="10">
        <v>0</v>
      </c>
      <c r="N25" s="19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 t="s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9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9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 t="s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9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8"/>
      <c r="B28" s="6" t="s">
        <v>33</v>
      </c>
      <c r="C28" s="14">
        <f t="shared" ref="C28:N28" si="4">SUM(C19:C27)</f>
        <v>625.5</v>
      </c>
      <c r="D28" s="14">
        <f t="shared" si="4"/>
        <v>517.60374999999999</v>
      </c>
      <c r="E28" s="14">
        <f t="shared" si="4"/>
        <v>520.23905624999998</v>
      </c>
      <c r="F28" s="14">
        <f t="shared" si="4"/>
        <v>522.4063920937499</v>
      </c>
      <c r="G28" s="14">
        <f t="shared" si="4"/>
        <v>525.1062379751562</v>
      </c>
      <c r="H28" s="14">
        <f t="shared" si="4"/>
        <v>623.33908154478354</v>
      </c>
      <c r="I28" s="14">
        <f t="shared" si="4"/>
        <v>640.10541776795526</v>
      </c>
      <c r="J28" s="14">
        <f t="shared" si="4"/>
        <v>567.90574903447464</v>
      </c>
      <c r="K28" s="14">
        <f t="shared" si="4"/>
        <v>570.7405852699917</v>
      </c>
      <c r="L28" s="14">
        <f t="shared" si="4"/>
        <v>498.61044404904158</v>
      </c>
      <c r="M28" s="14">
        <f t="shared" si="4"/>
        <v>501.51585070977717</v>
      </c>
      <c r="N28" s="14">
        <f t="shared" si="4"/>
        <v>600.45733847042379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9" t="s">
        <v>15</v>
      </c>
      <c r="C30" s="15">
        <f>SUM(C8+C15-C28)</f>
        <v>277.39</v>
      </c>
      <c r="D30" s="15">
        <f t="shared" ref="D30:N30" si="5">SUM(D8+D15-D28)</f>
        <v>359.78625</v>
      </c>
      <c r="E30" s="15">
        <f t="shared" si="5"/>
        <v>269.54719375000002</v>
      </c>
      <c r="F30" s="15">
        <f t="shared" si="5"/>
        <v>197.14080165625012</v>
      </c>
      <c r="G30" s="15">
        <f t="shared" si="5"/>
        <v>152.03456368109391</v>
      </c>
      <c r="H30" s="15">
        <f t="shared" si="5"/>
        <v>41.195482136310375</v>
      </c>
      <c r="I30" s="15">
        <f t="shared" si="5"/>
        <v>81.090064368355115</v>
      </c>
      <c r="J30" s="15">
        <f t="shared" si="5"/>
        <v>243.18431533388048</v>
      </c>
      <c r="K30" s="15">
        <f t="shared" si="5"/>
        <v>227.44373006388878</v>
      </c>
      <c r="L30" s="15">
        <f t="shared" si="5"/>
        <v>346.3332860148472</v>
      </c>
      <c r="M30" s="15">
        <f t="shared" si="5"/>
        <v>587.31743530506992</v>
      </c>
      <c r="N30" s="15">
        <f t="shared" si="5"/>
        <v>816.86009683464613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80" t="s">
        <v>16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 t="s">
        <v>17</v>
      </c>
      <c r="C34" s="5">
        <v>150</v>
      </c>
      <c r="D34" s="5"/>
      <c r="E34" s="5"/>
      <c r="F34" s="5"/>
      <c r="G34" s="5"/>
      <c r="H34" s="5">
        <v>150</v>
      </c>
      <c r="I34" s="5"/>
      <c r="J34" s="5"/>
      <c r="K34" s="5"/>
      <c r="L34" s="5"/>
      <c r="M34" s="5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 t="s">
        <v>18</v>
      </c>
      <c r="C35" s="5"/>
      <c r="D35" s="5"/>
      <c r="E35" s="5"/>
      <c r="F35" s="5"/>
      <c r="G35" s="5"/>
      <c r="H35" s="5"/>
      <c r="I35" s="5">
        <v>150</v>
      </c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6" t="s">
        <v>19</v>
      </c>
      <c r="C36" s="7">
        <f t="shared" ref="C36:N36" si="6">SUM(C34:C35)</f>
        <v>150</v>
      </c>
      <c r="D36" s="7">
        <f t="shared" si="6"/>
        <v>0</v>
      </c>
      <c r="E36" s="7">
        <f t="shared" si="6"/>
        <v>0</v>
      </c>
      <c r="F36" s="7">
        <f t="shared" si="6"/>
        <v>0</v>
      </c>
      <c r="G36" s="7">
        <f t="shared" si="6"/>
        <v>0</v>
      </c>
      <c r="H36" s="7">
        <f t="shared" si="6"/>
        <v>150</v>
      </c>
      <c r="I36" s="7">
        <f t="shared" si="6"/>
        <v>150</v>
      </c>
      <c r="J36" s="7">
        <f t="shared" si="6"/>
        <v>0</v>
      </c>
      <c r="K36" s="7">
        <f t="shared" si="6"/>
        <v>0</v>
      </c>
      <c r="L36" s="7">
        <f t="shared" si="6"/>
        <v>0</v>
      </c>
      <c r="M36" s="7">
        <f t="shared" si="6"/>
        <v>0</v>
      </c>
      <c r="N36" s="7">
        <f t="shared" si="6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80" t="s">
        <v>20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 t="s">
        <v>21</v>
      </c>
      <c r="C40" s="10"/>
      <c r="D40" s="10">
        <v>50</v>
      </c>
      <c r="E40" s="10">
        <v>50</v>
      </c>
      <c r="F40" s="10">
        <v>50</v>
      </c>
      <c r="G40" s="10">
        <v>37.5</v>
      </c>
      <c r="H40" s="10">
        <v>50</v>
      </c>
      <c r="I40" s="10">
        <v>50</v>
      </c>
      <c r="J40" s="10">
        <v>50</v>
      </c>
      <c r="K40" s="10">
        <v>37.5</v>
      </c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 t="s">
        <v>22</v>
      </c>
      <c r="C41" s="10"/>
      <c r="D41" s="10"/>
      <c r="E41" s="10"/>
      <c r="F41" s="10"/>
      <c r="G41" s="10"/>
      <c r="H41" s="10"/>
      <c r="I41" s="10"/>
      <c r="J41" s="10">
        <v>75</v>
      </c>
      <c r="K41" s="10">
        <v>75</v>
      </c>
      <c r="L41" s="10">
        <v>37.5</v>
      </c>
      <c r="M41" s="10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6" t="s">
        <v>19</v>
      </c>
      <c r="C42" s="7">
        <f t="shared" ref="C42:N42" si="7">SUM(C40:C41)</f>
        <v>0</v>
      </c>
      <c r="D42" s="7">
        <f t="shared" si="7"/>
        <v>50</v>
      </c>
      <c r="E42" s="7">
        <f t="shared" si="7"/>
        <v>50</v>
      </c>
      <c r="F42" s="7">
        <f t="shared" si="7"/>
        <v>50</v>
      </c>
      <c r="G42" s="7">
        <f t="shared" si="7"/>
        <v>37.5</v>
      </c>
      <c r="H42" s="7">
        <f t="shared" si="7"/>
        <v>50</v>
      </c>
      <c r="I42" s="7">
        <f t="shared" si="7"/>
        <v>50</v>
      </c>
      <c r="J42" s="7">
        <f t="shared" si="7"/>
        <v>125</v>
      </c>
      <c r="K42" s="7">
        <f t="shared" si="7"/>
        <v>112.5</v>
      </c>
      <c r="L42" s="7">
        <f t="shared" si="7"/>
        <v>37.5</v>
      </c>
      <c r="M42" s="7">
        <f t="shared" si="7"/>
        <v>0</v>
      </c>
      <c r="N42" s="7">
        <f t="shared" si="7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9" t="s">
        <v>23</v>
      </c>
      <c r="C44" s="15">
        <f t="shared" ref="C44:N44" si="8">SUM(C30+C36-C42)</f>
        <v>427.39</v>
      </c>
      <c r="D44" s="15">
        <f t="shared" si="8"/>
        <v>309.78625</v>
      </c>
      <c r="E44" s="15">
        <f t="shared" si="8"/>
        <v>219.54719375000002</v>
      </c>
      <c r="F44" s="15">
        <f t="shared" si="8"/>
        <v>147.14080165625012</v>
      </c>
      <c r="G44" s="15">
        <f t="shared" si="8"/>
        <v>114.53456368109391</v>
      </c>
      <c r="H44" s="15">
        <f t="shared" si="8"/>
        <v>141.19548213631037</v>
      </c>
      <c r="I44" s="15">
        <f t="shared" si="8"/>
        <v>181.09006436835512</v>
      </c>
      <c r="J44" s="15">
        <f t="shared" si="8"/>
        <v>118.18431533388048</v>
      </c>
      <c r="K44" s="15">
        <f t="shared" si="8"/>
        <v>114.94373006388878</v>
      </c>
      <c r="L44" s="15">
        <f t="shared" si="8"/>
        <v>308.8332860148472</v>
      </c>
      <c r="M44" s="15">
        <f t="shared" si="8"/>
        <v>587.31743530506992</v>
      </c>
      <c r="N44" s="15">
        <f t="shared" si="8"/>
        <v>816.86009683464613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25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25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" customHeight="1" x14ac:dyDescent="0.25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" customHeight="1" x14ac:dyDescent="0.25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" customHeight="1" x14ac:dyDescent="0.25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" customHeight="1" x14ac:dyDescent="0.25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" customHeight="1" x14ac:dyDescent="0.25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" customHeight="1" x14ac:dyDescent="0.25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" customHeight="1" x14ac:dyDescent="0.25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3:N4"/>
    <mergeCell ref="B11:N11"/>
    <mergeCell ref="B18:N18"/>
    <mergeCell ref="B33:N33"/>
    <mergeCell ref="B39:N39"/>
  </mergeCells>
  <pageMargins left="0.70866141732283472" right="0.70866141732283472" top="0.74803149606299213" bottom="0.74803149606299213" header="0" footer="0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1F21-94EB-4061-8128-95B098375836}">
  <dimension ref="A1:Y1009"/>
  <sheetViews>
    <sheetView showGridLines="0" zoomScale="90" zoomScaleNormal="90" workbookViewId="0"/>
  </sheetViews>
  <sheetFormatPr baseColWidth="10" defaultColWidth="14.42578125" defaultRowHeight="15" customHeight="1" x14ac:dyDescent="0.25"/>
  <cols>
    <col min="1" max="1" width="8.5703125" customWidth="1"/>
    <col min="2" max="2" width="38" customWidth="1"/>
    <col min="3" max="3" width="9.85546875" customWidth="1"/>
    <col min="4" max="4" width="11.28515625" customWidth="1"/>
    <col min="5" max="6" width="9.5703125" customWidth="1"/>
    <col min="7" max="7" width="9" customWidth="1"/>
    <col min="8" max="9" width="10" customWidth="1"/>
    <col min="10" max="10" width="10.5703125" bestFit="1" customWidth="1"/>
    <col min="11" max="11" width="13.28515625" bestFit="1" customWidth="1"/>
    <col min="12" max="12" width="10.5703125" bestFit="1" customWidth="1"/>
    <col min="13" max="13" width="12.42578125" bestFit="1" customWidth="1"/>
    <col min="14" max="14" width="12" bestFit="1" customWidth="1"/>
    <col min="15" max="15" width="9.5703125" bestFit="1" customWidth="1"/>
    <col min="16" max="25" width="8.5703125" customWidth="1"/>
  </cols>
  <sheetData>
    <row r="1" spans="1:25" ht="18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25">
      <c r="A3" s="1"/>
      <c r="B3" s="76" t="s">
        <v>45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25">
      <c r="A6" s="1"/>
      <c r="B6" s="3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25">
      <c r="A8" s="1"/>
      <c r="B8" s="12" t="s">
        <v>12</v>
      </c>
      <c r="C8" s="13">
        <v>587.32000000000005</v>
      </c>
      <c r="D8" s="11">
        <f t="shared" ref="D8:N8" si="0">C44</f>
        <v>666.07000000000016</v>
      </c>
      <c r="E8" s="11">
        <f t="shared" si="0"/>
        <v>518.60000000000014</v>
      </c>
      <c r="F8" s="11">
        <f t="shared" si="0"/>
        <v>413.51240000000007</v>
      </c>
      <c r="G8" s="11">
        <f t="shared" si="0"/>
        <v>315.33779200000004</v>
      </c>
      <c r="H8" s="11">
        <f t="shared" si="0"/>
        <v>282.52921535999997</v>
      </c>
      <c r="I8" s="11">
        <f t="shared" si="0"/>
        <v>161.45595258879996</v>
      </c>
      <c r="J8" s="11">
        <f t="shared" si="0"/>
        <v>215.89682879590384</v>
      </c>
      <c r="K8" s="11">
        <f t="shared" si="0"/>
        <v>217.53297509957599</v>
      </c>
      <c r="L8" s="11">
        <f t="shared" si="0"/>
        <v>229.44001310754197</v>
      </c>
      <c r="M8" s="11">
        <f t="shared" si="0"/>
        <v>374.57961415614523</v>
      </c>
      <c r="N8" s="21">
        <f t="shared" si="0"/>
        <v>596.2903832886368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25">
      <c r="A10" s="1"/>
      <c r="B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25">
      <c r="A11" s="1"/>
      <c r="B11" s="78" t="s">
        <v>13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25">
      <c r="A12" s="1"/>
      <c r="B12" s="1" t="s">
        <v>24</v>
      </c>
      <c r="C12" s="10">
        <v>500</v>
      </c>
      <c r="D12" s="10">
        <v>500</v>
      </c>
      <c r="E12" s="10">
        <v>550</v>
      </c>
      <c r="F12" s="10">
        <v>550</v>
      </c>
      <c r="G12" s="10">
        <v>600</v>
      </c>
      <c r="H12" s="10">
        <v>600</v>
      </c>
      <c r="I12" s="10">
        <v>700</v>
      </c>
      <c r="J12" s="10">
        <v>700</v>
      </c>
      <c r="K12" s="10">
        <v>750</v>
      </c>
      <c r="L12" s="10">
        <v>850</v>
      </c>
      <c r="M12" s="10">
        <v>950</v>
      </c>
      <c r="N12" s="10">
        <v>1000</v>
      </c>
      <c r="O12" s="16">
        <f>+SUM(C12:N12)</f>
        <v>8250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25">
      <c r="A13" s="1"/>
      <c r="B13" s="1" t="s">
        <v>25</v>
      </c>
      <c r="C13" s="10">
        <f>+C12*C16+300</f>
        <v>600</v>
      </c>
      <c r="D13" s="10">
        <f>+D12*D16+C12*D17</f>
        <v>500</v>
      </c>
      <c r="E13" s="10">
        <f>+E12*E16+D12*E17</f>
        <v>530</v>
      </c>
      <c r="F13" s="10">
        <f t="shared" ref="F13:N13" si="1">+F12*F16+E12*F17</f>
        <v>550</v>
      </c>
      <c r="G13" s="10">
        <f t="shared" si="1"/>
        <v>580</v>
      </c>
      <c r="H13" s="10">
        <f t="shared" si="1"/>
        <v>600</v>
      </c>
      <c r="I13" s="10">
        <f t="shared" si="1"/>
        <v>660</v>
      </c>
      <c r="J13" s="10">
        <f t="shared" si="1"/>
        <v>700</v>
      </c>
      <c r="K13" s="10">
        <f t="shared" si="1"/>
        <v>730</v>
      </c>
      <c r="L13" s="10">
        <f t="shared" si="1"/>
        <v>810</v>
      </c>
      <c r="M13" s="10">
        <f t="shared" si="1"/>
        <v>910</v>
      </c>
      <c r="N13" s="10">
        <f t="shared" si="1"/>
        <v>980</v>
      </c>
      <c r="O13" s="16">
        <f>+SUM(C13:N13)</f>
        <v>8150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25">
      <c r="A14" s="1"/>
      <c r="B14" s="1" t="s">
        <v>26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6" t="s">
        <v>14</v>
      </c>
      <c r="C15" s="14">
        <f>+C13</f>
        <v>600</v>
      </c>
      <c r="D15" s="14">
        <f t="shared" ref="D15:N15" si="2">+D13</f>
        <v>500</v>
      </c>
      <c r="E15" s="14">
        <f t="shared" si="2"/>
        <v>530</v>
      </c>
      <c r="F15" s="14">
        <f t="shared" si="2"/>
        <v>550</v>
      </c>
      <c r="G15" s="14">
        <f t="shared" si="2"/>
        <v>580</v>
      </c>
      <c r="H15" s="14">
        <f t="shared" si="2"/>
        <v>600</v>
      </c>
      <c r="I15" s="14">
        <f t="shared" si="2"/>
        <v>660</v>
      </c>
      <c r="J15" s="14">
        <f t="shared" si="2"/>
        <v>700</v>
      </c>
      <c r="K15" s="14">
        <f t="shared" si="2"/>
        <v>730</v>
      </c>
      <c r="L15" s="14">
        <f t="shared" si="2"/>
        <v>810</v>
      </c>
      <c r="M15" s="14">
        <f t="shared" si="2"/>
        <v>910</v>
      </c>
      <c r="N15" s="14">
        <f t="shared" si="2"/>
        <v>980</v>
      </c>
      <c r="O15" s="16">
        <f>+O12-O13</f>
        <v>100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7">
        <v>0.6</v>
      </c>
      <c r="D16" s="17">
        <v>0.6</v>
      </c>
      <c r="E16" s="17">
        <v>0.6</v>
      </c>
      <c r="F16" s="17">
        <v>0.6</v>
      </c>
      <c r="G16" s="17">
        <v>0.6</v>
      </c>
      <c r="H16" s="17">
        <v>0.6</v>
      </c>
      <c r="I16" s="17">
        <v>0.6</v>
      </c>
      <c r="J16" s="17">
        <v>0.6</v>
      </c>
      <c r="K16" s="17">
        <v>0.6</v>
      </c>
      <c r="L16" s="17">
        <v>0.6</v>
      </c>
      <c r="M16" s="17">
        <v>0.6</v>
      </c>
      <c r="N16" s="17">
        <v>0.6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7">
        <v>0.4</v>
      </c>
      <c r="D17" s="17">
        <v>0.4</v>
      </c>
      <c r="E17" s="17">
        <v>0.4</v>
      </c>
      <c r="F17" s="17">
        <v>0.4</v>
      </c>
      <c r="G17" s="17">
        <v>0.4</v>
      </c>
      <c r="H17" s="17">
        <v>0.4</v>
      </c>
      <c r="I17" s="17">
        <v>0.4</v>
      </c>
      <c r="J17" s="17">
        <v>0.4</v>
      </c>
      <c r="K17" s="17">
        <v>0.4</v>
      </c>
      <c r="L17" s="17">
        <v>0.4</v>
      </c>
      <c r="M17" s="17">
        <v>0.4</v>
      </c>
      <c r="N17" s="17">
        <v>0.4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80" t="s">
        <v>32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 t="s">
        <v>38</v>
      </c>
      <c r="C19" s="10">
        <v>140.25</v>
      </c>
      <c r="D19" s="10">
        <f>+C19*O19</f>
        <v>151.47</v>
      </c>
      <c r="E19" s="10">
        <f>+D19*O19</f>
        <v>163.58760000000001</v>
      </c>
      <c r="F19" s="10">
        <f>+E19*O19</f>
        <v>176.67460800000003</v>
      </c>
      <c r="G19" s="10">
        <f>+F19*O19</f>
        <v>190.80857664000004</v>
      </c>
      <c r="H19" s="19">
        <f>+G19*O19</f>
        <v>206.07326277120006</v>
      </c>
      <c r="I19" s="10">
        <f>+H19*O19</f>
        <v>222.55912379289609</v>
      </c>
      <c r="J19" s="10">
        <f>+I19*O19</f>
        <v>240.36385369632779</v>
      </c>
      <c r="K19" s="10">
        <f>+J19*O19</f>
        <v>259.59296199203402</v>
      </c>
      <c r="L19" s="10">
        <f>+K19*O19</f>
        <v>280.36039895139675</v>
      </c>
      <c r="M19" s="10">
        <f>+L19*O19</f>
        <v>302.78923086750848</v>
      </c>
      <c r="N19" s="19">
        <f>+M19*O19</f>
        <v>327.01236933690916</v>
      </c>
      <c r="O19" s="20">
        <v>1.08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 t="s">
        <v>27</v>
      </c>
      <c r="C20" s="10">
        <v>150</v>
      </c>
      <c r="D20" s="10">
        <v>0</v>
      </c>
      <c r="E20" s="10">
        <v>0</v>
      </c>
      <c r="F20" s="10">
        <v>0</v>
      </c>
      <c r="G20" s="10">
        <v>0</v>
      </c>
      <c r="H20" s="19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 t="s">
        <v>39</v>
      </c>
      <c r="C21" s="10">
        <v>57</v>
      </c>
      <c r="D21" s="10">
        <v>57</v>
      </c>
      <c r="E21" s="10">
        <v>57</v>
      </c>
      <c r="F21" s="10">
        <v>57</v>
      </c>
      <c r="G21" s="10">
        <v>57</v>
      </c>
      <c r="H21" s="19">
        <v>57</v>
      </c>
      <c r="I21" s="10">
        <v>57</v>
      </c>
      <c r="J21" s="10">
        <v>57</v>
      </c>
      <c r="K21" s="10">
        <v>57</v>
      </c>
      <c r="L21" s="10">
        <v>57</v>
      </c>
      <c r="M21" s="10">
        <v>57</v>
      </c>
      <c r="N21" s="19">
        <v>57</v>
      </c>
      <c r="O21" s="20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 t="s">
        <v>28</v>
      </c>
      <c r="C22" s="10">
        <f>+C12*1%</f>
        <v>5</v>
      </c>
      <c r="D22" s="10">
        <f t="shared" ref="D22:N22" si="3">+D12*1%</f>
        <v>5</v>
      </c>
      <c r="E22" s="10">
        <f t="shared" si="3"/>
        <v>5.5</v>
      </c>
      <c r="F22" s="10">
        <f t="shared" si="3"/>
        <v>5.5</v>
      </c>
      <c r="G22" s="10">
        <f t="shared" si="3"/>
        <v>6</v>
      </c>
      <c r="H22" s="19">
        <f t="shared" si="3"/>
        <v>6</v>
      </c>
      <c r="I22" s="10">
        <f t="shared" si="3"/>
        <v>7</v>
      </c>
      <c r="J22" s="10">
        <f t="shared" si="3"/>
        <v>7</v>
      </c>
      <c r="K22" s="10">
        <f t="shared" si="3"/>
        <v>7.5</v>
      </c>
      <c r="L22" s="10">
        <f t="shared" si="3"/>
        <v>8.5</v>
      </c>
      <c r="M22" s="10">
        <f t="shared" si="3"/>
        <v>9.5</v>
      </c>
      <c r="N22" s="19">
        <f t="shared" si="3"/>
        <v>10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 t="s">
        <v>40</v>
      </c>
      <c r="C23" s="10">
        <v>16</v>
      </c>
      <c r="D23" s="10">
        <v>16</v>
      </c>
      <c r="E23" s="10">
        <v>16</v>
      </c>
      <c r="F23" s="10">
        <v>16</v>
      </c>
      <c r="G23" s="10">
        <v>16</v>
      </c>
      <c r="H23" s="19">
        <v>16</v>
      </c>
      <c r="I23" s="10">
        <v>16</v>
      </c>
      <c r="J23" s="10">
        <v>16</v>
      </c>
      <c r="K23" s="10">
        <v>16</v>
      </c>
      <c r="L23" s="10">
        <v>16</v>
      </c>
      <c r="M23" s="10">
        <v>16</v>
      </c>
      <c r="N23" s="19">
        <v>16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 t="s">
        <v>29</v>
      </c>
      <c r="C24" s="10">
        <v>303</v>
      </c>
      <c r="D24" s="10">
        <v>303</v>
      </c>
      <c r="E24" s="10">
        <v>303</v>
      </c>
      <c r="F24" s="10">
        <v>303</v>
      </c>
      <c r="G24" s="10">
        <v>303</v>
      </c>
      <c r="H24" s="19">
        <v>396</v>
      </c>
      <c r="I24" s="10">
        <v>303</v>
      </c>
      <c r="J24" s="10">
        <v>303</v>
      </c>
      <c r="K24" s="10">
        <v>303</v>
      </c>
      <c r="L24" s="10">
        <v>303</v>
      </c>
      <c r="M24" s="10">
        <v>303</v>
      </c>
      <c r="N24" s="19">
        <v>396</v>
      </c>
      <c r="O24" s="20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 t="s">
        <v>30</v>
      </c>
      <c r="C25" s="10">
        <v>0</v>
      </c>
      <c r="D25" s="10">
        <v>40</v>
      </c>
      <c r="E25" s="10">
        <v>40</v>
      </c>
      <c r="F25" s="10">
        <v>40</v>
      </c>
      <c r="G25" s="10">
        <v>40</v>
      </c>
      <c r="H25" s="19">
        <v>40</v>
      </c>
      <c r="I25" s="10">
        <v>0</v>
      </c>
      <c r="J25" s="10">
        <v>75</v>
      </c>
      <c r="K25" s="10">
        <v>75</v>
      </c>
      <c r="L25" s="10">
        <v>0</v>
      </c>
      <c r="M25" s="10">
        <v>0</v>
      </c>
      <c r="N25" s="19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 t="s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9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9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 t="s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9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8"/>
      <c r="B28" s="6" t="s">
        <v>33</v>
      </c>
      <c r="C28" s="14">
        <f t="shared" ref="C28:N28" si="4">SUM(C19:C27)</f>
        <v>671.25</v>
      </c>
      <c r="D28" s="14">
        <f t="shared" si="4"/>
        <v>572.47</v>
      </c>
      <c r="E28" s="14">
        <f t="shared" si="4"/>
        <v>585.08760000000007</v>
      </c>
      <c r="F28" s="14">
        <f t="shared" si="4"/>
        <v>598.17460800000003</v>
      </c>
      <c r="G28" s="14">
        <f t="shared" si="4"/>
        <v>612.80857664000007</v>
      </c>
      <c r="H28" s="14">
        <f t="shared" si="4"/>
        <v>721.07326277120001</v>
      </c>
      <c r="I28" s="14">
        <f t="shared" si="4"/>
        <v>605.55912379289612</v>
      </c>
      <c r="J28" s="14">
        <f t="shared" si="4"/>
        <v>698.36385369632785</v>
      </c>
      <c r="K28" s="14">
        <f t="shared" si="4"/>
        <v>718.09296199203402</v>
      </c>
      <c r="L28" s="14">
        <f t="shared" si="4"/>
        <v>664.86039895139675</v>
      </c>
      <c r="M28" s="14">
        <f t="shared" si="4"/>
        <v>688.28923086750842</v>
      </c>
      <c r="N28" s="14">
        <f t="shared" si="4"/>
        <v>806.01236933690916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9" t="s">
        <v>15</v>
      </c>
      <c r="C30" s="15">
        <f>SUM(C8+C15-C28)</f>
        <v>516.07000000000016</v>
      </c>
      <c r="D30" s="15">
        <f t="shared" ref="D30:N30" si="5">SUM(D8+D15-D28)</f>
        <v>593.60000000000014</v>
      </c>
      <c r="E30" s="15">
        <f t="shared" si="5"/>
        <v>463.51240000000007</v>
      </c>
      <c r="F30" s="15">
        <f t="shared" si="5"/>
        <v>365.33779200000004</v>
      </c>
      <c r="G30" s="15">
        <f t="shared" si="5"/>
        <v>282.52921535999997</v>
      </c>
      <c r="H30" s="15">
        <f t="shared" si="5"/>
        <v>161.45595258879996</v>
      </c>
      <c r="I30" s="15">
        <f t="shared" si="5"/>
        <v>215.89682879590384</v>
      </c>
      <c r="J30" s="15">
        <f t="shared" si="5"/>
        <v>217.53297509957599</v>
      </c>
      <c r="K30" s="15">
        <f t="shared" si="5"/>
        <v>229.44001310754197</v>
      </c>
      <c r="L30" s="15">
        <f t="shared" si="5"/>
        <v>374.57961415614523</v>
      </c>
      <c r="M30" s="15">
        <f t="shared" si="5"/>
        <v>596.2903832886368</v>
      </c>
      <c r="N30" s="15">
        <f t="shared" si="5"/>
        <v>770.27801395172764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80" t="s">
        <v>16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 t="s">
        <v>17</v>
      </c>
      <c r="C34" s="5">
        <v>150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 t="s">
        <v>18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6" t="s">
        <v>19</v>
      </c>
      <c r="C36" s="7">
        <f t="shared" ref="C36:N36" si="6">SUM(C34:C35)</f>
        <v>150</v>
      </c>
      <c r="D36" s="7">
        <f t="shared" si="6"/>
        <v>0</v>
      </c>
      <c r="E36" s="7">
        <f t="shared" si="6"/>
        <v>0</v>
      </c>
      <c r="F36" s="7">
        <f t="shared" si="6"/>
        <v>0</v>
      </c>
      <c r="G36" s="7">
        <f t="shared" si="6"/>
        <v>0</v>
      </c>
      <c r="H36" s="7">
        <f t="shared" si="6"/>
        <v>0</v>
      </c>
      <c r="I36" s="7">
        <f t="shared" si="6"/>
        <v>0</v>
      </c>
      <c r="J36" s="7">
        <f t="shared" si="6"/>
        <v>0</v>
      </c>
      <c r="K36" s="7">
        <f t="shared" si="6"/>
        <v>0</v>
      </c>
      <c r="L36" s="7">
        <f t="shared" si="6"/>
        <v>0</v>
      </c>
      <c r="M36" s="7">
        <f t="shared" si="6"/>
        <v>0</v>
      </c>
      <c r="N36" s="7">
        <f t="shared" si="6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80" t="s">
        <v>20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 t="s">
        <v>21</v>
      </c>
      <c r="C40" s="10"/>
      <c r="D40" s="10">
        <v>75</v>
      </c>
      <c r="E40" s="10">
        <v>50</v>
      </c>
      <c r="F40" s="10">
        <v>50</v>
      </c>
      <c r="G40" s="10"/>
      <c r="H40" s="10"/>
      <c r="I40" s="10"/>
      <c r="J40" s="10"/>
      <c r="K40" s="10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 t="s">
        <v>22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6" t="s">
        <v>19</v>
      </c>
      <c r="C42" s="7">
        <f t="shared" ref="C42:N42" si="7">SUM(C40:C41)</f>
        <v>0</v>
      </c>
      <c r="D42" s="7">
        <f t="shared" si="7"/>
        <v>75</v>
      </c>
      <c r="E42" s="7">
        <f t="shared" si="7"/>
        <v>50</v>
      </c>
      <c r="F42" s="7">
        <f t="shared" si="7"/>
        <v>50</v>
      </c>
      <c r="G42" s="7">
        <f t="shared" si="7"/>
        <v>0</v>
      </c>
      <c r="H42" s="7">
        <f t="shared" si="7"/>
        <v>0</v>
      </c>
      <c r="I42" s="7">
        <f t="shared" si="7"/>
        <v>0</v>
      </c>
      <c r="J42" s="7">
        <f t="shared" si="7"/>
        <v>0</v>
      </c>
      <c r="K42" s="7">
        <f t="shared" si="7"/>
        <v>0</v>
      </c>
      <c r="L42" s="7">
        <f t="shared" si="7"/>
        <v>0</v>
      </c>
      <c r="M42" s="7">
        <f t="shared" si="7"/>
        <v>0</v>
      </c>
      <c r="N42" s="7">
        <f t="shared" si="7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9" t="s">
        <v>23</v>
      </c>
      <c r="C44" s="15">
        <f t="shared" ref="C44:N44" si="8">SUM(C30+C36-C42)</f>
        <v>666.07000000000016</v>
      </c>
      <c r="D44" s="15">
        <f t="shared" si="8"/>
        <v>518.60000000000014</v>
      </c>
      <c r="E44" s="15">
        <f t="shared" si="8"/>
        <v>413.51240000000007</v>
      </c>
      <c r="F44" s="15">
        <f t="shared" si="8"/>
        <v>315.33779200000004</v>
      </c>
      <c r="G44" s="15">
        <f t="shared" si="8"/>
        <v>282.52921535999997</v>
      </c>
      <c r="H44" s="15">
        <f t="shared" si="8"/>
        <v>161.45595258879996</v>
      </c>
      <c r="I44" s="15">
        <f t="shared" si="8"/>
        <v>215.89682879590384</v>
      </c>
      <c r="J44" s="15">
        <f t="shared" si="8"/>
        <v>217.53297509957599</v>
      </c>
      <c r="K44" s="15">
        <f t="shared" si="8"/>
        <v>229.44001310754197</v>
      </c>
      <c r="L44" s="15">
        <f t="shared" si="8"/>
        <v>374.57961415614523</v>
      </c>
      <c r="M44" s="15">
        <f t="shared" si="8"/>
        <v>596.2903832886368</v>
      </c>
      <c r="N44" s="15">
        <f t="shared" si="8"/>
        <v>770.27801395172764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25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25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" customHeight="1" x14ac:dyDescent="0.25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" customHeight="1" x14ac:dyDescent="0.25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" customHeight="1" x14ac:dyDescent="0.25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" customHeight="1" x14ac:dyDescent="0.25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" customHeight="1" x14ac:dyDescent="0.25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" customHeight="1" x14ac:dyDescent="0.25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" customHeight="1" x14ac:dyDescent="0.25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3:N4"/>
    <mergeCell ref="B11:N11"/>
    <mergeCell ref="B18:N18"/>
    <mergeCell ref="B33:N33"/>
    <mergeCell ref="B39:N39"/>
  </mergeCells>
  <pageMargins left="0.70866141732283472" right="0.70866141732283472" top="0.74803149606299213" bottom="0.74803149606299213" header="0" footer="0"/>
  <pageSetup paperSize="9"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2FC1-350F-4A45-AA0F-5F76A203BBC1}">
  <dimension ref="A1:Y1009"/>
  <sheetViews>
    <sheetView showGridLines="0" zoomScale="90" zoomScaleNormal="90" workbookViewId="0"/>
  </sheetViews>
  <sheetFormatPr baseColWidth="10" defaultColWidth="14.42578125" defaultRowHeight="15" customHeight="1" x14ac:dyDescent="0.25"/>
  <cols>
    <col min="1" max="1" width="8.5703125" customWidth="1"/>
    <col min="2" max="2" width="38" customWidth="1"/>
    <col min="3" max="3" width="9.85546875" customWidth="1"/>
    <col min="4" max="4" width="11.28515625" customWidth="1"/>
    <col min="5" max="6" width="9.5703125" customWidth="1"/>
    <col min="7" max="7" width="9" customWidth="1"/>
    <col min="8" max="9" width="10" customWidth="1"/>
    <col min="10" max="10" width="10.5703125" bestFit="1" customWidth="1"/>
    <col min="11" max="11" width="13.28515625" bestFit="1" customWidth="1"/>
    <col min="12" max="12" width="10.5703125" bestFit="1" customWidth="1"/>
    <col min="13" max="13" width="12.42578125" bestFit="1" customWidth="1"/>
    <col min="14" max="14" width="12" bestFit="1" customWidth="1"/>
    <col min="15" max="15" width="9.5703125" bestFit="1" customWidth="1"/>
    <col min="16" max="25" width="8.5703125" customWidth="1"/>
  </cols>
  <sheetData>
    <row r="1" spans="1:25" ht="18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25">
      <c r="A3" s="1"/>
      <c r="B3" s="76" t="s">
        <v>46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25">
      <c r="A6" s="1"/>
      <c r="B6" s="3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25">
      <c r="A8" s="1"/>
      <c r="B8" s="12" t="s">
        <v>12</v>
      </c>
      <c r="C8" s="13">
        <v>596.29</v>
      </c>
      <c r="D8" s="11">
        <f t="shared" ref="D8:N8" si="0">C44</f>
        <v>675.54</v>
      </c>
      <c r="E8" s="11">
        <f t="shared" si="0"/>
        <v>596.0575</v>
      </c>
      <c r="F8" s="11">
        <f t="shared" si="0"/>
        <v>545.47227499999985</v>
      </c>
      <c r="G8" s="11">
        <f t="shared" si="0"/>
        <v>521.10597074999987</v>
      </c>
      <c r="H8" s="11">
        <f t="shared" si="0"/>
        <v>534.93204694749988</v>
      </c>
      <c r="I8" s="11">
        <f t="shared" si="0"/>
        <v>438.53051305067493</v>
      </c>
      <c r="J8" s="11">
        <f t="shared" si="0"/>
        <v>563.03677974726281</v>
      </c>
      <c r="K8" s="11">
        <f t="shared" si="0"/>
        <v>624.083861114407</v>
      </c>
      <c r="L8" s="11">
        <f t="shared" si="0"/>
        <v>691.73706305928022</v>
      </c>
      <c r="M8" s="11">
        <f t="shared" si="0"/>
        <v>835.42018125698701</v>
      </c>
      <c r="N8" s="21">
        <f t="shared" si="0"/>
        <v>973.83210482039567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25">
      <c r="A10" s="1"/>
      <c r="B10" s="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25">
      <c r="A11" s="1"/>
      <c r="B11" s="78" t="s">
        <v>13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25">
      <c r="A12" s="1"/>
      <c r="B12" s="1" t="s">
        <v>24</v>
      </c>
      <c r="C12" s="10">
        <v>550</v>
      </c>
      <c r="D12" s="10">
        <v>600</v>
      </c>
      <c r="E12" s="10">
        <v>650</v>
      </c>
      <c r="F12" s="10">
        <v>700</v>
      </c>
      <c r="G12" s="10">
        <v>750</v>
      </c>
      <c r="H12" s="10">
        <v>800</v>
      </c>
      <c r="I12" s="10">
        <v>850</v>
      </c>
      <c r="J12" s="10">
        <v>900</v>
      </c>
      <c r="K12" s="10">
        <v>950</v>
      </c>
      <c r="L12" s="10">
        <v>1000</v>
      </c>
      <c r="M12" s="10">
        <v>1050</v>
      </c>
      <c r="N12" s="10">
        <v>1100</v>
      </c>
      <c r="O12" s="16">
        <f>+SUM(C12:N12)</f>
        <v>9900</v>
      </c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25">
      <c r="A13" s="1"/>
      <c r="B13" s="1" t="s">
        <v>25</v>
      </c>
      <c r="C13" s="10">
        <f>+C12*C16+300</f>
        <v>630</v>
      </c>
      <c r="D13" s="10">
        <f>+D12*D16+C12*D17</f>
        <v>580</v>
      </c>
      <c r="E13" s="10">
        <f>+E12*E16+D12*E17</f>
        <v>630</v>
      </c>
      <c r="F13" s="10">
        <f t="shared" ref="F13:N13" si="1">+F12*F16+E12*F17</f>
        <v>680</v>
      </c>
      <c r="G13" s="10">
        <f t="shared" si="1"/>
        <v>730</v>
      </c>
      <c r="H13" s="10">
        <f t="shared" si="1"/>
        <v>780</v>
      </c>
      <c r="I13" s="10">
        <f t="shared" si="1"/>
        <v>830</v>
      </c>
      <c r="J13" s="10">
        <f t="shared" si="1"/>
        <v>880</v>
      </c>
      <c r="K13" s="10">
        <f t="shared" si="1"/>
        <v>930</v>
      </c>
      <c r="L13" s="10">
        <f t="shared" si="1"/>
        <v>980</v>
      </c>
      <c r="M13" s="10">
        <f t="shared" si="1"/>
        <v>1030</v>
      </c>
      <c r="N13" s="10">
        <f t="shared" si="1"/>
        <v>1080</v>
      </c>
      <c r="O13" s="16">
        <f>+SUM(C13:N13)</f>
        <v>9760</v>
      </c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25">
      <c r="A14" s="1"/>
      <c r="B14" s="1" t="s">
        <v>26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6" t="s">
        <v>14</v>
      </c>
      <c r="C15" s="14">
        <f>+C13</f>
        <v>630</v>
      </c>
      <c r="D15" s="14">
        <f t="shared" ref="D15:N15" si="2">+D13</f>
        <v>580</v>
      </c>
      <c r="E15" s="14">
        <f t="shared" si="2"/>
        <v>630</v>
      </c>
      <c r="F15" s="14">
        <f t="shared" si="2"/>
        <v>680</v>
      </c>
      <c r="G15" s="14">
        <f t="shared" si="2"/>
        <v>730</v>
      </c>
      <c r="H15" s="14">
        <f t="shared" si="2"/>
        <v>780</v>
      </c>
      <c r="I15" s="14">
        <f t="shared" si="2"/>
        <v>830</v>
      </c>
      <c r="J15" s="14">
        <f t="shared" si="2"/>
        <v>880</v>
      </c>
      <c r="K15" s="14">
        <f t="shared" si="2"/>
        <v>930</v>
      </c>
      <c r="L15" s="14">
        <f t="shared" si="2"/>
        <v>980</v>
      </c>
      <c r="M15" s="14">
        <f t="shared" si="2"/>
        <v>1030</v>
      </c>
      <c r="N15" s="14">
        <f t="shared" si="2"/>
        <v>1080</v>
      </c>
      <c r="O15" s="16">
        <f>+O12-O13</f>
        <v>140</v>
      </c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7">
        <v>0.6</v>
      </c>
      <c r="D16" s="17">
        <v>0.6</v>
      </c>
      <c r="E16" s="17">
        <v>0.6</v>
      </c>
      <c r="F16" s="17">
        <v>0.6</v>
      </c>
      <c r="G16" s="17">
        <v>0.6</v>
      </c>
      <c r="H16" s="17">
        <v>0.6</v>
      </c>
      <c r="I16" s="17">
        <v>0.6</v>
      </c>
      <c r="J16" s="17">
        <v>0.6</v>
      </c>
      <c r="K16" s="17">
        <v>0.6</v>
      </c>
      <c r="L16" s="17">
        <v>0.6</v>
      </c>
      <c r="M16" s="17">
        <v>0.6</v>
      </c>
      <c r="N16" s="17">
        <v>0.6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7">
        <v>0.4</v>
      </c>
      <c r="D17" s="17">
        <v>0.4</v>
      </c>
      <c r="E17" s="17">
        <v>0.4</v>
      </c>
      <c r="F17" s="17">
        <v>0.4</v>
      </c>
      <c r="G17" s="17">
        <v>0.4</v>
      </c>
      <c r="H17" s="17">
        <v>0.4</v>
      </c>
      <c r="I17" s="17">
        <v>0.4</v>
      </c>
      <c r="J17" s="17">
        <v>0.4</v>
      </c>
      <c r="K17" s="17">
        <v>0.4</v>
      </c>
      <c r="L17" s="17">
        <v>0.4</v>
      </c>
      <c r="M17" s="17">
        <v>0.4</v>
      </c>
      <c r="N17" s="17">
        <v>0.4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80" t="s">
        <v>32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 t="s">
        <v>38</v>
      </c>
      <c r="C19" s="10">
        <v>140.25</v>
      </c>
      <c r="D19" s="10">
        <f>+C19*O19</f>
        <v>158.48249999999999</v>
      </c>
      <c r="E19" s="10">
        <f>+D19*O19</f>
        <v>179.08522499999998</v>
      </c>
      <c r="F19" s="10">
        <f>+E19*O19</f>
        <v>202.36630424999996</v>
      </c>
      <c r="G19" s="10">
        <f>+F19*O19</f>
        <v>228.67392380249993</v>
      </c>
      <c r="H19" s="19">
        <f>+G19*O19</f>
        <v>258.4015338968249</v>
      </c>
      <c r="I19" s="10">
        <f>+H19*O19</f>
        <v>291.99373330341211</v>
      </c>
      <c r="J19" s="10">
        <f>+I19*O19</f>
        <v>329.95291863285564</v>
      </c>
      <c r="K19" s="10">
        <f>+J19*O19</f>
        <v>372.84679805512684</v>
      </c>
      <c r="L19" s="10">
        <f>+K19*O19</f>
        <v>421.31688180229327</v>
      </c>
      <c r="M19" s="10">
        <f>+L19*O19</f>
        <v>476.08807643659134</v>
      </c>
      <c r="N19" s="19">
        <f>+M19*O19</f>
        <v>537.97952637334811</v>
      </c>
      <c r="O19" s="20">
        <v>1.1299999999999999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 t="s">
        <v>27</v>
      </c>
      <c r="C20" s="10">
        <v>150</v>
      </c>
      <c r="D20" s="10">
        <v>0</v>
      </c>
      <c r="E20" s="10">
        <v>0</v>
      </c>
      <c r="F20" s="10">
        <v>0</v>
      </c>
      <c r="G20" s="10">
        <v>0</v>
      </c>
      <c r="H20" s="19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 t="s">
        <v>39</v>
      </c>
      <c r="C21" s="10">
        <v>57</v>
      </c>
      <c r="D21" s="10">
        <v>57</v>
      </c>
      <c r="E21" s="10">
        <v>57</v>
      </c>
      <c r="F21" s="10">
        <v>57</v>
      </c>
      <c r="G21" s="10">
        <v>57</v>
      </c>
      <c r="H21" s="19">
        <v>57</v>
      </c>
      <c r="I21" s="10">
        <v>57</v>
      </c>
      <c r="J21" s="10">
        <v>57</v>
      </c>
      <c r="K21" s="10">
        <v>57</v>
      </c>
      <c r="L21" s="10">
        <v>57</v>
      </c>
      <c r="M21" s="10">
        <v>57</v>
      </c>
      <c r="N21" s="19">
        <v>57</v>
      </c>
      <c r="O21" s="20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 t="s">
        <v>28</v>
      </c>
      <c r="C22" s="10">
        <f>+C12*1%</f>
        <v>5.5</v>
      </c>
      <c r="D22" s="10">
        <f t="shared" ref="D22:N22" si="3">+D12*1%</f>
        <v>6</v>
      </c>
      <c r="E22" s="10">
        <f t="shared" si="3"/>
        <v>6.5</v>
      </c>
      <c r="F22" s="10">
        <f t="shared" si="3"/>
        <v>7</v>
      </c>
      <c r="G22" s="10">
        <f t="shared" si="3"/>
        <v>7.5</v>
      </c>
      <c r="H22" s="19">
        <f t="shared" si="3"/>
        <v>8</v>
      </c>
      <c r="I22" s="10">
        <f t="shared" si="3"/>
        <v>8.5</v>
      </c>
      <c r="J22" s="10">
        <f t="shared" si="3"/>
        <v>9</v>
      </c>
      <c r="K22" s="10">
        <f t="shared" si="3"/>
        <v>9.5</v>
      </c>
      <c r="L22" s="10">
        <f t="shared" si="3"/>
        <v>10</v>
      </c>
      <c r="M22" s="10">
        <f t="shared" si="3"/>
        <v>10.5</v>
      </c>
      <c r="N22" s="19">
        <f t="shared" si="3"/>
        <v>11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 t="s">
        <v>40</v>
      </c>
      <c r="C23" s="10">
        <v>18</v>
      </c>
      <c r="D23" s="10">
        <v>18</v>
      </c>
      <c r="E23" s="10">
        <v>18</v>
      </c>
      <c r="F23" s="10">
        <v>18</v>
      </c>
      <c r="G23" s="10">
        <v>18</v>
      </c>
      <c r="H23" s="19">
        <v>18</v>
      </c>
      <c r="I23" s="10">
        <v>18</v>
      </c>
      <c r="J23" s="10">
        <v>18</v>
      </c>
      <c r="K23" s="10">
        <v>18</v>
      </c>
      <c r="L23" s="10">
        <v>18</v>
      </c>
      <c r="M23" s="10">
        <v>18</v>
      </c>
      <c r="N23" s="19">
        <v>18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 t="s">
        <v>29</v>
      </c>
      <c r="C24" s="10">
        <v>330</v>
      </c>
      <c r="D24" s="10">
        <v>330</v>
      </c>
      <c r="E24" s="10">
        <v>330</v>
      </c>
      <c r="F24" s="10">
        <v>330</v>
      </c>
      <c r="G24" s="10">
        <v>330</v>
      </c>
      <c r="H24" s="19">
        <v>495</v>
      </c>
      <c r="I24" s="10">
        <v>330</v>
      </c>
      <c r="J24" s="10">
        <v>330</v>
      </c>
      <c r="K24" s="10">
        <v>330</v>
      </c>
      <c r="L24" s="10">
        <v>330</v>
      </c>
      <c r="M24" s="10">
        <v>330</v>
      </c>
      <c r="N24" s="19">
        <v>495</v>
      </c>
      <c r="O24" s="20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 t="s">
        <v>30</v>
      </c>
      <c r="C25" s="10">
        <v>0</v>
      </c>
      <c r="D25" s="10">
        <v>40</v>
      </c>
      <c r="E25" s="10">
        <v>40</v>
      </c>
      <c r="F25" s="10">
        <v>40</v>
      </c>
      <c r="G25" s="10">
        <v>40</v>
      </c>
      <c r="H25" s="19">
        <v>40</v>
      </c>
      <c r="I25" s="10">
        <v>0</v>
      </c>
      <c r="J25" s="10">
        <v>75</v>
      </c>
      <c r="K25" s="10">
        <v>75</v>
      </c>
      <c r="L25" s="10">
        <v>0</v>
      </c>
      <c r="M25" s="10">
        <v>0</v>
      </c>
      <c r="N25" s="19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 t="s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9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9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 t="s">
        <v>31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9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8"/>
      <c r="B28" s="6" t="s">
        <v>33</v>
      </c>
      <c r="C28" s="14">
        <f t="shared" ref="C28:N28" si="4">SUM(C19:C27)</f>
        <v>700.75</v>
      </c>
      <c r="D28" s="14">
        <f t="shared" si="4"/>
        <v>609.48249999999996</v>
      </c>
      <c r="E28" s="14">
        <f t="shared" si="4"/>
        <v>630.58522500000004</v>
      </c>
      <c r="F28" s="14">
        <f t="shared" si="4"/>
        <v>654.36630424999998</v>
      </c>
      <c r="G28" s="14">
        <f t="shared" si="4"/>
        <v>681.17392380249998</v>
      </c>
      <c r="H28" s="14">
        <f t="shared" si="4"/>
        <v>876.40153389682496</v>
      </c>
      <c r="I28" s="14">
        <f t="shared" si="4"/>
        <v>705.49373330341211</v>
      </c>
      <c r="J28" s="14">
        <f t="shared" si="4"/>
        <v>818.9529186328557</v>
      </c>
      <c r="K28" s="14">
        <f t="shared" si="4"/>
        <v>862.34679805512678</v>
      </c>
      <c r="L28" s="14">
        <f t="shared" si="4"/>
        <v>836.31688180229321</v>
      </c>
      <c r="M28" s="14">
        <f t="shared" si="4"/>
        <v>891.58807643659134</v>
      </c>
      <c r="N28" s="14">
        <f t="shared" si="4"/>
        <v>1118.9795263733481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8" customHeight="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9" t="s">
        <v>15</v>
      </c>
      <c r="C30" s="15">
        <f>SUM(C8+C15-C28)</f>
        <v>525.54</v>
      </c>
      <c r="D30" s="15">
        <f t="shared" ref="D30:N30" si="5">SUM(D8+D15-D28)</f>
        <v>646.0575</v>
      </c>
      <c r="E30" s="15">
        <f t="shared" si="5"/>
        <v>595.47227499999985</v>
      </c>
      <c r="F30" s="15">
        <f t="shared" si="5"/>
        <v>571.10597074999987</v>
      </c>
      <c r="G30" s="15">
        <f t="shared" si="5"/>
        <v>569.93204694749988</v>
      </c>
      <c r="H30" s="15">
        <f t="shared" si="5"/>
        <v>438.53051305067493</v>
      </c>
      <c r="I30" s="15">
        <f t="shared" si="5"/>
        <v>563.03677974726281</v>
      </c>
      <c r="J30" s="15">
        <f t="shared" si="5"/>
        <v>624.083861114407</v>
      </c>
      <c r="K30" s="15">
        <f t="shared" si="5"/>
        <v>691.73706305928022</v>
      </c>
      <c r="L30" s="15">
        <f t="shared" si="5"/>
        <v>835.42018125698701</v>
      </c>
      <c r="M30" s="15">
        <f t="shared" si="5"/>
        <v>973.83210482039567</v>
      </c>
      <c r="N30" s="15">
        <f t="shared" si="5"/>
        <v>934.85257844704756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80" t="s">
        <v>16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 t="s">
        <v>17</v>
      </c>
      <c r="C34" s="5">
        <v>150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 t="s">
        <v>18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6" t="s">
        <v>19</v>
      </c>
      <c r="C36" s="7">
        <f t="shared" ref="C36:N36" si="6">SUM(C34:C35)</f>
        <v>150</v>
      </c>
      <c r="D36" s="7">
        <f t="shared" si="6"/>
        <v>0</v>
      </c>
      <c r="E36" s="7">
        <f t="shared" si="6"/>
        <v>0</v>
      </c>
      <c r="F36" s="7">
        <f t="shared" si="6"/>
        <v>0</v>
      </c>
      <c r="G36" s="7">
        <f t="shared" si="6"/>
        <v>0</v>
      </c>
      <c r="H36" s="7">
        <f t="shared" si="6"/>
        <v>0</v>
      </c>
      <c r="I36" s="7">
        <f t="shared" si="6"/>
        <v>0</v>
      </c>
      <c r="J36" s="7">
        <f t="shared" si="6"/>
        <v>0</v>
      </c>
      <c r="K36" s="7">
        <f t="shared" si="6"/>
        <v>0</v>
      </c>
      <c r="L36" s="7">
        <f t="shared" si="6"/>
        <v>0</v>
      </c>
      <c r="M36" s="7">
        <f t="shared" si="6"/>
        <v>0</v>
      </c>
      <c r="N36" s="7">
        <f t="shared" si="6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80" t="s">
        <v>20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 t="s">
        <v>21</v>
      </c>
      <c r="C40" s="10"/>
      <c r="D40" s="10">
        <v>50</v>
      </c>
      <c r="E40" s="10">
        <v>50</v>
      </c>
      <c r="F40" s="10">
        <v>50</v>
      </c>
      <c r="G40" s="10">
        <v>35</v>
      </c>
      <c r="H40" s="10"/>
      <c r="I40" s="10"/>
      <c r="J40" s="10"/>
      <c r="K40" s="10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 t="s">
        <v>22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6" t="s">
        <v>19</v>
      </c>
      <c r="C42" s="7">
        <f t="shared" ref="C42:N42" si="7">SUM(C40:C41)</f>
        <v>0</v>
      </c>
      <c r="D42" s="7">
        <f t="shared" si="7"/>
        <v>50</v>
      </c>
      <c r="E42" s="7">
        <f t="shared" si="7"/>
        <v>50</v>
      </c>
      <c r="F42" s="7">
        <f t="shared" si="7"/>
        <v>50</v>
      </c>
      <c r="G42" s="7">
        <f t="shared" si="7"/>
        <v>35</v>
      </c>
      <c r="H42" s="7">
        <f t="shared" si="7"/>
        <v>0</v>
      </c>
      <c r="I42" s="7">
        <f t="shared" si="7"/>
        <v>0</v>
      </c>
      <c r="J42" s="7">
        <f t="shared" si="7"/>
        <v>0</v>
      </c>
      <c r="K42" s="7">
        <f t="shared" si="7"/>
        <v>0</v>
      </c>
      <c r="L42" s="7">
        <f t="shared" si="7"/>
        <v>0</v>
      </c>
      <c r="M42" s="7">
        <f t="shared" si="7"/>
        <v>0</v>
      </c>
      <c r="N42" s="7">
        <f t="shared" si="7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9" t="s">
        <v>23</v>
      </c>
      <c r="C44" s="15">
        <f t="shared" ref="C44:N44" si="8">SUM(C30+C36-C42)</f>
        <v>675.54</v>
      </c>
      <c r="D44" s="15">
        <f t="shared" si="8"/>
        <v>596.0575</v>
      </c>
      <c r="E44" s="15">
        <f t="shared" si="8"/>
        <v>545.47227499999985</v>
      </c>
      <c r="F44" s="15">
        <f t="shared" si="8"/>
        <v>521.10597074999987</v>
      </c>
      <c r="G44" s="15">
        <f t="shared" si="8"/>
        <v>534.93204694749988</v>
      </c>
      <c r="H44" s="15">
        <f t="shared" si="8"/>
        <v>438.53051305067493</v>
      </c>
      <c r="I44" s="15">
        <f t="shared" si="8"/>
        <v>563.03677974726281</v>
      </c>
      <c r="J44" s="15">
        <f t="shared" si="8"/>
        <v>624.083861114407</v>
      </c>
      <c r="K44" s="15">
        <f t="shared" si="8"/>
        <v>691.73706305928022</v>
      </c>
      <c r="L44" s="15">
        <f t="shared" si="8"/>
        <v>835.42018125698701</v>
      </c>
      <c r="M44" s="15">
        <f t="shared" si="8"/>
        <v>973.83210482039567</v>
      </c>
      <c r="N44" s="15">
        <f t="shared" si="8"/>
        <v>934.85257844704756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25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25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" customHeight="1" x14ac:dyDescent="0.25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8" customHeight="1" x14ac:dyDescent="0.25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8" customHeight="1" x14ac:dyDescent="0.25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8" customHeight="1" x14ac:dyDescent="0.25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8" customHeight="1" x14ac:dyDescent="0.25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8" customHeight="1" x14ac:dyDescent="0.25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8" customHeight="1" x14ac:dyDescent="0.25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3:N4"/>
    <mergeCell ref="B11:N11"/>
    <mergeCell ref="B18:N18"/>
    <mergeCell ref="B33:N33"/>
    <mergeCell ref="B39:N39"/>
  </mergeCells>
  <pageMargins left="0.70866141732283472" right="0.70866141732283472" top="0.74803149606299213" bottom="0.74803149606299213" header="0" footer="0"/>
  <pageSetup paperSize="9"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C496-5E5D-41EF-AA26-2F370B852D70}">
  <dimension ref="D1:K40"/>
  <sheetViews>
    <sheetView tabSelected="1" zoomScale="90" zoomScaleNormal="90" workbookViewId="0">
      <selection activeCell="D2" sqref="D2:I2"/>
    </sheetView>
  </sheetViews>
  <sheetFormatPr baseColWidth="10" defaultColWidth="13.42578125" defaultRowHeight="14.25" x14ac:dyDescent="0.2"/>
  <cols>
    <col min="1" max="2" width="12.7109375" style="25" customWidth="1"/>
    <col min="3" max="3" width="5.7109375" style="25" customWidth="1"/>
    <col min="4" max="4" width="33.42578125" style="25" bestFit="1" customWidth="1"/>
    <col min="5" max="5" width="18.7109375" style="25" customWidth="1"/>
    <col min="6" max="6" width="19.85546875" style="25" bestFit="1" customWidth="1"/>
    <col min="7" max="8" width="19.85546875" style="25" customWidth="1"/>
    <col min="9" max="9" width="20.28515625" style="25" bestFit="1" customWidth="1"/>
    <col min="10" max="10" width="14.28515625" style="25" bestFit="1" customWidth="1"/>
    <col min="11" max="11" width="17.42578125" style="25" bestFit="1" customWidth="1"/>
    <col min="12" max="16384" width="13.42578125" style="25"/>
  </cols>
  <sheetData>
    <row r="1" spans="4:11" ht="15" customHeight="1" x14ac:dyDescent="0.2"/>
    <row r="2" spans="4:11" ht="15" x14ac:dyDescent="0.25">
      <c r="D2" s="81" t="s">
        <v>73</v>
      </c>
      <c r="E2" s="81"/>
      <c r="F2" s="81"/>
      <c r="G2" s="81"/>
      <c r="H2" s="81"/>
      <c r="I2" s="81"/>
      <c r="J2" s="26"/>
    </row>
    <row r="3" spans="4:11" ht="15" thickBot="1" x14ac:dyDescent="0.25">
      <c r="D3" s="22"/>
      <c r="E3" s="27"/>
    </row>
    <row r="4" spans="4:11" ht="15.75" thickBot="1" x14ac:dyDescent="0.3">
      <c r="D4" s="82" t="s">
        <v>74</v>
      </c>
      <c r="E4" s="83"/>
      <c r="F4" s="83"/>
      <c r="G4" s="83"/>
      <c r="H4" s="83"/>
      <c r="I4" s="84"/>
    </row>
    <row r="5" spans="4:11" ht="15.75" thickBot="1" x14ac:dyDescent="0.3">
      <c r="D5" s="28">
        <f>'[1]Presupuesto de ventas'!H33</f>
        <v>0.02</v>
      </c>
      <c r="E5" s="26"/>
      <c r="I5" s="29"/>
    </row>
    <row r="6" spans="4:11" ht="15.75" thickBot="1" x14ac:dyDescent="0.3">
      <c r="D6" s="30">
        <v>0.15</v>
      </c>
      <c r="E6" s="31" t="s">
        <v>71</v>
      </c>
      <c r="F6" s="31" t="s">
        <v>47</v>
      </c>
      <c r="G6" s="31" t="s">
        <v>48</v>
      </c>
      <c r="H6" s="31" t="s">
        <v>49</v>
      </c>
      <c r="I6" s="32" t="s">
        <v>72</v>
      </c>
    </row>
    <row r="7" spans="4:11" x14ac:dyDescent="0.2">
      <c r="D7" s="33"/>
      <c r="I7" s="29"/>
    </row>
    <row r="8" spans="4:11" x14ac:dyDescent="0.2">
      <c r="D8" s="34" t="s">
        <v>24</v>
      </c>
      <c r="E8" s="35">
        <v>5900</v>
      </c>
      <c r="F8" s="35">
        <v>6800</v>
      </c>
      <c r="G8" s="35">
        <v>7350</v>
      </c>
      <c r="H8" s="35">
        <v>8250</v>
      </c>
      <c r="I8" s="36">
        <v>9900</v>
      </c>
    </row>
    <row r="9" spans="4:11" x14ac:dyDescent="0.2">
      <c r="D9" s="34" t="s">
        <v>50</v>
      </c>
      <c r="E9" s="35">
        <f>+E8*D6*D5</f>
        <v>17.7</v>
      </c>
      <c r="F9" s="35">
        <f>F8*D6*D5</f>
        <v>20.400000000000002</v>
      </c>
      <c r="G9" s="35">
        <f>+G8*D6*D5</f>
        <v>22.05</v>
      </c>
      <c r="H9" s="35">
        <f>+H8*D6*D5</f>
        <v>24.75</v>
      </c>
      <c r="I9" s="36">
        <f>I8*$D$6*$D$5</f>
        <v>29.7</v>
      </c>
      <c r="J9" s="35"/>
      <c r="K9" s="35"/>
    </row>
    <row r="10" spans="4:11" x14ac:dyDescent="0.2">
      <c r="D10" s="34"/>
      <c r="I10" s="29"/>
      <c r="K10" s="23"/>
    </row>
    <row r="11" spans="4:11" ht="15" x14ac:dyDescent="0.25">
      <c r="D11" s="37" t="s">
        <v>51</v>
      </c>
      <c r="E11" s="35">
        <f>E8-E9</f>
        <v>5882.3</v>
      </c>
      <c r="F11" s="35">
        <f>F8-F9</f>
        <v>6779.6</v>
      </c>
      <c r="G11" s="35">
        <f>+G8-G9</f>
        <v>7327.95</v>
      </c>
      <c r="H11" s="35">
        <f>+H8-H9</f>
        <v>8225.25</v>
      </c>
      <c r="I11" s="36">
        <f>I8-I9</f>
        <v>9870.2999999999993</v>
      </c>
    </row>
    <row r="12" spans="4:11" x14ac:dyDescent="0.2">
      <c r="D12" s="34"/>
      <c r="I12" s="29"/>
    </row>
    <row r="13" spans="4:11" ht="15" x14ac:dyDescent="0.25">
      <c r="D13" s="37" t="s">
        <v>52</v>
      </c>
      <c r="E13" s="38">
        <f>E14+E15-E16</f>
        <v>261.35040000000004</v>
      </c>
      <c r="F13" s="38">
        <f>F14+F15-F16</f>
        <v>165.94521599999999</v>
      </c>
      <c r="G13" s="38">
        <f>+G14+G15-G16</f>
        <v>165.23940864000002</v>
      </c>
      <c r="H13" s="38">
        <f>+H14+H15-H16</f>
        <v>320.53917634559997</v>
      </c>
      <c r="I13" s="39">
        <f>I14+I15-I16</f>
        <v>529.28236705382403</v>
      </c>
    </row>
    <row r="14" spans="4:11" x14ac:dyDescent="0.2">
      <c r="D14" s="34" t="s">
        <v>53</v>
      </c>
      <c r="E14" s="38">
        <v>125</v>
      </c>
      <c r="F14" s="38">
        <f>E16</f>
        <v>10.8896</v>
      </c>
      <c r="G14" s="38">
        <f>F16</f>
        <v>6.9143840000000001</v>
      </c>
      <c r="H14" s="38">
        <f>G16</f>
        <v>6.8849753600000003</v>
      </c>
      <c r="I14" s="39">
        <f>H16</f>
        <v>13.355799014400001</v>
      </c>
    </row>
    <row r="15" spans="4:11" x14ac:dyDescent="0.2">
      <c r="D15" s="34" t="s">
        <v>54</v>
      </c>
      <c r="E15" s="38">
        <v>147.24</v>
      </c>
      <c r="F15" s="38">
        <v>161.97</v>
      </c>
      <c r="G15" s="38">
        <v>165.21</v>
      </c>
      <c r="H15" s="38">
        <v>327.01</v>
      </c>
      <c r="I15" s="39">
        <v>537.98</v>
      </c>
    </row>
    <row r="16" spans="4:11" ht="15" thickBot="1" x14ac:dyDescent="0.25">
      <c r="D16" s="34" t="s">
        <v>55</v>
      </c>
      <c r="E16" s="38">
        <f>(E14+E15)/D17*D18</f>
        <v>10.8896</v>
      </c>
      <c r="F16" s="38">
        <f>(F14+F15)/$D$17*$D$18</f>
        <v>6.9143840000000001</v>
      </c>
      <c r="G16" s="38">
        <f>+(G14+G15)/$D$17*$D$18</f>
        <v>6.8849753600000003</v>
      </c>
      <c r="H16" s="38">
        <f>+(H14+H15)/$D$17*$D$18</f>
        <v>13.355799014400001</v>
      </c>
      <c r="I16" s="39">
        <f>(I14+I15)/D$17*D$18</f>
        <v>22.053431960575999</v>
      </c>
    </row>
    <row r="17" spans="4:11" ht="15.75" thickBot="1" x14ac:dyDescent="0.3">
      <c r="D17" s="40">
        <f>360+$D$18</f>
        <v>375</v>
      </c>
      <c r="I17" s="29"/>
    </row>
    <row r="18" spans="4:11" ht="15.75" thickBot="1" x14ac:dyDescent="0.3">
      <c r="D18" s="40">
        <v>15</v>
      </c>
      <c r="I18" s="29"/>
    </row>
    <row r="19" spans="4:11" ht="15" x14ac:dyDescent="0.25">
      <c r="D19" s="37" t="s">
        <v>56</v>
      </c>
      <c r="E19" s="35">
        <f>E11-E13</f>
        <v>5620.9495999999999</v>
      </c>
      <c r="F19" s="35">
        <f>F11-F13</f>
        <v>6613.6547840000003</v>
      </c>
      <c r="G19" s="35">
        <f>+G11-G13</f>
        <v>7162.7105913599999</v>
      </c>
      <c r="H19" s="35">
        <f>+H11-H13</f>
        <v>7904.7108236544</v>
      </c>
      <c r="I19" s="36">
        <f>I11-I13</f>
        <v>9341.0176329461756</v>
      </c>
    </row>
    <row r="20" spans="4:11" x14ac:dyDescent="0.2">
      <c r="D20" s="34"/>
      <c r="I20" s="29"/>
    </row>
    <row r="21" spans="4:11" ht="15" x14ac:dyDescent="0.25">
      <c r="D21" s="37" t="s">
        <v>57</v>
      </c>
      <c r="E21" s="38">
        <f>SUM(E22:E28)</f>
        <v>3293.1</v>
      </c>
      <c r="F21" s="38">
        <f>SUM(F22:F28)</f>
        <v>3698.1</v>
      </c>
      <c r="G21" s="38">
        <f>+SUM(G22:G28)</f>
        <v>4019.1</v>
      </c>
      <c r="H21" s="38">
        <f>+SUM(H22:H28)</f>
        <v>4544.1000000000004</v>
      </c>
      <c r="I21" s="39">
        <f>SUM(I22:I28)</f>
        <v>5012.1000000000004</v>
      </c>
    </row>
    <row r="22" spans="4:11" x14ac:dyDescent="0.2">
      <c r="D22" s="33" t="s">
        <v>58</v>
      </c>
      <c r="E22" s="38">
        <v>540</v>
      </c>
      <c r="F22" s="38">
        <v>540</v>
      </c>
      <c r="G22" s="38">
        <v>621</v>
      </c>
      <c r="H22" s="38">
        <v>684</v>
      </c>
      <c r="I22" s="39">
        <v>684</v>
      </c>
    </row>
    <row r="23" spans="4:11" x14ac:dyDescent="0.2">
      <c r="D23" s="33" t="s">
        <v>59</v>
      </c>
      <c r="E23" s="38">
        <v>2715</v>
      </c>
      <c r="F23" s="38">
        <v>3120</v>
      </c>
      <c r="G23" s="38">
        <v>3360</v>
      </c>
      <c r="H23" s="38">
        <v>3822</v>
      </c>
      <c r="I23" s="39">
        <v>4290</v>
      </c>
    </row>
    <row r="24" spans="4:11" x14ac:dyDescent="0.2">
      <c r="D24" s="45" t="s">
        <v>60</v>
      </c>
      <c r="E24" s="46">
        <v>11.5</v>
      </c>
      <c r="F24" s="46">
        <v>11.5</v>
      </c>
      <c r="G24" s="46">
        <v>11.5</v>
      </c>
      <c r="H24" s="46">
        <v>11.5</v>
      </c>
      <c r="I24" s="47">
        <v>11.5</v>
      </c>
    </row>
    <row r="25" spans="4:11" x14ac:dyDescent="0.2">
      <c r="D25" s="45" t="s">
        <v>61</v>
      </c>
      <c r="E25" s="46">
        <v>3</v>
      </c>
      <c r="F25" s="46">
        <v>3</v>
      </c>
      <c r="G25" s="46">
        <v>3</v>
      </c>
      <c r="H25" s="46">
        <v>3</v>
      </c>
      <c r="I25" s="47">
        <v>3</v>
      </c>
    </row>
    <row r="26" spans="4:11" x14ac:dyDescent="0.2">
      <c r="D26" s="45" t="s">
        <v>62</v>
      </c>
      <c r="E26" s="46">
        <v>15.6</v>
      </c>
      <c r="F26" s="46">
        <v>15.6</v>
      </c>
      <c r="G26" s="46">
        <v>15.6</v>
      </c>
      <c r="H26" s="46">
        <v>15.6</v>
      </c>
      <c r="I26" s="47">
        <v>15.6</v>
      </c>
    </row>
    <row r="27" spans="4:11" x14ac:dyDescent="0.2">
      <c r="D27" s="45" t="s">
        <v>63</v>
      </c>
      <c r="E27" s="46">
        <v>5</v>
      </c>
      <c r="F27" s="46">
        <v>5</v>
      </c>
      <c r="G27" s="46">
        <v>5</v>
      </c>
      <c r="H27" s="46">
        <v>5</v>
      </c>
      <c r="I27" s="47">
        <v>5</v>
      </c>
    </row>
    <row r="28" spans="4:11" ht="15" thickBot="1" x14ac:dyDescent="0.25">
      <c r="D28" s="48" t="s">
        <v>64</v>
      </c>
      <c r="E28" s="46">
        <v>3</v>
      </c>
      <c r="F28" s="46">
        <v>3</v>
      </c>
      <c r="G28" s="46">
        <v>3</v>
      </c>
      <c r="H28" s="46">
        <v>3</v>
      </c>
      <c r="I28" s="47">
        <v>3</v>
      </c>
    </row>
    <row r="29" spans="4:11" x14ac:dyDescent="0.2">
      <c r="D29" s="34"/>
      <c r="I29" s="29"/>
    </row>
    <row r="30" spans="4:11" x14ac:dyDescent="0.2">
      <c r="D30" s="34" t="s">
        <v>65</v>
      </c>
      <c r="E30" s="38">
        <f>E19-E21</f>
        <v>2327.8496</v>
      </c>
      <c r="F30" s="38">
        <f>F19-F21</f>
        <v>2915.5547840000004</v>
      </c>
      <c r="G30" s="38">
        <f>+G19-G21</f>
        <v>3143.6105913599999</v>
      </c>
      <c r="H30" s="38">
        <f>+H19-H21</f>
        <v>3360.6108236543996</v>
      </c>
      <c r="I30" s="39">
        <f>I19-I21</f>
        <v>4328.9176329461752</v>
      </c>
    </row>
    <row r="31" spans="4:11" x14ac:dyDescent="0.2">
      <c r="D31" s="41"/>
      <c r="I31" s="29"/>
    </row>
    <row r="32" spans="4:11" x14ac:dyDescent="0.2">
      <c r="D32" s="34"/>
      <c r="I32" s="29"/>
      <c r="K32" s="35"/>
    </row>
    <row r="33" spans="4:11" x14ac:dyDescent="0.2">
      <c r="D33" s="49" t="s">
        <v>66</v>
      </c>
      <c r="E33" s="46">
        <f>0</f>
        <v>0</v>
      </c>
      <c r="F33" s="46">
        <f>0</f>
        <v>0</v>
      </c>
      <c r="G33" s="46">
        <v>0</v>
      </c>
      <c r="H33" s="46">
        <v>0</v>
      </c>
      <c r="I33" s="47">
        <f>0</f>
        <v>0</v>
      </c>
    </row>
    <row r="34" spans="4:11" x14ac:dyDescent="0.2">
      <c r="D34" s="49" t="s">
        <v>67</v>
      </c>
      <c r="E34" s="46">
        <v>9.6</v>
      </c>
      <c r="F34" s="46">
        <v>9.6</v>
      </c>
      <c r="G34" s="46">
        <v>9.6</v>
      </c>
      <c r="H34" s="46">
        <v>9.6</v>
      </c>
      <c r="I34" s="47">
        <v>9.6</v>
      </c>
    </row>
    <row r="35" spans="4:11" x14ac:dyDescent="0.2">
      <c r="D35" s="34"/>
      <c r="I35" s="29"/>
    </row>
    <row r="36" spans="4:11" ht="15" thickBot="1" x14ac:dyDescent="0.25">
      <c r="D36" s="34" t="s">
        <v>68</v>
      </c>
      <c r="E36" s="38">
        <f>E30-E34</f>
        <v>2318.2496000000001</v>
      </c>
      <c r="F36" s="38">
        <f>F30-F34</f>
        <v>2905.9547840000005</v>
      </c>
      <c r="G36" s="38">
        <f>+G30-G34</f>
        <v>3134.01059136</v>
      </c>
      <c r="H36" s="38">
        <f>+H30-H34</f>
        <v>3351.0108236543997</v>
      </c>
      <c r="I36" s="39">
        <f>I30-(-(I33-I34))</f>
        <v>4319.3176329461749</v>
      </c>
    </row>
    <row r="37" spans="4:11" ht="15.75" thickBot="1" x14ac:dyDescent="0.3">
      <c r="D37" s="28">
        <f>+[2]BASES!C154</f>
        <v>0.32</v>
      </c>
      <c r="E37" s="38"/>
      <c r="F37" s="38"/>
      <c r="G37" s="38"/>
      <c r="H37" s="38"/>
      <c r="I37" s="39"/>
    </row>
    <row r="38" spans="4:11" x14ac:dyDescent="0.2">
      <c r="D38" s="34" t="s">
        <v>69</v>
      </c>
      <c r="E38" s="38">
        <f>E36*$D$37</f>
        <v>741.83987200000001</v>
      </c>
      <c r="F38" s="38">
        <f>F36*$D$37</f>
        <v>929.90553088000013</v>
      </c>
      <c r="G38" s="38">
        <f>+G36*$D$37</f>
        <v>1002.8833892352001</v>
      </c>
      <c r="H38" s="38">
        <f>+H36*$D$37</f>
        <v>1072.323463569408</v>
      </c>
      <c r="I38" s="39">
        <f>I36*$D$37</f>
        <v>1382.181642542776</v>
      </c>
      <c r="K38" s="24"/>
    </row>
    <row r="39" spans="4:11" ht="15" thickBot="1" x14ac:dyDescent="0.25">
      <c r="D39" s="34"/>
      <c r="E39" s="38"/>
      <c r="F39" s="38"/>
      <c r="G39" s="38"/>
      <c r="H39" s="38"/>
      <c r="I39" s="39"/>
      <c r="K39" s="24"/>
    </row>
    <row r="40" spans="4:11" ht="15.75" thickBot="1" x14ac:dyDescent="0.3">
      <c r="D40" s="42" t="s">
        <v>70</v>
      </c>
      <c r="E40" s="43">
        <f>E36-E38</f>
        <v>1576.4097280000001</v>
      </c>
      <c r="F40" s="43">
        <f>F36-F38</f>
        <v>1976.0492531200002</v>
      </c>
      <c r="G40" s="43">
        <f>+G36-G38</f>
        <v>2131.1272021248001</v>
      </c>
      <c r="H40" s="43">
        <f>+H36-H38</f>
        <v>2278.6873600849917</v>
      </c>
      <c r="I40" s="44">
        <f>I36-I38</f>
        <v>2937.1359904033989</v>
      </c>
    </row>
  </sheetData>
  <protectedRanges>
    <protectedRange algorithmName="SHA-512" hashValue="Ej9EH9HIVqH6ITx8OGSHP8nx+xKNvA5WWIHzh4dvxH46HXItLBcQ0y7PDxT64I6uvdUJlT/R2+md3Ad7IhyH1Q==" saltValue="gH/VRMUsBl+Ux0FwkRwkzQ==" spinCount="100000" sqref="D37" name="Rango3"/>
    <protectedRange algorithmName="SHA-512" hashValue="FVlPAHKYerLhsYTfsFnC24YqbV1GCIoR8Cw0ckZJEDtKUNEGNX87A0Liu940ElWsH6Dij35RYH48hI7/0ce+yg==" saltValue="PCspLiYW7FKOjI8m+d0uvw==" spinCount="100000" sqref="E34:I52 D4:J21 D29:D52 E22:J33 J34:J35 J38:J52" name="Rango1"/>
    <protectedRange algorithmName="SHA-512" hashValue="ausWNRfVKkgErp7ecj65kBc6cyAhgJ4yHw75FUDQW99Gr7E6JAqJ9KU+mXZLRTnGQbUeP455bRldVF2ZHjElsQ==" saltValue="Xq4FSNxkje92RQWNBOMQRA==" spinCount="100000" sqref="D17:D18" name="Rango2"/>
  </protectedRanges>
  <mergeCells count="2">
    <mergeCell ref="D2:I2"/>
    <mergeCell ref="D4:I4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4374-5743-4D75-BED3-1CA9845FA349}">
  <dimension ref="D2:L30"/>
  <sheetViews>
    <sheetView zoomScale="90" zoomScaleNormal="90" workbookViewId="0">
      <selection activeCell="D2" sqref="D2:I2"/>
    </sheetView>
  </sheetViews>
  <sheetFormatPr baseColWidth="10" defaultColWidth="11.5703125" defaultRowHeight="14.25" x14ac:dyDescent="0.2"/>
  <cols>
    <col min="1" max="2" width="12.7109375" style="50" customWidth="1"/>
    <col min="3" max="3" width="5.140625" style="50" customWidth="1"/>
    <col min="4" max="4" width="25.42578125" style="50" customWidth="1"/>
    <col min="5" max="5" width="11.85546875" style="50" bestFit="1" customWidth="1"/>
    <col min="6" max="8" width="12.42578125" style="50" bestFit="1" customWidth="1"/>
    <col min="9" max="9" width="13.7109375" style="50" bestFit="1" customWidth="1"/>
    <col min="10" max="16384" width="11.5703125" style="50"/>
  </cols>
  <sheetData>
    <row r="2" spans="4:12" ht="15" x14ac:dyDescent="0.25">
      <c r="D2" s="85" t="s">
        <v>83</v>
      </c>
      <c r="E2" s="85"/>
      <c r="F2" s="85"/>
      <c r="G2" s="85"/>
      <c r="H2" s="85"/>
      <c r="I2" s="85"/>
      <c r="K2" s="86"/>
      <c r="L2" s="86"/>
    </row>
    <row r="4" spans="4:12" ht="15" x14ac:dyDescent="0.25">
      <c r="D4" s="69" t="s">
        <v>99</v>
      </c>
    </row>
    <row r="5" spans="4:12" ht="15" x14ac:dyDescent="0.25">
      <c r="D5" s="61" t="s">
        <v>98</v>
      </c>
      <c r="E5" s="51">
        <v>0</v>
      </c>
      <c r="F5" s="51">
        <v>1</v>
      </c>
      <c r="G5" s="51">
        <v>2</v>
      </c>
      <c r="H5" s="51">
        <v>3</v>
      </c>
      <c r="I5" s="51">
        <v>4</v>
      </c>
    </row>
    <row r="6" spans="4:12" x14ac:dyDescent="0.2">
      <c r="D6" s="52" t="s">
        <v>12</v>
      </c>
      <c r="E6" s="53">
        <v>800</v>
      </c>
      <c r="F6" s="53">
        <v>394.59</v>
      </c>
      <c r="G6" s="53">
        <v>592.89</v>
      </c>
      <c r="H6" s="53">
        <v>587.32000000000005</v>
      </c>
      <c r="I6" s="53">
        <v>596.29</v>
      </c>
    </row>
    <row r="7" spans="4:12" x14ac:dyDescent="0.2">
      <c r="D7" s="52" t="s">
        <v>75</v>
      </c>
      <c r="E7" s="53">
        <v>5900</v>
      </c>
      <c r="F7" s="53">
        <v>6800</v>
      </c>
      <c r="G7" s="53">
        <v>7350</v>
      </c>
      <c r="H7" s="53">
        <v>8250</v>
      </c>
      <c r="I7" s="53">
        <v>9900</v>
      </c>
    </row>
    <row r="8" spans="4:12" x14ac:dyDescent="0.2">
      <c r="D8" s="52" t="s">
        <v>76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</row>
    <row r="9" spans="4:12" x14ac:dyDescent="0.2">
      <c r="D9" s="52" t="s">
        <v>77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</row>
    <row r="10" spans="4:12" x14ac:dyDescent="0.2">
      <c r="D10" s="52" t="s">
        <v>78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</row>
    <row r="11" spans="4:12" x14ac:dyDescent="0.2">
      <c r="D11" s="52" t="s">
        <v>79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</row>
    <row r="12" spans="4:12" x14ac:dyDescent="0.2">
      <c r="D12" s="52" t="s">
        <v>80</v>
      </c>
      <c r="E12" s="53">
        <v>260</v>
      </c>
      <c r="F12" s="53">
        <v>40</v>
      </c>
      <c r="G12" s="53">
        <v>300</v>
      </c>
      <c r="H12" s="53">
        <v>100</v>
      </c>
      <c r="I12" s="53">
        <v>140</v>
      </c>
    </row>
    <row r="13" spans="4:12" x14ac:dyDescent="0.2">
      <c r="D13" s="54" t="s">
        <v>81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</row>
    <row r="14" spans="4:12" ht="15" x14ac:dyDescent="0.25">
      <c r="D14" s="62" t="s">
        <v>82</v>
      </c>
      <c r="E14" s="55">
        <f>SUM(E6:E13)</f>
        <v>6960</v>
      </c>
      <c r="F14" s="55">
        <f>SUM(F6:F13)</f>
        <v>7234.59</v>
      </c>
      <c r="G14" s="55">
        <f>SUM(G6:G13)</f>
        <v>8242.89</v>
      </c>
      <c r="H14" s="55">
        <f>SUM(H6:H13)</f>
        <v>8937.32</v>
      </c>
      <c r="I14" s="55">
        <f>SUM(I6:I13)</f>
        <v>10636.29</v>
      </c>
    </row>
    <row r="16" spans="4:12" ht="15" x14ac:dyDescent="0.25">
      <c r="D16" s="69" t="s">
        <v>85</v>
      </c>
    </row>
    <row r="17" spans="4:9" x14ac:dyDescent="0.2">
      <c r="D17" s="52" t="s">
        <v>86</v>
      </c>
      <c r="E17" s="53">
        <v>1630.15</v>
      </c>
      <c r="F17" s="53">
        <v>1793.18</v>
      </c>
      <c r="G17" s="53">
        <v>1829.03</v>
      </c>
      <c r="H17" s="53">
        <v>2661.54</v>
      </c>
      <c r="I17" s="53">
        <v>3597.44</v>
      </c>
    </row>
    <row r="18" spans="4:9" x14ac:dyDescent="0.2">
      <c r="D18" s="52" t="s">
        <v>87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</row>
    <row r="19" spans="4:9" x14ac:dyDescent="0.2">
      <c r="D19" s="52" t="s">
        <v>88</v>
      </c>
      <c r="E19" s="53">
        <v>200</v>
      </c>
      <c r="F19" s="53">
        <v>200</v>
      </c>
      <c r="G19" s="53">
        <v>150</v>
      </c>
      <c r="H19" s="53">
        <v>150</v>
      </c>
      <c r="I19" s="53">
        <v>150</v>
      </c>
    </row>
    <row r="20" spans="4:9" x14ac:dyDescent="0.2">
      <c r="D20" s="68" t="s">
        <v>89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</row>
    <row r="21" spans="4:9" x14ac:dyDescent="0.2">
      <c r="D21" s="52" t="s">
        <v>90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</row>
    <row r="22" spans="4:9" x14ac:dyDescent="0.2">
      <c r="D22" s="52" t="s">
        <v>28</v>
      </c>
      <c r="E22" s="53">
        <v>59</v>
      </c>
      <c r="F22" s="53">
        <v>68</v>
      </c>
      <c r="G22" s="53">
        <v>73.5</v>
      </c>
      <c r="H22" s="53">
        <v>82.5</v>
      </c>
      <c r="I22" s="53">
        <v>99</v>
      </c>
    </row>
    <row r="23" spans="4:9" ht="15" x14ac:dyDescent="0.25">
      <c r="D23" s="62" t="s">
        <v>91</v>
      </c>
      <c r="E23" s="64">
        <f>SUM(E17:E22)</f>
        <v>1889.15</v>
      </c>
      <c r="F23" s="64">
        <f>SUM(F17:F22)</f>
        <v>2061.1800000000003</v>
      </c>
      <c r="G23" s="64">
        <f>SUM(G17:G22)</f>
        <v>2052.5299999999997</v>
      </c>
      <c r="H23" s="64">
        <f>SUM(H17:H22)</f>
        <v>2894.04</v>
      </c>
      <c r="I23" s="64">
        <f>SUM(I17:I22)</f>
        <v>3846.44</v>
      </c>
    </row>
    <row r="24" spans="4:9" x14ac:dyDescent="0.2">
      <c r="D24" s="63"/>
      <c r="E24" s="64"/>
      <c r="F24" s="64"/>
      <c r="G24" s="64"/>
      <c r="H24" s="64"/>
      <c r="I24" s="64"/>
    </row>
    <row r="25" spans="4:9" x14ac:dyDescent="0.2">
      <c r="D25" s="52" t="s">
        <v>92</v>
      </c>
      <c r="E25" s="53">
        <f>+E15-E23</f>
        <v>-1889.15</v>
      </c>
      <c r="F25" s="53">
        <f>+F15-F23</f>
        <v>-2061.1800000000003</v>
      </c>
      <c r="G25" s="53">
        <f>+G15-G23</f>
        <v>-2052.5299999999997</v>
      </c>
      <c r="H25" s="53">
        <f>+H15-H23</f>
        <v>-2894.04</v>
      </c>
      <c r="I25" s="53">
        <f>+I15-I23</f>
        <v>-3846.44</v>
      </c>
    </row>
    <row r="26" spans="4:9" x14ac:dyDescent="0.2">
      <c r="D26" s="52" t="s">
        <v>93</v>
      </c>
      <c r="E26" s="53">
        <f>+E25+E8</f>
        <v>-1889.15</v>
      </c>
      <c r="F26" s="53">
        <f>+F25+F8</f>
        <v>-2061.1800000000003</v>
      </c>
      <c r="G26" s="53">
        <f>+G25+G8</f>
        <v>-2052.5299999999997</v>
      </c>
      <c r="H26" s="53">
        <f>+H25+H8</f>
        <v>-2894.04</v>
      </c>
      <c r="I26" s="53">
        <f>+I25+I8</f>
        <v>-3846.44</v>
      </c>
    </row>
    <row r="27" spans="4:9" x14ac:dyDescent="0.2">
      <c r="D27" s="52" t="s">
        <v>94</v>
      </c>
      <c r="E27" s="53">
        <v>450</v>
      </c>
      <c r="F27" s="53">
        <v>450</v>
      </c>
      <c r="G27" s="53">
        <v>450</v>
      </c>
      <c r="H27" s="53">
        <v>150</v>
      </c>
      <c r="I27" s="53">
        <v>150</v>
      </c>
    </row>
    <row r="28" spans="4:9" x14ac:dyDescent="0.2">
      <c r="D28" s="52" t="s">
        <v>95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</row>
    <row r="29" spans="4:9" x14ac:dyDescent="0.2">
      <c r="D29" s="52" t="s">
        <v>96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</row>
    <row r="30" spans="4:9" ht="15" x14ac:dyDescent="0.25">
      <c r="D30" s="62" t="s">
        <v>97</v>
      </c>
      <c r="E30" s="64">
        <f>+E25+E27-E28-E29</f>
        <v>-1439.15</v>
      </c>
      <c r="F30" s="64">
        <f>+F25+F27-F28-F29</f>
        <v>-1611.1800000000003</v>
      </c>
      <c r="G30" s="64">
        <f>+G25+G27-G28-G29</f>
        <v>-1602.5299999999997</v>
      </c>
      <c r="H30" s="64">
        <f>+H25+H27-H28-H29</f>
        <v>-2744.04</v>
      </c>
      <c r="I30" s="64">
        <f>+I25+I27-I28-I29</f>
        <v>-3696.44</v>
      </c>
    </row>
  </sheetData>
  <mergeCells count="2">
    <mergeCell ref="D2:I2"/>
    <mergeCell ref="K2:L2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4AF1-292A-4CBB-931D-A06F3471B411}">
  <dimension ref="C2:T24"/>
  <sheetViews>
    <sheetView zoomScale="90" zoomScaleNormal="90" workbookViewId="0">
      <selection activeCell="D2" sqref="D2:T2"/>
    </sheetView>
  </sheetViews>
  <sheetFormatPr baseColWidth="10" defaultColWidth="11.5703125" defaultRowHeight="15" x14ac:dyDescent="0.25"/>
  <cols>
    <col min="1" max="2" width="11.5703125" style="56"/>
    <col min="3" max="3" width="7.7109375" style="56" customWidth="1"/>
    <col min="4" max="4" width="5.7109375" style="56" customWidth="1"/>
    <col min="5" max="9" width="7" style="56" bestFit="1" customWidth="1"/>
    <col min="10" max="10" width="12.5703125" style="56" customWidth="1"/>
    <col min="11" max="16384" width="11.5703125" style="56"/>
  </cols>
  <sheetData>
    <row r="2" spans="3:20" x14ac:dyDescent="0.25">
      <c r="D2" s="87" t="s">
        <v>37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4" spans="3:20" x14ac:dyDescent="0.25">
      <c r="C4" s="59"/>
      <c r="D4" s="88"/>
      <c r="E4" s="88"/>
      <c r="F4" s="88"/>
      <c r="G4" s="88"/>
      <c r="H4" s="88"/>
      <c r="I4" s="88"/>
      <c r="J4" s="88"/>
      <c r="K4" s="74" t="s">
        <v>34</v>
      </c>
      <c r="L4" s="57" t="s">
        <v>35</v>
      </c>
      <c r="M4" s="57">
        <v>0</v>
      </c>
      <c r="N4" s="57">
        <v>1</v>
      </c>
      <c r="O4" s="57">
        <v>2</v>
      </c>
      <c r="P4" s="57">
        <v>3</v>
      </c>
      <c r="Q4" s="57">
        <v>4</v>
      </c>
      <c r="R4" s="60"/>
    </row>
    <row r="5" spans="3:20" x14ac:dyDescent="0.25">
      <c r="D5" s="89"/>
      <c r="E5" s="89"/>
      <c r="F5" s="89"/>
      <c r="G5" s="89"/>
      <c r="H5" s="89"/>
      <c r="I5" s="89"/>
      <c r="J5" s="89"/>
      <c r="L5" s="57" t="s">
        <v>36</v>
      </c>
      <c r="M5" s="57">
        <v>394.59</v>
      </c>
      <c r="N5" s="57">
        <v>592.89</v>
      </c>
      <c r="O5" s="57">
        <v>587.32000000000005</v>
      </c>
      <c r="P5" s="57">
        <v>596.29</v>
      </c>
      <c r="Q5" s="57">
        <v>973.83</v>
      </c>
      <c r="R5" s="60"/>
    </row>
    <row r="6" spans="3:20" x14ac:dyDescent="0.25">
      <c r="D6" s="89"/>
      <c r="E6" s="89"/>
      <c r="F6" s="89"/>
      <c r="G6" s="89"/>
      <c r="H6" s="89"/>
      <c r="I6" s="89"/>
      <c r="J6" s="89"/>
      <c r="M6" s="60"/>
      <c r="N6" s="60"/>
      <c r="O6" s="60"/>
      <c r="P6" s="60"/>
      <c r="Q6" s="60"/>
      <c r="R6" s="60"/>
    </row>
    <row r="7" spans="3:20" x14ac:dyDescent="0.25">
      <c r="D7" s="89"/>
      <c r="E7" s="89"/>
      <c r="F7" s="89"/>
      <c r="G7" s="89"/>
      <c r="H7" s="89"/>
      <c r="I7" s="89"/>
      <c r="J7" s="89"/>
      <c r="L7" s="58"/>
      <c r="M7" s="57">
        <v>0</v>
      </c>
      <c r="N7" s="57">
        <v>1</v>
      </c>
      <c r="O7" s="57">
        <v>2</v>
      </c>
      <c r="P7" s="57">
        <v>3</v>
      </c>
      <c r="Q7" s="57">
        <v>4</v>
      </c>
      <c r="R7" s="60"/>
    </row>
    <row r="8" spans="3:20" x14ac:dyDescent="0.25">
      <c r="D8" s="89"/>
      <c r="E8" s="89"/>
      <c r="F8" s="89"/>
      <c r="G8" s="89"/>
      <c r="H8" s="89"/>
      <c r="I8" s="89"/>
      <c r="J8" s="89"/>
      <c r="L8" s="57" t="s">
        <v>34</v>
      </c>
      <c r="M8" s="57">
        <f>M5</f>
        <v>394.59</v>
      </c>
      <c r="N8" s="67">
        <f>N5/(1.13)^1</f>
        <v>524.68141592920358</v>
      </c>
      <c r="O8" s="67">
        <f>O5/(1.13)^2</f>
        <v>459.95771007909798</v>
      </c>
      <c r="P8" s="67">
        <f>P5/(1.13)^3</f>
        <v>413.25888126456721</v>
      </c>
      <c r="Q8" s="67">
        <f>Q5/(1.13)^4</f>
        <v>597.26817657600759</v>
      </c>
    </row>
    <row r="9" spans="3:20" x14ac:dyDescent="0.25">
      <c r="D9" s="89"/>
      <c r="E9" s="89"/>
      <c r="F9" s="89"/>
      <c r="G9" s="89"/>
      <c r="H9" s="89"/>
      <c r="I9" s="89"/>
      <c r="J9" s="89"/>
      <c r="M9" s="60"/>
      <c r="N9" s="60"/>
      <c r="O9" s="60"/>
      <c r="P9" s="60"/>
      <c r="Q9" s="60"/>
      <c r="R9" s="60"/>
    </row>
    <row r="10" spans="3:20" x14ac:dyDescent="0.25">
      <c r="D10" s="89"/>
      <c r="E10" s="89"/>
      <c r="F10" s="89"/>
      <c r="G10" s="89"/>
      <c r="H10" s="89"/>
      <c r="I10" s="89"/>
      <c r="J10" s="89"/>
      <c r="L10" s="66" t="s">
        <v>34</v>
      </c>
      <c r="M10" s="66">
        <f>+M5+(N5/(1.13))+(O5/((1.13)*(1.13))+(P5/((1.13)*(1.13)*(1.13))+(Q5/((1.13)*(1.13)*(1.13)*(1.13)))))</f>
        <v>2389.7561838488764</v>
      </c>
      <c r="N10" s="60"/>
      <c r="O10" s="60"/>
      <c r="P10" s="60"/>
      <c r="Q10" s="60"/>
      <c r="R10" s="60"/>
    </row>
    <row r="11" spans="3:20" x14ac:dyDescent="0.25">
      <c r="D11" s="89"/>
      <c r="E11" s="89"/>
      <c r="F11" s="89"/>
      <c r="G11" s="89"/>
      <c r="H11" s="89"/>
      <c r="I11" s="89"/>
      <c r="J11" s="89"/>
    </row>
    <row r="12" spans="3:20" x14ac:dyDescent="0.25">
      <c r="D12" s="89"/>
      <c r="E12" s="89"/>
      <c r="F12" s="89"/>
      <c r="G12" s="89"/>
      <c r="H12" s="89"/>
      <c r="I12" s="89"/>
      <c r="J12" s="89"/>
    </row>
    <row r="13" spans="3:20" x14ac:dyDescent="0.25">
      <c r="D13" s="89"/>
      <c r="E13" s="89"/>
      <c r="F13" s="89"/>
      <c r="G13" s="89"/>
      <c r="H13" s="89"/>
      <c r="I13" s="89"/>
      <c r="J13" s="89"/>
    </row>
    <row r="14" spans="3:20" x14ac:dyDescent="0.25">
      <c r="C14" s="59"/>
      <c r="D14" s="88"/>
      <c r="E14" s="88"/>
      <c r="F14" s="88"/>
      <c r="G14" s="88"/>
      <c r="H14" s="88"/>
      <c r="I14" s="88"/>
      <c r="J14" s="88"/>
      <c r="K14" s="74" t="s">
        <v>101</v>
      </c>
      <c r="R14" s="75" t="s">
        <v>103</v>
      </c>
    </row>
    <row r="15" spans="3:20" x14ac:dyDescent="0.25">
      <c r="D15" s="89"/>
      <c r="E15" s="89"/>
      <c r="F15" s="89"/>
      <c r="G15" s="89"/>
      <c r="H15" s="89"/>
      <c r="I15" s="89"/>
      <c r="J15" s="89"/>
      <c r="L15" s="66" t="s">
        <v>101</v>
      </c>
      <c r="M15" s="72">
        <f>+M10/800</f>
        <v>2.9871952298110953</v>
      </c>
      <c r="S15" s="65" t="s">
        <v>104</v>
      </c>
      <c r="T15" s="72">
        <f>+(800)/M5</f>
        <v>2.0274208672292762</v>
      </c>
    </row>
    <row r="16" spans="3:20" x14ac:dyDescent="0.25">
      <c r="D16" s="89"/>
      <c r="E16" s="89"/>
      <c r="F16" s="89"/>
      <c r="G16" s="89"/>
      <c r="H16" s="89"/>
      <c r="I16" s="89"/>
      <c r="J16" s="89"/>
    </row>
    <row r="17" spans="3:17" x14ac:dyDescent="0.25">
      <c r="D17" s="89"/>
      <c r="E17" s="89"/>
      <c r="F17" s="89"/>
      <c r="G17" s="89"/>
      <c r="H17" s="89"/>
      <c r="I17" s="89"/>
      <c r="J17" s="89"/>
      <c r="L17" s="90" t="s">
        <v>102</v>
      </c>
      <c r="M17" s="90"/>
      <c r="N17" s="90"/>
      <c r="O17" s="90"/>
      <c r="P17" s="90"/>
      <c r="Q17" s="90"/>
    </row>
    <row r="18" spans="3:17" x14ac:dyDescent="0.25">
      <c r="D18" s="89"/>
      <c r="E18" s="89"/>
      <c r="F18" s="89"/>
      <c r="G18" s="89"/>
      <c r="H18" s="89"/>
      <c r="I18" s="89"/>
      <c r="J18" s="89"/>
    </row>
    <row r="21" spans="3:17" x14ac:dyDescent="0.25">
      <c r="C21" s="59"/>
      <c r="D21" s="88"/>
      <c r="E21" s="88"/>
      <c r="F21" s="88"/>
      <c r="G21" s="88"/>
      <c r="H21" s="88"/>
      <c r="I21" s="88"/>
      <c r="J21" s="88"/>
      <c r="K21" s="74" t="s">
        <v>84</v>
      </c>
      <c r="L21" s="57" t="s">
        <v>35</v>
      </c>
      <c r="M21" s="57">
        <v>0</v>
      </c>
      <c r="N21" s="57">
        <v>1</v>
      </c>
      <c r="O21" s="57">
        <v>2</v>
      </c>
      <c r="P21" s="57">
        <v>3</v>
      </c>
      <c r="Q21" s="57">
        <v>4</v>
      </c>
    </row>
    <row r="22" spans="3:17" x14ac:dyDescent="0.25">
      <c r="L22" s="70" t="s">
        <v>100</v>
      </c>
      <c r="M22" s="57">
        <v>-800</v>
      </c>
      <c r="N22" s="57">
        <v>592.89</v>
      </c>
      <c r="O22" s="57">
        <v>587.32000000000005</v>
      </c>
      <c r="P22" s="57">
        <v>596.29</v>
      </c>
      <c r="Q22" s="57">
        <v>973.83</v>
      </c>
    </row>
    <row r="24" spans="3:17" x14ac:dyDescent="0.25">
      <c r="L24" s="73" t="s">
        <v>84</v>
      </c>
      <c r="M24" s="71">
        <f>IRR(M22:Q22)</f>
        <v>0.68934759274319846</v>
      </c>
    </row>
  </sheetData>
  <mergeCells count="18">
    <mergeCell ref="L17:Q17"/>
    <mergeCell ref="D18:J18"/>
    <mergeCell ref="D2:T2"/>
    <mergeCell ref="D21:J21"/>
    <mergeCell ref="D4:J4"/>
    <mergeCell ref="D5:J5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B46D-D4B8-4630-8F8D-2CF68E1E7F70}">
  <dimension ref="B1:O37"/>
  <sheetViews>
    <sheetView zoomScale="70" zoomScaleNormal="70" workbookViewId="0">
      <selection activeCell="B2" sqref="B2:O37"/>
    </sheetView>
  </sheetViews>
  <sheetFormatPr baseColWidth="10" defaultColWidth="10.7109375" defaultRowHeight="15" x14ac:dyDescent="0.25"/>
  <cols>
    <col min="1" max="1" width="3.7109375" customWidth="1"/>
  </cols>
  <sheetData>
    <row r="1" spans="2:15" ht="15.75" thickBot="1" x14ac:dyDescent="0.3"/>
    <row r="2" spans="2:15" ht="18.600000000000001" customHeight="1" x14ac:dyDescent="0.25">
      <c r="B2" s="91" t="s">
        <v>105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</row>
    <row r="3" spans="2:15" x14ac:dyDescent="0.25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</row>
    <row r="4" spans="2:15" x14ac:dyDescent="0.25">
      <c r="B4" s="94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6"/>
    </row>
    <row r="5" spans="2:15" x14ac:dyDescent="0.25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6"/>
    </row>
    <row r="6" spans="2:15" x14ac:dyDescent="0.25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6"/>
    </row>
    <row r="7" spans="2:15" x14ac:dyDescent="0.25">
      <c r="B7" s="9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/>
    </row>
    <row r="8" spans="2:15" x14ac:dyDescent="0.25">
      <c r="B8" s="94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6"/>
    </row>
    <row r="9" spans="2:15" x14ac:dyDescent="0.25">
      <c r="B9" s="9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6"/>
    </row>
    <row r="10" spans="2:15" x14ac:dyDescent="0.25"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6"/>
    </row>
    <row r="11" spans="2:15" x14ac:dyDescent="0.25"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6"/>
    </row>
    <row r="12" spans="2:15" x14ac:dyDescent="0.25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5" x14ac:dyDescent="0.2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6"/>
    </row>
    <row r="14" spans="2:15" x14ac:dyDescent="0.25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</row>
    <row r="15" spans="2:15" x14ac:dyDescent="0.25"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/>
    </row>
    <row r="16" spans="2:15" x14ac:dyDescent="0.25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2:15" x14ac:dyDescent="0.25"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/>
    </row>
    <row r="18" spans="2:15" x14ac:dyDescent="0.25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6"/>
    </row>
    <row r="19" spans="2:15" x14ac:dyDescent="0.25"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6"/>
    </row>
    <row r="20" spans="2:15" x14ac:dyDescent="0.25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/>
    </row>
    <row r="21" spans="2:15" x14ac:dyDescent="0.25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6"/>
    </row>
    <row r="22" spans="2:15" x14ac:dyDescent="0.25">
      <c r="B22" s="9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6"/>
    </row>
    <row r="23" spans="2:15" x14ac:dyDescent="0.25"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/>
    </row>
    <row r="24" spans="2:15" x14ac:dyDescent="0.25"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</row>
    <row r="25" spans="2:15" x14ac:dyDescent="0.25"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6"/>
    </row>
    <row r="26" spans="2:15" x14ac:dyDescent="0.25"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6"/>
    </row>
    <row r="27" spans="2:15" x14ac:dyDescent="0.25"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</row>
    <row r="28" spans="2:15" ht="21" customHeight="1" x14ac:dyDescent="0.25"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</row>
    <row r="29" spans="2:15" x14ac:dyDescent="0.25"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</row>
    <row r="30" spans="2:15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5" x14ac:dyDescent="0.25"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5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5" x14ac:dyDescent="0.25"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6"/>
    </row>
    <row r="34" spans="2:15" x14ac:dyDescent="0.25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6"/>
    </row>
    <row r="35" spans="2:15" x14ac:dyDescent="0.25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6"/>
    </row>
    <row r="36" spans="2:15" x14ac:dyDescent="0.25"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6"/>
    </row>
    <row r="37" spans="2:15" ht="15.75" thickBot="1" x14ac:dyDescent="0.3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9"/>
    </row>
  </sheetData>
  <mergeCells count="1">
    <mergeCell ref="B2:O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FC_Año 0</vt:lpstr>
      <vt:lpstr>FC_Año 1</vt:lpstr>
      <vt:lpstr>FC_Año 2</vt:lpstr>
      <vt:lpstr>FC_Año 3</vt:lpstr>
      <vt:lpstr>FC_Año 4</vt:lpstr>
      <vt:lpstr>Estado Resultados</vt:lpstr>
      <vt:lpstr>Estado Tesoreria</vt:lpstr>
      <vt:lpstr>E_Indicadores</vt:lpstr>
      <vt:lpstr>Estudio Viabilidad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 AURORA MUNETON MORTIGO</dc:creator>
  <cp:lastModifiedBy>Gilma Aurora Muñeton Mortigo</cp:lastModifiedBy>
  <cp:lastPrinted>2024-02-24T22:39:27Z</cp:lastPrinted>
  <dcterms:created xsi:type="dcterms:W3CDTF">2024-05-21T13:49:02Z</dcterms:created>
  <dcterms:modified xsi:type="dcterms:W3CDTF">2024-06-03T19:25:28Z</dcterms:modified>
</cp:coreProperties>
</file>