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ml.chartshape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ml.chartshape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ables/table1.xml" ContentType="application/vnd.openxmlformats-officedocument.spreadsheetml.table+xml"/>
  <Override PartName="/xl/drawings/drawing1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https://uniandes-my.sharepoint.com/personal/w_rojasp_uniandes_edu_co/Documents/Wendy (1)/Wen/Piloto/Tesis/"/>
    </mc:Choice>
  </mc:AlternateContent>
  <xr:revisionPtr revIDLastSave="192" documentId="13_ncr:1_{ACD85DD1-34F5-4046-A392-C7DD54E74317}" xr6:coauthVersionLast="47" xr6:coauthVersionMax="47" xr10:uidLastSave="{3FB22E3A-CFCD-4AB6-9CF3-04BF4A54E4FA}"/>
  <bookViews>
    <workbookView xWindow="-120" yWindow="-120" windowWidth="20730" windowHeight="11040" tabRatio="783" firstSheet="1" activeTab="2" xr2:uid="{00000000-000D-0000-FFFF-FFFF00000000}"/>
  </bookViews>
  <sheets>
    <sheet name="Cifras Historicas" sheetId="1" r:id="rId1"/>
    <sheet name="Proyecciones" sheetId="2" r:id="rId2"/>
    <sheet name="Valoración Sin Estrategia" sheetId="5" r:id="rId3"/>
    <sheet name="Estrategias Operativas" sheetId="15" r:id="rId4"/>
    <sheet name="Proyecciones + Estrategia" sheetId="8" r:id="rId5"/>
    <sheet name="Valoración + Estrategia" sheetId="7" r:id="rId6"/>
    <sheet name="Predictor de quiebra " sheetId="10" r:id="rId7"/>
    <sheet name="Industry Averages" sheetId="13" r:id="rId8"/>
    <sheet name="Graficas" sheetId="12" r:id="rId9"/>
  </sheets>
  <externalReferences>
    <externalReference r:id="rId10"/>
  </externalReferences>
  <definedNames>
    <definedName name="_xlnm.Print_Titles" localSheetId="7">'Industry Averages'!$10:$10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6" i="5" l="1"/>
  <c r="K174" i="5" l="1"/>
  <c r="F27" i="15"/>
  <c r="G27" i="15" s="1"/>
  <c r="H27" i="15" s="1"/>
  <c r="I27" i="15" s="1"/>
  <c r="F25" i="15"/>
  <c r="G25" i="15" s="1"/>
  <c r="H25" i="15" s="1"/>
  <c r="I25" i="15" s="1"/>
  <c r="F23" i="15"/>
  <c r="G23" i="15" s="1"/>
  <c r="H23" i="15" s="1"/>
  <c r="I23" i="15" s="1"/>
  <c r="G18" i="15"/>
  <c r="H18" i="15" s="1"/>
  <c r="I18" i="15" s="1"/>
  <c r="G15" i="15"/>
  <c r="H15" i="15" s="1"/>
  <c r="I15" i="15" s="1"/>
  <c r="E24" i="15" l="1"/>
  <c r="E83" i="15" s="1"/>
  <c r="F76" i="15"/>
  <c r="E76" i="15"/>
  <c r="E77" i="15"/>
  <c r="E26" i="15" l="1"/>
  <c r="E38" i="15" s="1"/>
  <c r="E78" i="15"/>
  <c r="E79" i="15" s="1"/>
  <c r="F17" i="15"/>
  <c r="F77" i="15" s="1"/>
  <c r="F19" i="15"/>
  <c r="F78" i="15" s="1"/>
  <c r="F24" i="15"/>
  <c r="F83" i="15" s="1"/>
  <c r="E28" i="15"/>
  <c r="E85" i="15" s="1"/>
  <c r="K69" i="8" s="1"/>
  <c r="G76" i="15"/>
  <c r="F54" i="15"/>
  <c r="F55" i="15"/>
  <c r="F56" i="15"/>
  <c r="F57" i="15"/>
  <c r="F58" i="15"/>
  <c r="F59" i="15"/>
  <c r="E60" i="15"/>
  <c r="G60" i="15"/>
  <c r="H60" i="15"/>
  <c r="I60" i="15"/>
  <c r="E64" i="15"/>
  <c r="F64" i="15"/>
  <c r="G64" i="15"/>
  <c r="H64" i="15"/>
  <c r="I64" i="15"/>
  <c r="E65" i="15"/>
  <c r="F65" i="15"/>
  <c r="G65" i="15"/>
  <c r="H65" i="15"/>
  <c r="I65" i="15"/>
  <c r="E66" i="15"/>
  <c r="F66" i="15"/>
  <c r="G66" i="15"/>
  <c r="H66" i="15"/>
  <c r="I66" i="15"/>
  <c r="E67" i="15"/>
  <c r="F67" i="15"/>
  <c r="G67" i="15"/>
  <c r="H67" i="15"/>
  <c r="I67" i="15"/>
  <c r="E68" i="15"/>
  <c r="F68" i="15"/>
  <c r="G68" i="15"/>
  <c r="H68" i="15"/>
  <c r="I68" i="15"/>
  <c r="E69" i="15"/>
  <c r="F69" i="15"/>
  <c r="G69" i="15"/>
  <c r="H69" i="15"/>
  <c r="I69" i="15"/>
  <c r="L15" i="1"/>
  <c r="E34" i="15"/>
  <c r="G90" i="1"/>
  <c r="E40" i="15" l="1"/>
  <c r="E84" i="15"/>
  <c r="K68" i="8" s="1"/>
  <c r="E86" i="15"/>
  <c r="F79" i="15"/>
  <c r="H76" i="15"/>
  <c r="F60" i="15"/>
  <c r="G70" i="15"/>
  <c r="F70" i="15"/>
  <c r="E70" i="15"/>
  <c r="I70" i="15"/>
  <c r="H70" i="15"/>
  <c r="F26" i="15"/>
  <c r="F84" i="15" s="1"/>
  <c r="L68" i="8" s="1"/>
  <c r="G19" i="15"/>
  <c r="G78" i="15" s="1"/>
  <c r="E37" i="15"/>
  <c r="F37" i="15"/>
  <c r="G17" i="15" l="1"/>
  <c r="I24" i="15"/>
  <c r="I83" i="15" s="1"/>
  <c r="L87" i="1"/>
  <c r="D64" i="10"/>
  <c r="D65" i="10"/>
  <c r="J40" i="8"/>
  <c r="I40" i="8"/>
  <c r="H40" i="8"/>
  <c r="G40" i="8"/>
  <c r="F40" i="8"/>
  <c r="I44" i="15"/>
  <c r="H44" i="15"/>
  <c r="I43" i="15"/>
  <c r="H43" i="15"/>
  <c r="G43" i="15"/>
  <c r="E43" i="15"/>
  <c r="I34" i="15"/>
  <c r="H34" i="15"/>
  <c r="G34" i="15"/>
  <c r="F34" i="15"/>
  <c r="I32" i="15"/>
  <c r="H32" i="15"/>
  <c r="G32" i="15"/>
  <c r="F32" i="15"/>
  <c r="E32" i="15"/>
  <c r="E35" i="15" s="1"/>
  <c r="E36" i="15" s="1"/>
  <c r="E39" i="15" s="1"/>
  <c r="I31" i="15"/>
  <c r="I53" i="15" s="1"/>
  <c r="I63" i="15" s="1"/>
  <c r="H31" i="15"/>
  <c r="H53" i="15" s="1"/>
  <c r="H63" i="15" s="1"/>
  <c r="G31" i="15"/>
  <c r="G53" i="15" s="1"/>
  <c r="G63" i="15" s="1"/>
  <c r="F31" i="15"/>
  <c r="F53" i="15" s="1"/>
  <c r="F63" i="15" s="1"/>
  <c r="E31" i="15"/>
  <c r="E53" i="15" s="1"/>
  <c r="E63" i="15" s="1"/>
  <c r="F28" i="15"/>
  <c r="I17" i="15" l="1"/>
  <c r="I76" i="15"/>
  <c r="F40" i="15"/>
  <c r="F85" i="15"/>
  <c r="G37" i="15"/>
  <c r="G77" i="15"/>
  <c r="I37" i="15"/>
  <c r="I77" i="15"/>
  <c r="H17" i="15"/>
  <c r="G24" i="15"/>
  <c r="G83" i="15" s="1"/>
  <c r="H24" i="15"/>
  <c r="H83" i="15" s="1"/>
  <c r="F44" i="15"/>
  <c r="E33" i="15"/>
  <c r="G33" i="15"/>
  <c r="I45" i="15"/>
  <c r="I47" i="15" s="1"/>
  <c r="I48" i="15" s="1"/>
  <c r="G28" i="15"/>
  <c r="H26" i="15"/>
  <c r="H45" i="15"/>
  <c r="H47" i="15" s="1"/>
  <c r="H48" i="15" s="1"/>
  <c r="G26" i="15"/>
  <c r="F38" i="15"/>
  <c r="I26" i="15"/>
  <c r="E44" i="15"/>
  <c r="F33" i="15"/>
  <c r="I35" i="15"/>
  <c r="O27" i="8" s="1"/>
  <c r="F35" i="15"/>
  <c r="L27" i="8" s="1"/>
  <c r="G35" i="15"/>
  <c r="M27" i="8" s="1"/>
  <c r="H35" i="15"/>
  <c r="N27" i="8" s="1"/>
  <c r="I33" i="15"/>
  <c r="H33" i="15"/>
  <c r="H19" i="15"/>
  <c r="H78" i="15" s="1"/>
  <c r="F86" i="15" l="1"/>
  <c r="L69" i="8"/>
  <c r="G79" i="15"/>
  <c r="H38" i="15"/>
  <c r="H84" i="15"/>
  <c r="I38" i="15"/>
  <c r="I84" i="15"/>
  <c r="O68" i="8" s="1"/>
  <c r="G38" i="15"/>
  <c r="G84" i="15"/>
  <c r="M68" i="8" s="1"/>
  <c r="G40" i="15"/>
  <c r="G85" i="15"/>
  <c r="M69" i="8" s="1"/>
  <c r="H37" i="15"/>
  <c r="H77" i="15"/>
  <c r="F45" i="15"/>
  <c r="F47" i="15" s="1"/>
  <c r="F48" i="15" s="1"/>
  <c r="F43" i="15"/>
  <c r="G45" i="15"/>
  <c r="G47" i="15" s="1"/>
  <c r="G48" i="15" s="1"/>
  <c r="G44" i="15"/>
  <c r="E45" i="15"/>
  <c r="E47" i="15" s="1"/>
  <c r="E48" i="15" s="1"/>
  <c r="K27" i="8"/>
  <c r="I19" i="15"/>
  <c r="I78" i="15" s="1"/>
  <c r="H79" i="15" l="1"/>
  <c r="N68" i="8"/>
  <c r="I79" i="15"/>
  <c r="G86" i="15"/>
  <c r="K40" i="8"/>
  <c r="L40" i="8" s="1"/>
  <c r="M40" i="8" s="1"/>
  <c r="N40" i="8" s="1"/>
  <c r="O40" i="8" s="1"/>
  <c r="H28" i="15"/>
  <c r="I28" i="15"/>
  <c r="I40" i="15" l="1"/>
  <c r="I85" i="15"/>
  <c r="H40" i="15"/>
  <c r="H85" i="15"/>
  <c r="D104" i="10"/>
  <c r="D103" i="10"/>
  <c r="H86" i="15" l="1"/>
  <c r="N69" i="8"/>
  <c r="I86" i="15"/>
  <c r="O69" i="8"/>
  <c r="G79" i="2"/>
  <c r="H79" i="2"/>
  <c r="I79" i="2"/>
  <c r="J79" i="2"/>
  <c r="F79" i="2"/>
  <c r="G74" i="2"/>
  <c r="H74" i="2"/>
  <c r="I74" i="2"/>
  <c r="J74" i="2"/>
  <c r="G75" i="2"/>
  <c r="H75" i="2"/>
  <c r="I75" i="2"/>
  <c r="J75" i="2"/>
  <c r="G76" i="2"/>
  <c r="H76" i="2"/>
  <c r="I76" i="2"/>
  <c r="J76" i="2"/>
  <c r="F76" i="2"/>
  <c r="F75" i="2"/>
  <c r="F74" i="2"/>
  <c r="G71" i="2"/>
  <c r="H71" i="2"/>
  <c r="I71" i="2"/>
  <c r="J71" i="2"/>
  <c r="J72" i="8" s="1"/>
  <c r="G70" i="2"/>
  <c r="H70" i="2"/>
  <c r="I70" i="2"/>
  <c r="J70" i="2"/>
  <c r="F71" i="2"/>
  <c r="F70" i="2"/>
  <c r="G68" i="2"/>
  <c r="H68" i="2"/>
  <c r="I68" i="2"/>
  <c r="J68" i="2"/>
  <c r="F68" i="2"/>
  <c r="G67" i="2" l="1"/>
  <c r="H67" i="2"/>
  <c r="I67" i="2"/>
  <c r="J67" i="2"/>
  <c r="F67" i="2"/>
  <c r="F40" i="2"/>
  <c r="K67" i="2" l="1"/>
  <c r="J41" i="8"/>
  <c r="K41" i="8" s="1"/>
  <c r="L41" i="8" s="1"/>
  <c r="M41" i="8" s="1"/>
  <c r="N41" i="8" s="1"/>
  <c r="O41" i="8" s="1"/>
  <c r="J27" i="8"/>
  <c r="F65" i="5"/>
  <c r="F106" i="13"/>
  <c r="H106" i="13" s="1"/>
  <c r="P106" i="13" s="1"/>
  <c r="F105" i="13"/>
  <c r="H105" i="13" s="1"/>
  <c r="P105" i="13" s="1"/>
  <c r="F104" i="13"/>
  <c r="H104" i="13" s="1"/>
  <c r="P104" i="13" s="1"/>
  <c r="F103" i="13"/>
  <c r="H103" i="13" s="1"/>
  <c r="P103" i="13" s="1"/>
  <c r="F102" i="13"/>
  <c r="H102" i="13" s="1"/>
  <c r="P102" i="13" s="1"/>
  <c r="F101" i="13"/>
  <c r="H101" i="13" s="1"/>
  <c r="P101" i="13" s="1"/>
  <c r="F100" i="13"/>
  <c r="H100" i="13" s="1"/>
  <c r="P100" i="13" s="1"/>
  <c r="F99" i="13"/>
  <c r="H99" i="13" s="1"/>
  <c r="P99" i="13" s="1"/>
  <c r="F98" i="13"/>
  <c r="H98" i="13" s="1"/>
  <c r="P98" i="13" s="1"/>
  <c r="F97" i="13"/>
  <c r="H97" i="13" s="1"/>
  <c r="P97" i="13" s="1"/>
  <c r="F96" i="13"/>
  <c r="H96" i="13" s="1"/>
  <c r="P96" i="13" s="1"/>
  <c r="F95" i="13"/>
  <c r="H95" i="13" s="1"/>
  <c r="P95" i="13" s="1"/>
  <c r="F94" i="13"/>
  <c r="H94" i="13" s="1"/>
  <c r="P94" i="13" s="1"/>
  <c r="F93" i="13"/>
  <c r="H93" i="13" s="1"/>
  <c r="P93" i="13" s="1"/>
  <c r="F92" i="13"/>
  <c r="H92" i="13" s="1"/>
  <c r="P92" i="13" s="1"/>
  <c r="F91" i="13"/>
  <c r="H91" i="13" s="1"/>
  <c r="P91" i="13" s="1"/>
  <c r="F90" i="13"/>
  <c r="H90" i="13" s="1"/>
  <c r="P90" i="13" s="1"/>
  <c r="F89" i="13"/>
  <c r="H89" i="13" s="1"/>
  <c r="P89" i="13" s="1"/>
  <c r="F88" i="13"/>
  <c r="H88" i="13" s="1"/>
  <c r="P88" i="13" s="1"/>
  <c r="F87" i="13"/>
  <c r="H87" i="13" s="1"/>
  <c r="P87" i="13" s="1"/>
  <c r="F86" i="13"/>
  <c r="H86" i="13" s="1"/>
  <c r="P86" i="13" s="1"/>
  <c r="F85" i="13"/>
  <c r="H85" i="13" s="1"/>
  <c r="P85" i="13" s="1"/>
  <c r="F84" i="13"/>
  <c r="H84" i="13" s="1"/>
  <c r="P84" i="13" s="1"/>
  <c r="F83" i="13"/>
  <c r="H83" i="13" s="1"/>
  <c r="P83" i="13" s="1"/>
  <c r="F82" i="13"/>
  <c r="H82" i="13" s="1"/>
  <c r="P82" i="13" s="1"/>
  <c r="F81" i="13"/>
  <c r="H81" i="13" s="1"/>
  <c r="P81" i="13" s="1"/>
  <c r="F80" i="13"/>
  <c r="H80" i="13" s="1"/>
  <c r="P80" i="13" s="1"/>
  <c r="F79" i="13"/>
  <c r="H79" i="13" s="1"/>
  <c r="P79" i="13" s="1"/>
  <c r="F78" i="13"/>
  <c r="H78" i="13" s="1"/>
  <c r="P78" i="13" s="1"/>
  <c r="F77" i="13"/>
  <c r="H77" i="13" s="1"/>
  <c r="P77" i="13" s="1"/>
  <c r="F76" i="13"/>
  <c r="H76" i="13" s="1"/>
  <c r="P76" i="13" s="1"/>
  <c r="F75" i="13"/>
  <c r="H75" i="13" s="1"/>
  <c r="P75" i="13" s="1"/>
  <c r="F74" i="13"/>
  <c r="H74" i="13" s="1"/>
  <c r="P74" i="13" s="1"/>
  <c r="F73" i="13"/>
  <c r="H73" i="13" s="1"/>
  <c r="P73" i="13" s="1"/>
  <c r="F72" i="13"/>
  <c r="H72" i="13" s="1"/>
  <c r="P72" i="13" s="1"/>
  <c r="F71" i="13"/>
  <c r="H71" i="13" s="1"/>
  <c r="P71" i="13" s="1"/>
  <c r="F70" i="13"/>
  <c r="H70" i="13" s="1"/>
  <c r="P70" i="13" s="1"/>
  <c r="F69" i="13"/>
  <c r="H69" i="13" s="1"/>
  <c r="P69" i="13" s="1"/>
  <c r="F68" i="13"/>
  <c r="H68" i="13" s="1"/>
  <c r="P68" i="13" s="1"/>
  <c r="F67" i="13"/>
  <c r="H67" i="13" s="1"/>
  <c r="P67" i="13" s="1"/>
  <c r="F66" i="13"/>
  <c r="F65" i="13"/>
  <c r="H65" i="13" s="1"/>
  <c r="P65" i="13" s="1"/>
  <c r="F64" i="13"/>
  <c r="H64" i="13" s="1"/>
  <c r="P64" i="13" s="1"/>
  <c r="F63" i="13"/>
  <c r="H63" i="13" s="1"/>
  <c r="P63" i="13" s="1"/>
  <c r="F62" i="13"/>
  <c r="H62" i="13" s="1"/>
  <c r="P62" i="13" s="1"/>
  <c r="F61" i="13"/>
  <c r="H61" i="13" s="1"/>
  <c r="P61" i="13" s="1"/>
  <c r="F60" i="13"/>
  <c r="H60" i="13" s="1"/>
  <c r="P60" i="13" s="1"/>
  <c r="F59" i="13"/>
  <c r="H59" i="13" s="1"/>
  <c r="P59" i="13" s="1"/>
  <c r="F58" i="13"/>
  <c r="H58" i="13" s="1"/>
  <c r="P58" i="13" s="1"/>
  <c r="F57" i="13"/>
  <c r="H57" i="13" s="1"/>
  <c r="P57" i="13" s="1"/>
  <c r="F56" i="13"/>
  <c r="H56" i="13" s="1"/>
  <c r="P56" i="13" s="1"/>
  <c r="F55" i="13"/>
  <c r="H55" i="13" s="1"/>
  <c r="P55" i="13" s="1"/>
  <c r="F54" i="13"/>
  <c r="H54" i="13" s="1"/>
  <c r="P54" i="13" s="1"/>
  <c r="F53" i="13"/>
  <c r="H53" i="13" s="1"/>
  <c r="P53" i="13" s="1"/>
  <c r="F52" i="13"/>
  <c r="H52" i="13" s="1"/>
  <c r="P52" i="13" s="1"/>
  <c r="F51" i="13"/>
  <c r="H51" i="13" s="1"/>
  <c r="P51" i="13" s="1"/>
  <c r="F50" i="13"/>
  <c r="H50" i="13" s="1"/>
  <c r="P50" i="13" s="1"/>
  <c r="F49" i="13"/>
  <c r="H49" i="13" s="1"/>
  <c r="P49" i="13" s="1"/>
  <c r="F48" i="13"/>
  <c r="H48" i="13" s="1"/>
  <c r="P48" i="13" s="1"/>
  <c r="F47" i="13"/>
  <c r="H47" i="13" s="1"/>
  <c r="P47" i="13" s="1"/>
  <c r="F46" i="13"/>
  <c r="H46" i="13" s="1"/>
  <c r="P46" i="13" s="1"/>
  <c r="F45" i="13"/>
  <c r="H45" i="13" s="1"/>
  <c r="P45" i="13" s="1"/>
  <c r="F44" i="13"/>
  <c r="H44" i="13" s="1"/>
  <c r="P44" i="13" s="1"/>
  <c r="F43" i="13"/>
  <c r="H43" i="13" s="1"/>
  <c r="P43" i="13" s="1"/>
  <c r="F42" i="13"/>
  <c r="H42" i="13" s="1"/>
  <c r="P42" i="13" s="1"/>
  <c r="F41" i="13"/>
  <c r="H41" i="13" s="1"/>
  <c r="P41" i="13" s="1"/>
  <c r="F40" i="13"/>
  <c r="H40" i="13" s="1"/>
  <c r="P40" i="13" s="1"/>
  <c r="F39" i="13"/>
  <c r="H39" i="13" s="1"/>
  <c r="P39" i="13" s="1"/>
  <c r="F38" i="13"/>
  <c r="H38" i="13" s="1"/>
  <c r="P38" i="13" s="1"/>
  <c r="F37" i="13"/>
  <c r="H37" i="13" s="1"/>
  <c r="P37" i="13" s="1"/>
  <c r="F36" i="13"/>
  <c r="H36" i="13" s="1"/>
  <c r="P36" i="13" s="1"/>
  <c r="F35" i="13"/>
  <c r="H35" i="13" s="1"/>
  <c r="P35" i="13" s="1"/>
  <c r="F34" i="13"/>
  <c r="H34" i="13" s="1"/>
  <c r="P34" i="13" s="1"/>
  <c r="F33" i="13"/>
  <c r="H33" i="13" s="1"/>
  <c r="P33" i="13" s="1"/>
  <c r="F32" i="13"/>
  <c r="H32" i="13" s="1"/>
  <c r="P32" i="13" s="1"/>
  <c r="F31" i="13"/>
  <c r="H31" i="13" s="1"/>
  <c r="P31" i="13" s="1"/>
  <c r="F30" i="13"/>
  <c r="H30" i="13" s="1"/>
  <c r="P30" i="13" s="1"/>
  <c r="F29" i="13"/>
  <c r="H29" i="13" s="1"/>
  <c r="P29" i="13" s="1"/>
  <c r="F28" i="13"/>
  <c r="H28" i="13" s="1"/>
  <c r="P28" i="13" s="1"/>
  <c r="F27" i="13"/>
  <c r="H27" i="13" s="1"/>
  <c r="P27" i="13" s="1"/>
  <c r="F26" i="13"/>
  <c r="H26" i="13" s="1"/>
  <c r="P26" i="13" s="1"/>
  <c r="F25" i="13"/>
  <c r="H25" i="13" s="1"/>
  <c r="P25" i="13" s="1"/>
  <c r="F24" i="13"/>
  <c r="H24" i="13" s="1"/>
  <c r="P24" i="13" s="1"/>
  <c r="F23" i="13"/>
  <c r="H23" i="13" s="1"/>
  <c r="P23" i="13" s="1"/>
  <c r="F22" i="13"/>
  <c r="H22" i="13" s="1"/>
  <c r="P22" i="13" s="1"/>
  <c r="F21" i="13"/>
  <c r="H21" i="13" s="1"/>
  <c r="P21" i="13" s="1"/>
  <c r="F20" i="13"/>
  <c r="H20" i="13" s="1"/>
  <c r="P20" i="13" s="1"/>
  <c r="F19" i="13"/>
  <c r="H19" i="13" s="1"/>
  <c r="P19" i="13" s="1"/>
  <c r="F18" i="13"/>
  <c r="H18" i="13" s="1"/>
  <c r="P18" i="13" s="1"/>
  <c r="F17" i="13"/>
  <c r="H17" i="13" s="1"/>
  <c r="P17" i="13" s="1"/>
  <c r="F16" i="13"/>
  <c r="H16" i="13" s="1"/>
  <c r="P16" i="13" s="1"/>
  <c r="F15" i="13"/>
  <c r="H15" i="13" s="1"/>
  <c r="P15" i="13" s="1"/>
  <c r="F14" i="13"/>
  <c r="H14" i="13" s="1"/>
  <c r="P14" i="13" s="1"/>
  <c r="F13" i="13"/>
  <c r="H13" i="13" s="1"/>
  <c r="P13" i="13" s="1"/>
  <c r="F12" i="13"/>
  <c r="H12" i="13" s="1"/>
  <c r="P12" i="13" s="1"/>
  <c r="F11" i="13"/>
  <c r="H11" i="13" s="1"/>
  <c r="P11" i="13" s="1"/>
  <c r="F27" i="2"/>
  <c r="F36" i="15" l="1"/>
  <c r="I163" i="7"/>
  <c r="F30" i="7"/>
  <c r="H66" i="13"/>
  <c r="P66" i="13" s="1"/>
  <c r="F30" i="5"/>
  <c r="G36" i="15" l="1"/>
  <c r="F39" i="15"/>
  <c r="P68" i="8"/>
  <c r="F156" i="2"/>
  <c r="Q68" i="8" l="1"/>
  <c r="G39" i="15"/>
  <c r="R68" i="8" s="1"/>
  <c r="H36" i="15"/>
  <c r="H47" i="10"/>
  <c r="G47" i="10"/>
  <c r="F47" i="10"/>
  <c r="E47" i="10"/>
  <c r="D47" i="10"/>
  <c r="E104" i="10"/>
  <c r="F104" i="10" s="1"/>
  <c r="G104" i="10" s="1"/>
  <c r="H104" i="10" s="1"/>
  <c r="E103" i="10"/>
  <c r="F103" i="10" s="1"/>
  <c r="G103" i="10" s="1"/>
  <c r="H103" i="10" s="1"/>
  <c r="D102" i="10"/>
  <c r="E102" i="10" s="1"/>
  <c r="F102" i="10" s="1"/>
  <c r="G102" i="10" s="1"/>
  <c r="H102" i="10" s="1"/>
  <c r="E65" i="10"/>
  <c r="F65" i="10" s="1"/>
  <c r="G65" i="10" s="1"/>
  <c r="H65" i="10" s="1"/>
  <c r="E64" i="10"/>
  <c r="F64" i="10" s="1"/>
  <c r="G64" i="10" s="1"/>
  <c r="H64" i="10" s="1"/>
  <c r="D63" i="10"/>
  <c r="E63" i="10" s="1"/>
  <c r="F63" i="10" s="1"/>
  <c r="G63" i="10" s="1"/>
  <c r="H63" i="10" s="1"/>
  <c r="H40" i="10"/>
  <c r="H82" i="10" s="1"/>
  <c r="G40" i="10"/>
  <c r="G82" i="10" s="1"/>
  <c r="F40" i="10"/>
  <c r="F82" i="10" s="1"/>
  <c r="E40" i="10"/>
  <c r="E82" i="10" s="1"/>
  <c r="D40" i="10"/>
  <c r="D82" i="10" s="1"/>
  <c r="H39" i="15" l="1"/>
  <c r="S68" i="8" s="1"/>
  <c r="I36" i="15"/>
  <c r="I39" i="15" s="1"/>
  <c r="T68" i="8" s="1"/>
  <c r="I176" i="7"/>
  <c r="I175" i="7"/>
  <c r="I174" i="7"/>
  <c r="I164" i="7"/>
  <c r="I165" i="7" s="1"/>
  <c r="I82" i="7"/>
  <c r="H82" i="7"/>
  <c r="U68" i="8" l="1"/>
  <c r="J82" i="7"/>
  <c r="J92" i="7" s="1"/>
  <c r="J80" i="8" l="1"/>
  <c r="I80" i="8"/>
  <c r="H80" i="8"/>
  <c r="G80" i="8"/>
  <c r="F80" i="8"/>
  <c r="F119" i="8" s="1"/>
  <c r="J77" i="8"/>
  <c r="I77" i="8"/>
  <c r="H77" i="8"/>
  <c r="G77" i="8"/>
  <c r="F77" i="8"/>
  <c r="J76" i="8"/>
  <c r="I76" i="8"/>
  <c r="H76" i="8"/>
  <c r="G76" i="8"/>
  <c r="F76" i="8"/>
  <c r="J75" i="8"/>
  <c r="I75" i="8"/>
  <c r="H75" i="8"/>
  <c r="G75" i="8"/>
  <c r="F75" i="8"/>
  <c r="I72" i="8"/>
  <c r="H72" i="8"/>
  <c r="G72" i="8"/>
  <c r="F72" i="8"/>
  <c r="J71" i="8"/>
  <c r="I71" i="8"/>
  <c r="H71" i="8"/>
  <c r="G71" i="8"/>
  <c r="F71" i="8"/>
  <c r="J69" i="8"/>
  <c r="I69" i="8"/>
  <c r="H69" i="8"/>
  <c r="G69" i="8"/>
  <c r="F69" i="8"/>
  <c r="J68" i="8"/>
  <c r="I68" i="8"/>
  <c r="H68" i="8"/>
  <c r="G68" i="8"/>
  <c r="F68" i="8"/>
  <c r="F70" i="8" l="1"/>
  <c r="F142" i="8" s="1"/>
  <c r="AA93" i="1"/>
  <c r="J159" i="8" l="1"/>
  <c r="J157" i="8"/>
  <c r="F128" i="8"/>
  <c r="G128" i="8"/>
  <c r="H128" i="8"/>
  <c r="I128" i="8"/>
  <c r="J128" i="8"/>
  <c r="K128" i="8"/>
  <c r="L128" i="8"/>
  <c r="M128" i="8"/>
  <c r="N128" i="8"/>
  <c r="O128" i="8"/>
  <c r="J120" i="8"/>
  <c r="I120" i="8"/>
  <c r="H120" i="8"/>
  <c r="G120" i="8"/>
  <c r="F120" i="8"/>
  <c r="G119" i="8"/>
  <c r="H119" i="8"/>
  <c r="I119" i="8"/>
  <c r="J119" i="8"/>
  <c r="F112" i="8"/>
  <c r="I82" i="5" l="1"/>
  <c r="P88" i="1" l="1"/>
  <c r="J105" i="1" l="1"/>
  <c r="I85" i="2" s="1"/>
  <c r="I86" i="8" s="1"/>
  <c r="I105" i="1"/>
  <c r="H85" i="2" s="1"/>
  <c r="H86" i="8" s="1"/>
  <c r="H105" i="1"/>
  <c r="G85" i="2" s="1"/>
  <c r="G86" i="8" s="1"/>
  <c r="G105" i="1"/>
  <c r="F85" i="2" s="1"/>
  <c r="F86" i="8" s="1"/>
  <c r="K105" i="1"/>
  <c r="J85" i="2" s="1"/>
  <c r="J86" i="8" s="1"/>
  <c r="J106" i="1"/>
  <c r="I86" i="2" s="1"/>
  <c r="I87" i="8" s="1"/>
  <c r="I127" i="8" s="1"/>
  <c r="I106" i="1"/>
  <c r="H86" i="2" s="1"/>
  <c r="H87" i="8" s="1"/>
  <c r="H127" i="8" s="1"/>
  <c r="H106" i="1"/>
  <c r="G86" i="2" s="1"/>
  <c r="G87" i="8" s="1"/>
  <c r="G127" i="8" s="1"/>
  <c r="G106" i="1"/>
  <c r="F86" i="2" s="1"/>
  <c r="F87" i="8" s="1"/>
  <c r="K106" i="1"/>
  <c r="J86" i="2" s="1"/>
  <c r="J87" i="8" s="1"/>
  <c r="K86" i="8" l="1"/>
  <c r="F127" i="8"/>
  <c r="K87" i="8"/>
  <c r="G126" i="8"/>
  <c r="F64" i="7"/>
  <c r="J127" i="8"/>
  <c r="H126" i="8"/>
  <c r="F63" i="7"/>
  <c r="J126" i="8"/>
  <c r="I126" i="8"/>
  <c r="G63" i="7"/>
  <c r="F126" i="8"/>
  <c r="K63" i="1"/>
  <c r="L86" i="8" l="1"/>
  <c r="H63" i="7" s="1"/>
  <c r="M86" i="8" l="1"/>
  <c r="I63" i="7" l="1"/>
  <c r="N86" i="8"/>
  <c r="K25" i="1"/>
  <c r="I25" i="1"/>
  <c r="H25" i="1"/>
  <c r="G25" i="1"/>
  <c r="F43" i="8" s="1"/>
  <c r="J25" i="1"/>
  <c r="I38" i="1"/>
  <c r="H38" i="1"/>
  <c r="K52" i="1"/>
  <c r="J52" i="1"/>
  <c r="I52" i="1"/>
  <c r="H52" i="1"/>
  <c r="G52" i="1"/>
  <c r="J63" i="7" l="1"/>
  <c r="O86" i="8"/>
  <c r="G64" i="7"/>
  <c r="K126" i="8"/>
  <c r="J70" i="8"/>
  <c r="J73" i="8" s="1"/>
  <c r="I175" i="5"/>
  <c r="J175" i="5"/>
  <c r="K175" i="5" l="1"/>
  <c r="L87" i="8"/>
  <c r="M87" i="8" s="1"/>
  <c r="K127" i="8"/>
  <c r="J142" i="8"/>
  <c r="I164" i="5"/>
  <c r="I165" i="5" s="1"/>
  <c r="H82" i="5"/>
  <c r="J82" i="5" s="1"/>
  <c r="J92" i="5" s="1"/>
  <c r="G65" i="5"/>
  <c r="H65" i="5"/>
  <c r="I65" i="5"/>
  <c r="J65" i="5"/>
  <c r="X17" i="2"/>
  <c r="X18" i="2" s="1"/>
  <c r="Y17" i="2"/>
  <c r="Z17" i="2"/>
  <c r="AA17" i="2"/>
  <c r="AB17" i="2"/>
  <c r="M127" i="8" l="1"/>
  <c r="I64" i="7"/>
  <c r="L127" i="8"/>
  <c r="H64" i="7"/>
  <c r="M126" i="8"/>
  <c r="L126" i="8"/>
  <c r="Y16" i="2"/>
  <c r="Z16" i="2"/>
  <c r="AA16" i="2"/>
  <c r="AB16" i="2"/>
  <c r="N87" i="8"/>
  <c r="J64" i="7" s="1"/>
  <c r="O87" i="8" l="1"/>
  <c r="O127" i="8" s="1"/>
  <c r="N127" i="8"/>
  <c r="O126" i="8"/>
  <c r="N126" i="8"/>
  <c r="L101" i="5"/>
  <c r="A84" i="7" s="1"/>
  <c r="S17" i="2"/>
  <c r="T17" i="2"/>
  <c r="U17" i="2"/>
  <c r="V17" i="2"/>
  <c r="W17" i="2"/>
  <c r="L101" i="7" l="1"/>
  <c r="G118" i="2"/>
  <c r="H118" i="2"/>
  <c r="I118" i="2"/>
  <c r="J118" i="2"/>
  <c r="G119" i="2"/>
  <c r="H119" i="2"/>
  <c r="I119" i="2"/>
  <c r="J119" i="2"/>
  <c r="G125" i="2"/>
  <c r="H125" i="2"/>
  <c r="I125" i="2"/>
  <c r="J125" i="2"/>
  <c r="G126" i="2"/>
  <c r="H126" i="2"/>
  <c r="I126" i="2"/>
  <c r="J126" i="2"/>
  <c r="F126" i="2"/>
  <c r="F125" i="2"/>
  <c r="F119" i="2"/>
  <c r="F118" i="2"/>
  <c r="I70" i="8" l="1"/>
  <c r="H70" i="8"/>
  <c r="G70" i="8"/>
  <c r="G73" i="8" s="1"/>
  <c r="J55" i="8"/>
  <c r="K55" i="8" s="1"/>
  <c r="L55" i="8" s="1"/>
  <c r="I55" i="8"/>
  <c r="H55" i="8"/>
  <c r="G55" i="8"/>
  <c r="F55" i="8"/>
  <c r="J52" i="8"/>
  <c r="I52" i="8"/>
  <c r="I160" i="8" s="1"/>
  <c r="H52" i="8"/>
  <c r="H160" i="8" s="1"/>
  <c r="G52" i="8"/>
  <c r="G160" i="8" s="1"/>
  <c r="F52" i="8"/>
  <c r="F160" i="8" s="1"/>
  <c r="J51" i="8"/>
  <c r="K51" i="8" s="1"/>
  <c r="L51" i="8" s="1"/>
  <c r="M51" i="8" s="1"/>
  <c r="N51" i="8" s="1"/>
  <c r="O51" i="8" s="1"/>
  <c r="I51" i="8"/>
  <c r="H51" i="8"/>
  <c r="G51" i="8"/>
  <c r="F51" i="8"/>
  <c r="J45" i="8"/>
  <c r="K45" i="8" s="1"/>
  <c r="L45" i="8" s="1"/>
  <c r="I45" i="8"/>
  <c r="H45" i="8"/>
  <c r="G45" i="8"/>
  <c r="F45" i="8"/>
  <c r="J42" i="8"/>
  <c r="K42" i="8" s="1"/>
  <c r="L42" i="8" s="1"/>
  <c r="I42" i="8"/>
  <c r="I158" i="8" s="1"/>
  <c r="H42" i="8"/>
  <c r="H158" i="8" s="1"/>
  <c r="G42" i="8"/>
  <c r="G158" i="8" s="1"/>
  <c r="F42" i="8"/>
  <c r="F158" i="8" s="1"/>
  <c r="I41" i="8"/>
  <c r="H41" i="8"/>
  <c r="G41" i="8"/>
  <c r="F41" i="8"/>
  <c r="I27" i="8"/>
  <c r="H27" i="8"/>
  <c r="G27" i="8"/>
  <c r="F27" i="8"/>
  <c r="J24" i="8"/>
  <c r="I24" i="8"/>
  <c r="H24" i="8"/>
  <c r="G24" i="8"/>
  <c r="G38" i="8" s="1"/>
  <c r="F24" i="8"/>
  <c r="F38" i="8" s="1"/>
  <c r="A6" i="8"/>
  <c r="F109" i="8" l="1"/>
  <c r="F111" i="8" s="1"/>
  <c r="F113" i="8" s="1"/>
  <c r="L132" i="8"/>
  <c r="M45" i="8"/>
  <c r="N45" i="8" s="1"/>
  <c r="O45" i="8" s="1"/>
  <c r="G132" i="8"/>
  <c r="J160" i="8"/>
  <c r="K52" i="8"/>
  <c r="L52" i="8" s="1"/>
  <c r="H132" i="8"/>
  <c r="I109" i="8"/>
  <c r="I159" i="8"/>
  <c r="I161" i="8" s="1"/>
  <c r="I157" i="8"/>
  <c r="F159" i="8"/>
  <c r="F161" i="8" s="1"/>
  <c r="F157" i="8"/>
  <c r="J158" i="8"/>
  <c r="J161" i="8" s="1"/>
  <c r="J109" i="8"/>
  <c r="I132" i="8"/>
  <c r="G159" i="8"/>
  <c r="G161" i="8" s="1"/>
  <c r="G157" i="8"/>
  <c r="G109" i="8"/>
  <c r="J132" i="8"/>
  <c r="H157" i="8"/>
  <c r="H159" i="8"/>
  <c r="H161" i="8" s="1"/>
  <c r="H109" i="8"/>
  <c r="G142" i="8"/>
  <c r="H142" i="8"/>
  <c r="I142" i="8"/>
  <c r="I73" i="8"/>
  <c r="I79" i="8" s="1"/>
  <c r="I81" i="8" s="1"/>
  <c r="G79" i="8"/>
  <c r="G81" i="8" s="1"/>
  <c r="H73" i="8"/>
  <c r="F73" i="8"/>
  <c r="H38" i="8"/>
  <c r="K24" i="8"/>
  <c r="I38" i="8"/>
  <c r="J38" i="8"/>
  <c r="G110" i="8" l="1"/>
  <c r="G111" i="8"/>
  <c r="G113" i="8" s="1"/>
  <c r="H111" i="8"/>
  <c r="H113" i="8" s="1"/>
  <c r="H110" i="8"/>
  <c r="F143" i="8"/>
  <c r="F79" i="8"/>
  <c r="F81" i="8" s="1"/>
  <c r="J111" i="8"/>
  <c r="J113" i="8" s="1"/>
  <c r="J110" i="8"/>
  <c r="I111" i="8"/>
  <c r="I113" i="8" s="1"/>
  <c r="I110" i="8"/>
  <c r="I118" i="8"/>
  <c r="I105" i="8"/>
  <c r="I107" i="8" s="1"/>
  <c r="I144" i="8"/>
  <c r="I166" i="8"/>
  <c r="G105" i="8"/>
  <c r="G107" i="8" s="1"/>
  <c r="G166" i="8"/>
  <c r="G118" i="8"/>
  <c r="G144" i="8"/>
  <c r="H79" i="8"/>
  <c r="H81" i="8" s="1"/>
  <c r="H106" i="8"/>
  <c r="H108" i="8" s="1"/>
  <c r="H143" i="8"/>
  <c r="I99" i="8"/>
  <c r="I143" i="8"/>
  <c r="I106" i="8"/>
  <c r="I108" i="8" s="1"/>
  <c r="G143" i="8"/>
  <c r="G99" i="8"/>
  <c r="G106" i="8"/>
  <c r="G108" i="8" s="1"/>
  <c r="J79" i="8"/>
  <c r="J81" i="8" s="1"/>
  <c r="J106" i="8"/>
  <c r="J108" i="8" s="1"/>
  <c r="J143" i="8"/>
  <c r="F106" i="8"/>
  <c r="F108" i="8" s="1"/>
  <c r="K38" i="8"/>
  <c r="K66" i="8" s="1"/>
  <c r="P66" i="8" s="1"/>
  <c r="L24" i="8"/>
  <c r="I131" i="8" l="1"/>
  <c r="I133" i="8" s="1"/>
  <c r="I112" i="8"/>
  <c r="H99" i="8"/>
  <c r="J131" i="8"/>
  <c r="J133" i="8" s="1"/>
  <c r="J112" i="8"/>
  <c r="H131" i="8"/>
  <c r="H133" i="8" s="1"/>
  <c r="H112" i="8"/>
  <c r="G112" i="8"/>
  <c r="G131" i="8"/>
  <c r="G133" i="8" s="1"/>
  <c r="J144" i="8"/>
  <c r="J166" i="8"/>
  <c r="J118" i="8"/>
  <c r="J105" i="8"/>
  <c r="J107" i="8" s="1"/>
  <c r="H166" i="8"/>
  <c r="H144" i="8"/>
  <c r="H118" i="8"/>
  <c r="H105" i="8"/>
  <c r="H107" i="8" s="1"/>
  <c r="J99" i="8"/>
  <c r="F105" i="8"/>
  <c r="F107" i="8" s="1"/>
  <c r="F166" i="8"/>
  <c r="F144" i="8"/>
  <c r="F118" i="8"/>
  <c r="F99" i="8"/>
  <c r="K85" i="8"/>
  <c r="K97" i="8" s="1"/>
  <c r="K104" i="8" s="1"/>
  <c r="K117" i="8" s="1"/>
  <c r="K140" i="8" s="1"/>
  <c r="K165" i="8" s="1"/>
  <c r="F32" i="7"/>
  <c r="L38" i="8"/>
  <c r="L66" i="8" s="1"/>
  <c r="Q66" i="8" s="1"/>
  <c r="M24" i="8"/>
  <c r="L85" i="8" l="1"/>
  <c r="L97" i="8" s="1"/>
  <c r="L104" i="8" s="1"/>
  <c r="L117" i="8" s="1"/>
  <c r="L140" i="8" s="1"/>
  <c r="L165" i="8" s="1"/>
  <c r="G32" i="7"/>
  <c r="N24" i="8"/>
  <c r="M38" i="8"/>
  <c r="M66" i="8" s="1"/>
  <c r="R66" i="8" s="1"/>
  <c r="M85" i="8" l="1"/>
  <c r="M97" i="8" s="1"/>
  <c r="M104" i="8" s="1"/>
  <c r="M117" i="8" s="1"/>
  <c r="M140" i="8" s="1"/>
  <c r="M165" i="8" s="1"/>
  <c r="H32" i="7"/>
  <c r="O24" i="8"/>
  <c r="N38" i="8"/>
  <c r="N66" i="8" s="1"/>
  <c r="S66" i="8" s="1"/>
  <c r="N85" i="8" l="1"/>
  <c r="N97" i="8" s="1"/>
  <c r="N104" i="8" s="1"/>
  <c r="N117" i="8" s="1"/>
  <c r="N140" i="8" s="1"/>
  <c r="N165" i="8" s="1"/>
  <c r="I32" i="7"/>
  <c r="O38" i="8"/>
  <c r="O66" i="8" s="1"/>
  <c r="T66" i="8" s="1"/>
  <c r="O85" i="8" l="1"/>
  <c r="O97" i="8" s="1"/>
  <c r="O104" i="8" s="1"/>
  <c r="O117" i="8" s="1"/>
  <c r="O140" i="8" s="1"/>
  <c r="O165" i="8" s="1"/>
  <c r="J32" i="7"/>
  <c r="G27" i="2"/>
  <c r="H27" i="2"/>
  <c r="I27" i="2"/>
  <c r="J27" i="2"/>
  <c r="K132" i="8" l="1"/>
  <c r="F69" i="7" s="1"/>
  <c r="AA94" i="1" l="1"/>
  <c r="W90" i="1"/>
  <c r="F14" i="5"/>
  <c r="F14" i="7" s="1"/>
  <c r="W91" i="1" l="1"/>
  <c r="F20" i="5"/>
  <c r="F17" i="5"/>
  <c r="F17" i="7" s="1"/>
  <c r="F11" i="5"/>
  <c r="F11" i="7" s="1"/>
  <c r="F10" i="5"/>
  <c r="F10" i="7" s="1"/>
  <c r="F20" i="7" l="1"/>
  <c r="F24" i="2"/>
  <c r="S15" i="2" s="1"/>
  <c r="G24" i="2"/>
  <c r="H24" i="2"/>
  <c r="I24" i="2"/>
  <c r="J24" i="2"/>
  <c r="F9" i="7" s="1"/>
  <c r="G38" i="2" l="1"/>
  <c r="T15" i="2"/>
  <c r="K24" i="2"/>
  <c r="F54" i="7" s="1"/>
  <c r="J38" i="2"/>
  <c r="F38" i="2"/>
  <c r="W15" i="2"/>
  <c r="I38" i="2"/>
  <c r="F9" i="5"/>
  <c r="V15" i="2"/>
  <c r="H38" i="2"/>
  <c r="U15" i="2"/>
  <c r="F128" i="7" l="1"/>
  <c r="F138" i="7" s="1"/>
  <c r="F96" i="7"/>
  <c r="L24" i="2"/>
  <c r="G54" i="7" s="1"/>
  <c r="F54" i="5"/>
  <c r="K38" i="2"/>
  <c r="X15" i="2"/>
  <c r="A6" i="2"/>
  <c r="K86" i="2"/>
  <c r="K126" i="2" s="1"/>
  <c r="F64" i="5" s="1"/>
  <c r="K85" i="2"/>
  <c r="K125" i="2" s="1"/>
  <c r="F63" i="5" s="1"/>
  <c r="Y15" i="2" l="1"/>
  <c r="L38" i="2"/>
  <c r="G32" i="5" s="1"/>
  <c r="M24" i="2"/>
  <c r="H54" i="7" s="1"/>
  <c r="H96" i="7" s="1"/>
  <c r="G96" i="7"/>
  <c r="G128" i="7"/>
  <c r="G138" i="7" s="1"/>
  <c r="F32" i="5"/>
  <c r="L85" i="2"/>
  <c r="L125" i="2" s="1"/>
  <c r="G63" i="5" s="1"/>
  <c r="G54" i="5"/>
  <c r="L86" i="2"/>
  <c r="L126" i="2" s="1"/>
  <c r="G64" i="5" s="1"/>
  <c r="F50" i="2"/>
  <c r="G50" i="2"/>
  <c r="H50" i="2"/>
  <c r="I50" i="2"/>
  <c r="J50" i="2"/>
  <c r="F51" i="2"/>
  <c r="F159" i="2" s="1"/>
  <c r="G51" i="2"/>
  <c r="G159" i="2" s="1"/>
  <c r="H51" i="2"/>
  <c r="H159" i="2" s="1"/>
  <c r="I51" i="2"/>
  <c r="I159" i="2" s="1"/>
  <c r="J51" i="2"/>
  <c r="J159" i="2" s="1"/>
  <c r="F54" i="2"/>
  <c r="G54" i="2"/>
  <c r="H54" i="2"/>
  <c r="I54" i="2"/>
  <c r="J54" i="2"/>
  <c r="G40" i="2"/>
  <c r="H40" i="2"/>
  <c r="I40" i="2"/>
  <c r="J40" i="2"/>
  <c r="K40" i="2" s="1"/>
  <c r="L40" i="2" s="1"/>
  <c r="M40" i="2" s="1"/>
  <c r="N40" i="2" s="1"/>
  <c r="O40" i="2" s="1"/>
  <c r="F41" i="2"/>
  <c r="G41" i="2"/>
  <c r="G157" i="2" s="1"/>
  <c r="H41" i="2"/>
  <c r="H157" i="2" s="1"/>
  <c r="I41" i="2"/>
  <c r="I157" i="2" s="1"/>
  <c r="J41" i="2"/>
  <c r="J157" i="2" s="1"/>
  <c r="F44" i="2"/>
  <c r="F111" i="2" s="1"/>
  <c r="G44" i="2"/>
  <c r="H44" i="2"/>
  <c r="I44" i="2"/>
  <c r="I111" i="2" s="1"/>
  <c r="J44" i="2"/>
  <c r="J69" i="2"/>
  <c r="I69" i="2"/>
  <c r="H69" i="2"/>
  <c r="G69" i="2"/>
  <c r="F69" i="2"/>
  <c r="F141" i="2" s="1"/>
  <c r="F33" i="5" l="1"/>
  <c r="F157" i="2"/>
  <c r="F108" i="2"/>
  <c r="J108" i="2"/>
  <c r="K156" i="2"/>
  <c r="J111" i="2"/>
  <c r="J131" i="2"/>
  <c r="F113" i="7"/>
  <c r="F33" i="7"/>
  <c r="H128" i="7"/>
  <c r="H138" i="7" s="1"/>
  <c r="Z15" i="2"/>
  <c r="H54" i="5"/>
  <c r="N24" i="2"/>
  <c r="I54" i="7" s="1"/>
  <c r="I96" i="7" s="1"/>
  <c r="M38" i="2"/>
  <c r="H32" i="5" s="1"/>
  <c r="F113" i="5"/>
  <c r="M85" i="2"/>
  <c r="M125" i="2" s="1"/>
  <c r="H63" i="5" s="1"/>
  <c r="I156" i="2"/>
  <c r="I158" i="2"/>
  <c r="I160" i="2" s="1"/>
  <c r="J156" i="2"/>
  <c r="J158" i="2"/>
  <c r="J160" i="2" s="1"/>
  <c r="H156" i="2"/>
  <c r="H158" i="2"/>
  <c r="H160" i="2" s="1"/>
  <c r="F158" i="2"/>
  <c r="F160" i="2" s="1"/>
  <c r="G156" i="2"/>
  <c r="G158" i="2"/>
  <c r="G160" i="2" s="1"/>
  <c r="I72" i="2"/>
  <c r="I142" i="2" s="1"/>
  <c r="I141" i="2"/>
  <c r="J72" i="2"/>
  <c r="J142" i="2" s="1"/>
  <c r="J141" i="2"/>
  <c r="H111" i="2"/>
  <c r="H131" i="2"/>
  <c r="F72" i="2"/>
  <c r="F105" i="2" s="1"/>
  <c r="F107" i="2" s="1"/>
  <c r="I131" i="2"/>
  <c r="G72" i="2"/>
  <c r="G142" i="2" s="1"/>
  <c r="G141" i="2"/>
  <c r="H72" i="2"/>
  <c r="H142" i="2" s="1"/>
  <c r="H141" i="2"/>
  <c r="G111" i="2"/>
  <c r="G131" i="2"/>
  <c r="G108" i="2"/>
  <c r="H108" i="2"/>
  <c r="I108" i="2"/>
  <c r="AA15" i="2"/>
  <c r="O24" i="2"/>
  <c r="J54" i="7" s="1"/>
  <c r="M86" i="2"/>
  <c r="I109" i="2" l="1"/>
  <c r="G109" i="2"/>
  <c r="G130" i="2"/>
  <c r="G132" i="2" s="1"/>
  <c r="I54" i="5"/>
  <c r="I105" i="2"/>
  <c r="I107" i="2" s="1"/>
  <c r="D46" i="10"/>
  <c r="H109" i="2"/>
  <c r="J109" i="2"/>
  <c r="J130" i="2"/>
  <c r="J132" i="2" s="1"/>
  <c r="F142" i="2"/>
  <c r="F110" i="2"/>
  <c r="F112" i="2" s="1"/>
  <c r="J105" i="2"/>
  <c r="H46" i="10" s="1"/>
  <c r="F78" i="2"/>
  <c r="F80" i="2" s="1"/>
  <c r="N85" i="2"/>
  <c r="N125" i="2" s="1"/>
  <c r="I63" i="5" s="1"/>
  <c r="I128" i="7"/>
  <c r="I138" i="7" s="1"/>
  <c r="N38" i="2"/>
  <c r="I32" i="5" s="1"/>
  <c r="J78" i="2"/>
  <c r="J80" i="2" s="1"/>
  <c r="J165" i="2" s="1"/>
  <c r="I130" i="2"/>
  <c r="I132" i="2" s="1"/>
  <c r="I78" i="2"/>
  <c r="I80" i="2" s="1"/>
  <c r="I165" i="2" s="1"/>
  <c r="G105" i="2"/>
  <c r="G78" i="2"/>
  <c r="G80" i="2" s="1"/>
  <c r="G110" i="2"/>
  <c r="N86" i="2"/>
  <c r="N126" i="2" s="1"/>
  <c r="I64" i="5" s="1"/>
  <c r="M126" i="2"/>
  <c r="H64" i="5" s="1"/>
  <c r="J79" i="7"/>
  <c r="J128" i="7"/>
  <c r="J138" i="7" s="1"/>
  <c r="J96" i="7"/>
  <c r="H105" i="2"/>
  <c r="H78" i="2"/>
  <c r="H80" i="2" s="1"/>
  <c r="H165" i="2" s="1"/>
  <c r="H130" i="2"/>
  <c r="H132" i="2" s="1"/>
  <c r="J54" i="5"/>
  <c r="H110" i="2"/>
  <c r="I110" i="2"/>
  <c r="J110" i="2"/>
  <c r="O38" i="2"/>
  <c r="J32" i="5" s="1"/>
  <c r="AB15" i="2"/>
  <c r="G165" i="2" l="1"/>
  <c r="G46" i="10"/>
  <c r="G88" i="10" s="1"/>
  <c r="F104" i="2"/>
  <c r="F106" i="2" s="1"/>
  <c r="F117" i="2"/>
  <c r="I174" i="5"/>
  <c r="I117" i="2"/>
  <c r="I120" i="2" s="1"/>
  <c r="I122" i="2" s="1"/>
  <c r="I123" i="2" s="1"/>
  <c r="I128" i="2" s="1"/>
  <c r="I134" i="2" s="1"/>
  <c r="F196" i="7" s="1"/>
  <c r="J107" i="2"/>
  <c r="J112" i="2" s="1"/>
  <c r="J174" i="5"/>
  <c r="I112" i="2"/>
  <c r="J98" i="2"/>
  <c r="F143" i="2"/>
  <c r="F120" i="2"/>
  <c r="F122" i="2" s="1"/>
  <c r="F123" i="2" s="1"/>
  <c r="F128" i="2" s="1"/>
  <c r="O85" i="2"/>
  <c r="O125" i="2" s="1"/>
  <c r="J63" i="5" s="1"/>
  <c r="F165" i="2"/>
  <c r="F98" i="2"/>
  <c r="H107" i="2"/>
  <c r="H112" i="2" s="1"/>
  <c r="F46" i="10"/>
  <c r="G107" i="2"/>
  <c r="G112" i="2" s="1"/>
  <c r="E46" i="10"/>
  <c r="H88" i="10"/>
  <c r="D88" i="10"/>
  <c r="I104" i="2"/>
  <c r="I106" i="2" s="1"/>
  <c r="I98" i="2"/>
  <c r="I143" i="2"/>
  <c r="H104" i="2"/>
  <c r="H106" i="2" s="1"/>
  <c r="G117" i="2"/>
  <c r="G120" i="2" s="1"/>
  <c r="G122" i="2" s="1"/>
  <c r="G123" i="2" s="1"/>
  <c r="G143" i="2"/>
  <c r="G104" i="2"/>
  <c r="G106" i="2" s="1"/>
  <c r="J104" i="2"/>
  <c r="J106" i="2" s="1"/>
  <c r="G98" i="2"/>
  <c r="H98" i="2"/>
  <c r="O86" i="2"/>
  <c r="O126" i="2" s="1"/>
  <c r="J64" i="5" s="1"/>
  <c r="H143" i="2"/>
  <c r="H117" i="2"/>
  <c r="H120" i="2" s="1"/>
  <c r="H122" i="2" s="1"/>
  <c r="H123" i="2" s="1"/>
  <c r="H128" i="2" s="1"/>
  <c r="H134" i="2" s="1"/>
  <c r="E196" i="7" s="1"/>
  <c r="J143" i="2"/>
  <c r="J117" i="2"/>
  <c r="J120" i="2" s="1"/>
  <c r="G89" i="1"/>
  <c r="H89" i="1"/>
  <c r="H92" i="1" s="1"/>
  <c r="I89" i="1"/>
  <c r="I92" i="1" s="1"/>
  <c r="J89" i="1"/>
  <c r="K89" i="1"/>
  <c r="G63" i="1"/>
  <c r="H63" i="1"/>
  <c r="I63" i="1"/>
  <c r="J63" i="1"/>
  <c r="G38" i="1"/>
  <c r="F46" i="8" s="1"/>
  <c r="G46" i="8"/>
  <c r="H46" i="8"/>
  <c r="J38" i="1"/>
  <c r="I46" i="8" s="1"/>
  <c r="K38" i="1"/>
  <c r="J46" i="8" s="1"/>
  <c r="K46" i="8" s="1"/>
  <c r="L46" i="8" s="1"/>
  <c r="M46" i="8" s="1"/>
  <c r="N46" i="8" s="1"/>
  <c r="O46" i="8" s="1"/>
  <c r="G43" i="8"/>
  <c r="H43" i="8"/>
  <c r="I43" i="8"/>
  <c r="J43" i="8"/>
  <c r="K92" i="1" l="1"/>
  <c r="K98" i="1" s="1"/>
  <c r="K100" i="1" s="1"/>
  <c r="J92" i="1"/>
  <c r="J98" i="1" s="1"/>
  <c r="J100" i="1" s="1"/>
  <c r="K43" i="8"/>
  <c r="L43" i="8" s="1"/>
  <c r="M43" i="8" s="1"/>
  <c r="N43" i="8" s="1"/>
  <c r="O43" i="8" s="1"/>
  <c r="J75" i="1"/>
  <c r="I60" i="8" s="1"/>
  <c r="G45" i="10"/>
  <c r="G87" i="10" s="1"/>
  <c r="J100" i="8"/>
  <c r="J101" i="8" s="1"/>
  <c r="F100" i="8"/>
  <c r="F101" i="8" s="1"/>
  <c r="I98" i="1"/>
  <c r="I100" i="1" s="1"/>
  <c r="G128" i="2"/>
  <c r="G134" i="2" s="1"/>
  <c r="D196" i="7" s="1"/>
  <c r="F88" i="10"/>
  <c r="F134" i="2"/>
  <c r="C196" i="7" s="1"/>
  <c r="H98" i="1"/>
  <c r="H100" i="1" s="1"/>
  <c r="G100" i="8"/>
  <c r="G101" i="8" s="1"/>
  <c r="J122" i="2"/>
  <c r="J123" i="2" s="1"/>
  <c r="J128" i="2" s="1"/>
  <c r="J134" i="2" s="1"/>
  <c r="I100" i="8"/>
  <c r="I101" i="8" s="1"/>
  <c r="H100" i="8"/>
  <c r="H101" i="8" s="1"/>
  <c r="K75" i="1"/>
  <c r="P72" i="1" s="1"/>
  <c r="H45" i="10"/>
  <c r="G92" i="1"/>
  <c r="G98" i="1" s="1"/>
  <c r="G100" i="1" s="1"/>
  <c r="D45" i="10" s="1"/>
  <c r="E88" i="10"/>
  <c r="I48" i="8"/>
  <c r="H48" i="8"/>
  <c r="G48" i="8"/>
  <c r="F48" i="8"/>
  <c r="H53" i="8"/>
  <c r="H149" i="8" s="1"/>
  <c r="H52" i="2"/>
  <c r="J48" i="8"/>
  <c r="K48" i="8" s="1"/>
  <c r="L48" i="8" s="1"/>
  <c r="M48" i="8" s="1"/>
  <c r="N48" i="8" s="1"/>
  <c r="O48" i="8" s="1"/>
  <c r="J53" i="8"/>
  <c r="K53" i="8" s="1"/>
  <c r="L53" i="8" s="1"/>
  <c r="M53" i="8" s="1"/>
  <c r="N53" i="8" s="1"/>
  <c r="O53" i="8" s="1"/>
  <c r="J52" i="2"/>
  <c r="F111" i="7" s="1"/>
  <c r="I53" i="8"/>
  <c r="I147" i="8" s="1"/>
  <c r="I52" i="2"/>
  <c r="G53" i="8"/>
  <c r="G148" i="8" s="1"/>
  <c r="G52" i="2"/>
  <c r="F53" i="8"/>
  <c r="F148" i="8" s="1"/>
  <c r="F52" i="2"/>
  <c r="H42" i="2"/>
  <c r="F41" i="10" s="1"/>
  <c r="H45" i="2"/>
  <c r="I45" i="2"/>
  <c r="H40" i="1"/>
  <c r="G42" i="2"/>
  <c r="E41" i="10" s="1"/>
  <c r="J42" i="2"/>
  <c r="F42" i="2"/>
  <c r="D41" i="10" s="1"/>
  <c r="G45" i="2"/>
  <c r="I42" i="2"/>
  <c r="G41" i="10" s="1"/>
  <c r="J45" i="2"/>
  <c r="K45" i="2" s="1"/>
  <c r="L45" i="2" s="1"/>
  <c r="M45" i="2" s="1"/>
  <c r="N45" i="2" s="1"/>
  <c r="O45" i="2" s="1"/>
  <c r="F45" i="2"/>
  <c r="K65" i="1"/>
  <c r="G65" i="1"/>
  <c r="H65" i="1"/>
  <c r="I65" i="1"/>
  <c r="J65" i="1"/>
  <c r="K40" i="1"/>
  <c r="G40" i="1"/>
  <c r="J40" i="1"/>
  <c r="I40" i="1"/>
  <c r="O48" i="1" l="1"/>
  <c r="O49" i="1"/>
  <c r="O50" i="1"/>
  <c r="O44" i="1"/>
  <c r="K100" i="8"/>
  <c r="N44" i="1"/>
  <c r="N49" i="1"/>
  <c r="N50" i="1"/>
  <c r="N48" i="1"/>
  <c r="L49" i="1"/>
  <c r="L44" i="1"/>
  <c r="P31" i="1"/>
  <c r="P39" i="1"/>
  <c r="P48" i="1"/>
  <c r="P44" i="1"/>
  <c r="P49" i="1"/>
  <c r="P50" i="1"/>
  <c r="M49" i="1"/>
  <c r="M44" i="1"/>
  <c r="M50" i="1"/>
  <c r="M48" i="1"/>
  <c r="J59" i="2"/>
  <c r="F34" i="5" s="1"/>
  <c r="F41" i="5" s="1"/>
  <c r="P69" i="1"/>
  <c r="J60" i="8"/>
  <c r="J155" i="8" s="1"/>
  <c r="H147" i="8"/>
  <c r="O69" i="1"/>
  <c r="I59" i="2"/>
  <c r="I154" i="2" s="1"/>
  <c r="J148" i="8"/>
  <c r="F147" i="8"/>
  <c r="I148" i="8"/>
  <c r="H75" i="1"/>
  <c r="H77" i="1" s="1"/>
  <c r="E45" i="10"/>
  <c r="I75" i="1"/>
  <c r="F45" i="10"/>
  <c r="G83" i="10"/>
  <c r="D83" i="10"/>
  <c r="F83" i="10"/>
  <c r="I167" i="8"/>
  <c r="I168" i="8"/>
  <c r="I156" i="8"/>
  <c r="I98" i="8"/>
  <c r="I102" i="8" s="1"/>
  <c r="H87" i="10"/>
  <c r="H148" i="8"/>
  <c r="G196" i="7"/>
  <c r="G149" i="8"/>
  <c r="J149" i="8"/>
  <c r="H167" i="8"/>
  <c r="H156" i="8"/>
  <c r="H98" i="8"/>
  <c r="H102" i="8" s="1"/>
  <c r="I155" i="8"/>
  <c r="I145" i="8"/>
  <c r="G75" i="1"/>
  <c r="L69" i="1" s="1"/>
  <c r="D87" i="10"/>
  <c r="F112" i="5"/>
  <c r="H41" i="10"/>
  <c r="F112" i="7"/>
  <c r="F156" i="8"/>
  <c r="F167" i="8"/>
  <c r="F98" i="8"/>
  <c r="F102" i="8" s="1"/>
  <c r="E83" i="10"/>
  <c r="J156" i="8"/>
  <c r="J167" i="8"/>
  <c r="J98" i="8"/>
  <c r="J102" i="8" s="1"/>
  <c r="G156" i="8"/>
  <c r="G167" i="8"/>
  <c r="G98" i="8"/>
  <c r="G102" i="8" s="1"/>
  <c r="P75" i="1"/>
  <c r="H44" i="10"/>
  <c r="P73" i="1"/>
  <c r="I149" i="8"/>
  <c r="G147" i="8"/>
  <c r="F149" i="8"/>
  <c r="J147" i="8"/>
  <c r="O72" i="1"/>
  <c r="G44" i="10"/>
  <c r="G86" i="10" s="1"/>
  <c r="O73" i="1"/>
  <c r="N58" i="1"/>
  <c r="N56" i="1"/>
  <c r="N59" i="1"/>
  <c r="N57" i="1"/>
  <c r="N60" i="1"/>
  <c r="N55" i="1"/>
  <c r="N61" i="1"/>
  <c r="M60" i="1"/>
  <c r="M56" i="1"/>
  <c r="M55" i="1"/>
  <c r="M63" i="1"/>
  <c r="M57" i="1"/>
  <c r="M59" i="1"/>
  <c r="M58" i="1"/>
  <c r="M61" i="1"/>
  <c r="L48" i="1"/>
  <c r="L58" i="1"/>
  <c r="L55" i="1"/>
  <c r="L59" i="1"/>
  <c r="L60" i="1"/>
  <c r="L57" i="1"/>
  <c r="L63" i="1"/>
  <c r="L56" i="1"/>
  <c r="L61" i="1"/>
  <c r="O24" i="1"/>
  <c r="O35" i="1"/>
  <c r="O30" i="1"/>
  <c r="O29" i="1"/>
  <c r="O31" i="1"/>
  <c r="O33" i="1"/>
  <c r="O32" i="1"/>
  <c r="O36" i="1"/>
  <c r="N24" i="1"/>
  <c r="N36" i="1"/>
  <c r="N31" i="1"/>
  <c r="N32" i="1"/>
  <c r="N35" i="1"/>
  <c r="N30" i="1"/>
  <c r="N33" i="1"/>
  <c r="N29" i="1"/>
  <c r="P24" i="1"/>
  <c r="P35" i="1"/>
  <c r="P30" i="1"/>
  <c r="P36" i="1"/>
  <c r="P33" i="1"/>
  <c r="P32" i="1"/>
  <c r="P29" i="1"/>
  <c r="L36" i="1"/>
  <c r="L33" i="1"/>
  <c r="L31" i="1"/>
  <c r="L29" i="1"/>
  <c r="L30" i="1"/>
  <c r="L35" i="1"/>
  <c r="L32" i="1"/>
  <c r="M24" i="1"/>
  <c r="M33" i="1"/>
  <c r="M29" i="1"/>
  <c r="M36" i="1"/>
  <c r="M31" i="1"/>
  <c r="M35" i="1"/>
  <c r="M32" i="1"/>
  <c r="M30" i="1"/>
  <c r="O60" i="1"/>
  <c r="O55" i="1"/>
  <c r="O58" i="1"/>
  <c r="O61" i="1"/>
  <c r="O59" i="1"/>
  <c r="O56" i="1"/>
  <c r="O57" i="1"/>
  <c r="P55" i="1"/>
  <c r="P58" i="1"/>
  <c r="P61" i="1"/>
  <c r="P56" i="1"/>
  <c r="P59" i="1"/>
  <c r="P57" i="1"/>
  <c r="P60" i="1"/>
  <c r="L24" i="1"/>
  <c r="L25" i="1"/>
  <c r="L18" i="1"/>
  <c r="L23" i="1"/>
  <c r="O23" i="1"/>
  <c r="O18" i="1"/>
  <c r="P18" i="1"/>
  <c r="P23" i="1"/>
  <c r="M23" i="1"/>
  <c r="M18" i="1"/>
  <c r="N23" i="1"/>
  <c r="N18" i="1"/>
  <c r="L47" i="1"/>
  <c r="L50" i="1"/>
  <c r="L52" i="1"/>
  <c r="N47" i="1"/>
  <c r="M47" i="1"/>
  <c r="O47" i="1"/>
  <c r="P47" i="1"/>
  <c r="F57" i="8"/>
  <c r="F152" i="8" s="1"/>
  <c r="F56" i="2"/>
  <c r="K77" i="1"/>
  <c r="J57" i="8"/>
  <c r="K57" i="8" s="1"/>
  <c r="L57" i="8" s="1"/>
  <c r="M57" i="8" s="1"/>
  <c r="N57" i="8" s="1"/>
  <c r="O57" i="8" s="1"/>
  <c r="J56" i="2"/>
  <c r="H43" i="10" s="1"/>
  <c r="H85" i="10" s="1"/>
  <c r="F111" i="5"/>
  <c r="K52" i="2"/>
  <c r="J77" i="1"/>
  <c r="I57" i="8"/>
  <c r="I152" i="8" s="1"/>
  <c r="I56" i="2"/>
  <c r="I77" i="1"/>
  <c r="H57" i="8"/>
  <c r="H152" i="8" s="1"/>
  <c r="H56" i="2"/>
  <c r="G57" i="8"/>
  <c r="G152" i="8" s="1"/>
  <c r="G56" i="2"/>
  <c r="I144" i="2"/>
  <c r="F99" i="2"/>
  <c r="F100" i="2" s="1"/>
  <c r="F147" i="2"/>
  <c r="F148" i="2"/>
  <c r="F146" i="2"/>
  <c r="J146" i="2"/>
  <c r="J147" i="2"/>
  <c r="J148" i="2"/>
  <c r="I99" i="2"/>
  <c r="I100" i="2" s="1"/>
  <c r="I147" i="2"/>
  <c r="I148" i="2"/>
  <c r="I146" i="2"/>
  <c r="G99" i="2"/>
  <c r="G100" i="2" s="1"/>
  <c r="G148" i="2"/>
  <c r="G146" i="2"/>
  <c r="G147" i="2"/>
  <c r="H99" i="2"/>
  <c r="H100" i="2" s="1"/>
  <c r="H147" i="2"/>
  <c r="H148" i="2"/>
  <c r="H146" i="2"/>
  <c r="J99" i="2"/>
  <c r="K42" i="2"/>
  <c r="J47" i="2"/>
  <c r="H47" i="2"/>
  <c r="F42" i="10" s="1"/>
  <c r="I47" i="2"/>
  <c r="G42" i="10" s="1"/>
  <c r="G49" i="10" s="1"/>
  <c r="F47" i="2"/>
  <c r="G47" i="2"/>
  <c r="G97" i="2" s="1"/>
  <c r="G163" i="7" l="1"/>
  <c r="J154" i="2"/>
  <c r="G163" i="5"/>
  <c r="G164" i="5" s="1"/>
  <c r="G165" i="5" s="1"/>
  <c r="G164" i="7"/>
  <c r="F40" i="5"/>
  <c r="F116" i="7"/>
  <c r="F119" i="7" s="1"/>
  <c r="J168" i="8"/>
  <c r="J169" i="8" s="1"/>
  <c r="K59" i="2"/>
  <c r="F116" i="5"/>
  <c r="F119" i="5" s="1"/>
  <c r="J145" i="8"/>
  <c r="J144" i="2"/>
  <c r="I176" i="5"/>
  <c r="G165" i="7"/>
  <c r="E42" i="10"/>
  <c r="E49" i="10" s="1"/>
  <c r="G77" i="1"/>
  <c r="G79" i="1" s="1"/>
  <c r="I169" i="8"/>
  <c r="F60" i="8"/>
  <c r="F145" i="8" s="1"/>
  <c r="F97" i="2"/>
  <c r="F101" i="2" s="1"/>
  <c r="H42" i="10"/>
  <c r="H53" i="10" s="1"/>
  <c r="J100" i="2"/>
  <c r="F34" i="7"/>
  <c r="F84" i="10"/>
  <c r="F92" i="10" s="1"/>
  <c r="F53" i="10"/>
  <c r="F51" i="10"/>
  <c r="J151" i="8"/>
  <c r="J153" i="8"/>
  <c r="F87" i="10"/>
  <c r="F50" i="10"/>
  <c r="E84" i="10"/>
  <c r="E92" i="10" s="1"/>
  <c r="E53" i="10"/>
  <c r="E51" i="10"/>
  <c r="H152" i="2"/>
  <c r="F43" i="10"/>
  <c r="F85" i="10" s="1"/>
  <c r="F49" i="10"/>
  <c r="N72" i="1"/>
  <c r="N73" i="1"/>
  <c r="F44" i="10"/>
  <c r="N69" i="1"/>
  <c r="H59" i="2"/>
  <c r="H60" i="8"/>
  <c r="H62" i="8" s="1"/>
  <c r="H64" i="8" s="1"/>
  <c r="G152" i="2"/>
  <c r="E43" i="10"/>
  <c r="E85" i="10" s="1"/>
  <c r="H151" i="8"/>
  <c r="H153" i="8"/>
  <c r="I152" i="2"/>
  <c r="G43" i="10"/>
  <c r="F152" i="2"/>
  <c r="D43" i="10"/>
  <c r="D85" i="10" s="1"/>
  <c r="L72" i="1"/>
  <c r="D44" i="10"/>
  <c r="L73" i="1"/>
  <c r="F59" i="2"/>
  <c r="F61" i="2" s="1"/>
  <c r="F63" i="2" s="1"/>
  <c r="J152" i="8"/>
  <c r="E50" i="10"/>
  <c r="E87" i="10"/>
  <c r="D42" i="10"/>
  <c r="G50" i="10"/>
  <c r="G84" i="10"/>
  <c r="G53" i="10"/>
  <c r="G51" i="10"/>
  <c r="G151" i="8"/>
  <c r="G153" i="8"/>
  <c r="I62" i="8"/>
  <c r="I64" i="8" s="1"/>
  <c r="I151" i="8"/>
  <c r="I153" i="8"/>
  <c r="F151" i="8"/>
  <c r="F153" i="8"/>
  <c r="H52" i="10"/>
  <c r="H86" i="10"/>
  <c r="H93" i="10" s="1"/>
  <c r="H83" i="10"/>
  <c r="M72" i="1"/>
  <c r="E44" i="10"/>
  <c r="M73" i="1"/>
  <c r="G59" i="2"/>
  <c r="G61" i="2" s="1"/>
  <c r="G63" i="2" s="1"/>
  <c r="G60" i="8"/>
  <c r="M69" i="1"/>
  <c r="F139" i="7"/>
  <c r="F129" i="7"/>
  <c r="K167" i="8"/>
  <c r="K156" i="8"/>
  <c r="I61" i="2"/>
  <c r="I63" i="2" s="1"/>
  <c r="H61" i="2"/>
  <c r="H63" i="2" s="1"/>
  <c r="I151" i="2"/>
  <c r="G151" i="2"/>
  <c r="F151" i="2"/>
  <c r="K56" i="2"/>
  <c r="K151" i="2" s="1"/>
  <c r="J152" i="2"/>
  <c r="J62" i="8"/>
  <c r="H151" i="2"/>
  <c r="J151" i="2"/>
  <c r="L52" i="2"/>
  <c r="F155" i="2"/>
  <c r="F166" i="2" s="1"/>
  <c r="H155" i="2"/>
  <c r="H166" i="2" s="1"/>
  <c r="H167" i="2"/>
  <c r="J155" i="2"/>
  <c r="J166" i="2" s="1"/>
  <c r="J167" i="2"/>
  <c r="I155" i="2"/>
  <c r="I166" i="2" s="1"/>
  <c r="I167" i="2"/>
  <c r="G150" i="2"/>
  <c r="G155" i="2"/>
  <c r="G166" i="2" s="1"/>
  <c r="H97" i="2"/>
  <c r="H101" i="2" s="1"/>
  <c r="H150" i="2"/>
  <c r="I97" i="2"/>
  <c r="I101" i="2" s="1"/>
  <c r="I150" i="2"/>
  <c r="L42" i="2"/>
  <c r="K146" i="2"/>
  <c r="K147" i="2"/>
  <c r="F150" i="2"/>
  <c r="K47" i="2"/>
  <c r="J150" i="2"/>
  <c r="L59" i="2"/>
  <c r="G34" i="5"/>
  <c r="J97" i="2"/>
  <c r="J101" i="2" s="1"/>
  <c r="J61" i="2"/>
  <c r="K61" i="2" s="1"/>
  <c r="L61" i="2" s="1"/>
  <c r="M61" i="2" s="1"/>
  <c r="N61" i="2" s="1"/>
  <c r="O61" i="2" s="1"/>
  <c r="G101" i="2"/>
  <c r="F41" i="7"/>
  <c r="J176" i="5" l="1"/>
  <c r="K176" i="5" s="1"/>
  <c r="F155" i="8"/>
  <c r="J64" i="8"/>
  <c r="K62" i="8"/>
  <c r="L62" i="8" s="1"/>
  <c r="M62" i="8" s="1"/>
  <c r="N62" i="8" s="1"/>
  <c r="O62" i="8" s="1"/>
  <c r="F90" i="10"/>
  <c r="G167" i="2"/>
  <c r="F167" i="2"/>
  <c r="F168" i="8"/>
  <c r="F169" i="8" s="1"/>
  <c r="H49" i="10"/>
  <c r="H51" i="10"/>
  <c r="H50" i="10"/>
  <c r="H84" i="10"/>
  <c r="H92" i="10" s="1"/>
  <c r="K63" i="2"/>
  <c r="J63" i="2"/>
  <c r="E90" i="10"/>
  <c r="E91" i="10"/>
  <c r="F62" i="8"/>
  <c r="F64" i="8" s="1"/>
  <c r="F91" i="10"/>
  <c r="D86" i="10"/>
  <c r="D93" i="10" s="1"/>
  <c r="D52" i="10"/>
  <c r="G52" i="10"/>
  <c r="G55" i="10" s="1"/>
  <c r="G85" i="10"/>
  <c r="G93" i="10" s="1"/>
  <c r="H155" i="8"/>
  <c r="H145" i="8"/>
  <c r="H168" i="8"/>
  <c r="H169" i="8" s="1"/>
  <c r="E86" i="10"/>
  <c r="E93" i="10" s="1"/>
  <c r="E52" i="10"/>
  <c r="E55" i="10" s="1"/>
  <c r="D84" i="10"/>
  <c r="D53" i="10"/>
  <c r="D51" i="10"/>
  <c r="D49" i="10"/>
  <c r="D50" i="10"/>
  <c r="H144" i="2"/>
  <c r="H154" i="2"/>
  <c r="G155" i="8"/>
  <c r="G145" i="8"/>
  <c r="G168" i="8"/>
  <c r="G169" i="8" s="1"/>
  <c r="G92" i="10"/>
  <c r="G91" i="10"/>
  <c r="F154" i="2"/>
  <c r="F144" i="2"/>
  <c r="G90" i="10"/>
  <c r="G144" i="2"/>
  <c r="G154" i="2"/>
  <c r="G62" i="8"/>
  <c r="G64" i="8" s="1"/>
  <c r="F52" i="10"/>
  <c r="F55" i="10" s="1"/>
  <c r="F86" i="10"/>
  <c r="F93" i="10" s="1"/>
  <c r="G168" i="2"/>
  <c r="M52" i="2"/>
  <c r="F42" i="5"/>
  <c r="F40" i="7"/>
  <c r="F130" i="5"/>
  <c r="L56" i="2"/>
  <c r="F129" i="5"/>
  <c r="F139" i="5"/>
  <c r="H168" i="2"/>
  <c r="K150" i="2"/>
  <c r="K167" i="2"/>
  <c r="J168" i="2"/>
  <c r="I168" i="2"/>
  <c r="F168" i="2"/>
  <c r="M42" i="2"/>
  <c r="L146" i="2"/>
  <c r="L147" i="2"/>
  <c r="L47" i="2"/>
  <c r="L63" i="2" s="1"/>
  <c r="M59" i="2"/>
  <c r="I34" i="5" s="1"/>
  <c r="H34" i="5"/>
  <c r="H55" i="10" l="1"/>
  <c r="E95" i="10"/>
  <c r="H91" i="10"/>
  <c r="H90" i="10"/>
  <c r="F95" i="10"/>
  <c r="F105" i="10" s="1"/>
  <c r="G56" i="10"/>
  <c r="G66" i="10"/>
  <c r="F56" i="10"/>
  <c r="F66" i="10"/>
  <c r="E105" i="10"/>
  <c r="E96" i="10"/>
  <c r="H66" i="10"/>
  <c r="H56" i="10"/>
  <c r="D55" i="10"/>
  <c r="D66" i="10" s="1"/>
  <c r="D92" i="10"/>
  <c r="D91" i="10"/>
  <c r="D90" i="10"/>
  <c r="G95" i="10"/>
  <c r="E66" i="10"/>
  <c r="E56" i="10"/>
  <c r="F131" i="5"/>
  <c r="F132" i="5" s="1"/>
  <c r="F133" i="5" s="1"/>
  <c r="F42" i="7"/>
  <c r="G130" i="5"/>
  <c r="M56" i="2"/>
  <c r="M151" i="2" s="1"/>
  <c r="L151" i="2"/>
  <c r="G129" i="5"/>
  <c r="G139" i="5"/>
  <c r="N52" i="2"/>
  <c r="L150" i="2"/>
  <c r="L167" i="2"/>
  <c r="M47" i="2"/>
  <c r="M63" i="2" s="1"/>
  <c r="N42" i="2"/>
  <c r="M146" i="2"/>
  <c r="M147" i="2"/>
  <c r="N59" i="2"/>
  <c r="J34" i="5" s="1"/>
  <c r="L68" i="1"/>
  <c r="M68" i="1"/>
  <c r="N68" i="1"/>
  <c r="O68" i="1"/>
  <c r="P68" i="1"/>
  <c r="L70" i="1"/>
  <c r="M70" i="1"/>
  <c r="N70" i="1"/>
  <c r="O70" i="1"/>
  <c r="P70" i="1"/>
  <c r="L71" i="1"/>
  <c r="M71" i="1"/>
  <c r="N71" i="1"/>
  <c r="O71" i="1"/>
  <c r="P71" i="1"/>
  <c r="L74" i="1"/>
  <c r="M74" i="1"/>
  <c r="N74" i="1"/>
  <c r="O74" i="1"/>
  <c r="P74" i="1"/>
  <c r="L75" i="1"/>
  <c r="M75" i="1"/>
  <c r="N75" i="1"/>
  <c r="O75" i="1"/>
  <c r="H95" i="10" l="1"/>
  <c r="H105" i="10" s="1"/>
  <c r="F96" i="10"/>
  <c r="H96" i="10"/>
  <c r="G105" i="10"/>
  <c r="G96" i="10"/>
  <c r="D56" i="10"/>
  <c r="D95" i="10"/>
  <c r="D105" i="10" s="1"/>
  <c r="G131" i="5"/>
  <c r="G132" i="5" s="1"/>
  <c r="G133" i="5" s="1"/>
  <c r="H130" i="5"/>
  <c r="N56" i="2"/>
  <c r="N151" i="2" s="1"/>
  <c r="O52" i="2"/>
  <c r="N47" i="2"/>
  <c r="N63" i="2" s="1"/>
  <c r="H139" i="5"/>
  <c r="H129" i="5"/>
  <c r="M150" i="2"/>
  <c r="M167" i="2"/>
  <c r="O42" i="2"/>
  <c r="N146" i="2"/>
  <c r="N147" i="2"/>
  <c r="O59" i="2"/>
  <c r="M15" i="1"/>
  <c r="D96" i="10" l="1"/>
  <c r="H131" i="5"/>
  <c r="H132" i="5" s="1"/>
  <c r="H133" i="5" s="1"/>
  <c r="I139" i="5"/>
  <c r="I129" i="5"/>
  <c r="N167" i="2"/>
  <c r="I130" i="5"/>
  <c r="O56" i="2"/>
  <c r="J130" i="5" s="1"/>
  <c r="O47" i="2"/>
  <c r="O63" i="2" s="1"/>
  <c r="N150" i="2"/>
  <c r="O147" i="2"/>
  <c r="O146" i="2"/>
  <c r="N15" i="1"/>
  <c r="I131" i="5" l="1"/>
  <c r="I132" i="5" s="1"/>
  <c r="I133" i="5" s="1"/>
  <c r="O151" i="2"/>
  <c r="O150" i="2"/>
  <c r="O167" i="2"/>
  <c r="J139" i="5"/>
  <c r="J129" i="5"/>
  <c r="J131" i="5" s="1"/>
  <c r="O15" i="1"/>
  <c r="F163" i="5" l="1"/>
  <c r="J132" i="5"/>
  <c r="J133" i="5" s="1"/>
  <c r="P15" i="1"/>
  <c r="H163" i="5" l="1"/>
  <c r="J163" i="5" s="1"/>
  <c r="F96" i="5" l="1"/>
  <c r="F128" i="5" s="1"/>
  <c r="F138" i="5" s="1"/>
  <c r="G96" i="5"/>
  <c r="G128" i="5" s="1"/>
  <c r="G138" i="5" s="1"/>
  <c r="I96" i="5"/>
  <c r="I128" i="5" s="1"/>
  <c r="I138" i="5" s="1"/>
  <c r="H96" i="5"/>
  <c r="H128" i="5" s="1"/>
  <c r="H138" i="5" s="1"/>
  <c r="J79" i="5"/>
  <c r="J96" i="5"/>
  <c r="J128" i="5" s="1"/>
  <c r="J138" i="5" s="1"/>
  <c r="F24" i="5" l="1"/>
  <c r="F24" i="7" l="1"/>
  <c r="F12" i="5"/>
  <c r="F21" i="5"/>
  <c r="F22" i="5" s="1"/>
  <c r="F25" i="5" s="1"/>
  <c r="M55" i="8" l="1"/>
  <c r="M42" i="8"/>
  <c r="L100" i="8"/>
  <c r="M52" i="8"/>
  <c r="G69" i="7"/>
  <c r="F21" i="7"/>
  <c r="F15" i="5"/>
  <c r="F12" i="7"/>
  <c r="F15" i="7" l="1"/>
  <c r="N52" i="8"/>
  <c r="O52" i="8" s="1"/>
  <c r="N55" i="8"/>
  <c r="L167" i="8"/>
  <c r="G129" i="7"/>
  <c r="L156" i="8"/>
  <c r="G139" i="7"/>
  <c r="M132" i="8"/>
  <c r="H69" i="7" s="1"/>
  <c r="N42" i="8"/>
  <c r="O42" i="8" s="1"/>
  <c r="F27" i="5"/>
  <c r="F22" i="7"/>
  <c r="O55" i="8" l="1"/>
  <c r="O132" i="8"/>
  <c r="J69" i="7" s="1"/>
  <c r="N132" i="8"/>
  <c r="I69" i="7" s="1"/>
  <c r="F25" i="7"/>
  <c r="F27" i="7"/>
  <c r="K154" i="2"/>
  <c r="K155" i="2"/>
  <c r="K166" i="2" s="1"/>
  <c r="L67" i="2"/>
  <c r="L156" i="2" s="1"/>
  <c r="K54" i="2"/>
  <c r="K152" i="2" s="1"/>
  <c r="K50" i="2"/>
  <c r="K158" i="2"/>
  <c r="K44" i="2"/>
  <c r="K51" i="2"/>
  <c r="K41" i="2"/>
  <c r="K99" i="2" l="1"/>
  <c r="F140" i="5"/>
  <c r="F141" i="5" s="1"/>
  <c r="F142" i="5" s="1"/>
  <c r="F143" i="5" s="1"/>
  <c r="K148" i="2"/>
  <c r="L155" i="2"/>
  <c r="L166" i="2" s="1"/>
  <c r="L154" i="2"/>
  <c r="K111" i="2"/>
  <c r="K131" i="2"/>
  <c r="F69" i="5" s="1"/>
  <c r="G33" i="5"/>
  <c r="K108" i="2"/>
  <c r="M67" i="2"/>
  <c r="L51" i="2"/>
  <c r="L44" i="2"/>
  <c r="L50" i="2"/>
  <c r="L41" i="2"/>
  <c r="L158" i="2"/>
  <c r="L54" i="2"/>
  <c r="L152" i="2" s="1"/>
  <c r="G140" i="5" l="1"/>
  <c r="G141" i="5" s="1"/>
  <c r="G142" i="5" s="1"/>
  <c r="G143" i="5" s="1"/>
  <c r="M155" i="2"/>
  <c r="M166" i="2" s="1"/>
  <c r="M154" i="2"/>
  <c r="L148" i="2"/>
  <c r="L111" i="2"/>
  <c r="L131" i="2"/>
  <c r="G69" i="5" s="1"/>
  <c r="G40" i="5"/>
  <c r="G41" i="5"/>
  <c r="M50" i="2"/>
  <c r="H33" i="5"/>
  <c r="K130" i="2"/>
  <c r="F68" i="5" s="1"/>
  <c r="F70" i="5" s="1"/>
  <c r="L108" i="2"/>
  <c r="K109" i="2"/>
  <c r="K110" i="2"/>
  <c r="L99" i="2"/>
  <c r="N67" i="2"/>
  <c r="M44" i="2"/>
  <c r="M158" i="2"/>
  <c r="M41" i="2"/>
  <c r="M51" i="2"/>
  <c r="M54" i="2"/>
  <c r="M152" i="2" s="1"/>
  <c r="G85" i="1"/>
  <c r="F66" i="8" s="1"/>
  <c r="F85" i="8" s="1"/>
  <c r="F97" i="8" s="1"/>
  <c r="F104" i="8" s="1"/>
  <c r="F117" i="8" s="1"/>
  <c r="H85" i="1"/>
  <c r="G66" i="8" s="1"/>
  <c r="G85" i="8" s="1"/>
  <c r="G97" i="8" s="1"/>
  <c r="G104" i="8" s="1"/>
  <c r="G117" i="8" s="1"/>
  <c r="I85" i="1"/>
  <c r="H66" i="8" s="1"/>
  <c r="H85" i="8" s="1"/>
  <c r="H97" i="8" s="1"/>
  <c r="H104" i="8" s="1"/>
  <c r="H117" i="8" s="1"/>
  <c r="J85" i="1"/>
  <c r="I66" i="8" s="1"/>
  <c r="I85" i="8" s="1"/>
  <c r="I97" i="8" s="1"/>
  <c r="I104" i="8" s="1"/>
  <c r="I117" i="8" s="1"/>
  <c r="K85" i="1"/>
  <c r="J66" i="8" s="1"/>
  <c r="J85" i="8" s="1"/>
  <c r="J97" i="8" s="1"/>
  <c r="J104" i="8" s="1"/>
  <c r="J117" i="8" s="1"/>
  <c r="M85" i="1"/>
  <c r="L85" i="1"/>
  <c r="N85" i="1"/>
  <c r="O85" i="1"/>
  <c r="P85" i="1"/>
  <c r="G140" i="8" l="1"/>
  <c r="G165" i="8" s="1"/>
  <c r="G121" i="8"/>
  <c r="G123" i="8" s="1"/>
  <c r="G124" i="8" s="1"/>
  <c r="G129" i="8" s="1"/>
  <c r="G135" i="8" s="1"/>
  <c r="D197" i="7" s="1"/>
  <c r="F140" i="8"/>
  <c r="F165" i="8" s="1"/>
  <c r="F121" i="8"/>
  <c r="F123" i="8" s="1"/>
  <c r="F124" i="8" s="1"/>
  <c r="F129" i="8" s="1"/>
  <c r="F135" i="8" s="1"/>
  <c r="C197" i="7" s="1"/>
  <c r="H140" i="8"/>
  <c r="H165" i="8" s="1"/>
  <c r="H121" i="8"/>
  <c r="H123" i="8" s="1"/>
  <c r="H124" i="8" s="1"/>
  <c r="H129" i="8" s="1"/>
  <c r="H135" i="8" s="1"/>
  <c r="E197" i="7" s="1"/>
  <c r="J140" i="8"/>
  <c r="J165" i="8" s="1"/>
  <c r="J121" i="8"/>
  <c r="J123" i="8" s="1"/>
  <c r="J124" i="8" s="1"/>
  <c r="J129" i="8" s="1"/>
  <c r="J135" i="8" s="1"/>
  <c r="G197" i="7" s="1"/>
  <c r="I140" i="8"/>
  <c r="I165" i="8" s="1"/>
  <c r="I121" i="8"/>
  <c r="I123" i="8" s="1"/>
  <c r="I124" i="8" s="1"/>
  <c r="I129" i="8" s="1"/>
  <c r="I135" i="8" s="1"/>
  <c r="F197" i="7" s="1"/>
  <c r="G40" i="7"/>
  <c r="G41" i="7"/>
  <c r="H140" i="5"/>
  <c r="H141" i="5" s="1"/>
  <c r="H142" i="5" s="1"/>
  <c r="H143" i="5" s="1"/>
  <c r="M156" i="2"/>
  <c r="M148" i="2"/>
  <c r="N155" i="2"/>
  <c r="N166" i="2" s="1"/>
  <c r="N154" i="2"/>
  <c r="K132" i="2"/>
  <c r="H40" i="5"/>
  <c r="H41" i="5"/>
  <c r="G42" i="5"/>
  <c r="I33" i="5"/>
  <c r="M111" i="2"/>
  <c r="M131" i="2"/>
  <c r="H69" i="5" s="1"/>
  <c r="N50" i="2"/>
  <c r="L130" i="2"/>
  <c r="G68" i="5" s="1"/>
  <c r="G70" i="5" s="1"/>
  <c r="M108" i="2"/>
  <c r="L110" i="2"/>
  <c r="L109" i="2"/>
  <c r="K104" i="1"/>
  <c r="J65" i="2"/>
  <c r="J84" i="2" s="1"/>
  <c r="J96" i="2" s="1"/>
  <c r="I65" i="2"/>
  <c r="I84" i="2" s="1"/>
  <c r="I96" i="2" s="1"/>
  <c r="J104" i="1"/>
  <c r="H65" i="2"/>
  <c r="H84" i="2" s="1"/>
  <c r="H96" i="2" s="1"/>
  <c r="I104" i="1"/>
  <c r="G65" i="2"/>
  <c r="G84" i="2" s="1"/>
  <c r="G96" i="2" s="1"/>
  <c r="H104" i="1"/>
  <c r="G104" i="1"/>
  <c r="F65" i="2"/>
  <c r="F84" i="2" s="1"/>
  <c r="F96" i="2" s="1"/>
  <c r="O67" i="2"/>
  <c r="N158" i="2"/>
  <c r="N41" i="2"/>
  <c r="M99" i="2"/>
  <c r="N51" i="2"/>
  <c r="N44" i="2"/>
  <c r="N54" i="2"/>
  <c r="N152" i="2" s="1"/>
  <c r="H41" i="7" l="1"/>
  <c r="H40" i="7"/>
  <c r="I140" i="5"/>
  <c r="I141" i="5" s="1"/>
  <c r="I142" i="5" s="1"/>
  <c r="I143" i="5" s="1"/>
  <c r="J33" i="5"/>
  <c r="J40" i="5" s="1"/>
  <c r="G42" i="7"/>
  <c r="O50" i="2"/>
  <c r="N156" i="2"/>
  <c r="O154" i="2"/>
  <c r="O155" i="2"/>
  <c r="O166" i="2" s="1"/>
  <c r="N148" i="2"/>
  <c r="L132" i="2"/>
  <c r="H103" i="2"/>
  <c r="H116" i="2" s="1"/>
  <c r="H139" i="2" s="1"/>
  <c r="H164" i="2" s="1"/>
  <c r="E195" i="7"/>
  <c r="G103" i="2"/>
  <c r="G116" i="2" s="1"/>
  <c r="G139" i="2" s="1"/>
  <c r="G164" i="2" s="1"/>
  <c r="D195" i="7"/>
  <c r="F103" i="2"/>
  <c r="F116" i="2" s="1"/>
  <c r="F139" i="2" s="1"/>
  <c r="F164" i="2" s="1"/>
  <c r="C195" i="7"/>
  <c r="I103" i="2"/>
  <c r="I116" i="2" s="1"/>
  <c r="I139" i="2" s="1"/>
  <c r="I164" i="2" s="1"/>
  <c r="F195" i="7"/>
  <c r="J103" i="2"/>
  <c r="J116" i="2" s="1"/>
  <c r="J139" i="2" s="1"/>
  <c r="J164" i="2" s="1"/>
  <c r="G195" i="7"/>
  <c r="H42" i="5"/>
  <c r="M130" i="2"/>
  <c r="H68" i="5" s="1"/>
  <c r="H70" i="5" s="1"/>
  <c r="I40" i="5"/>
  <c r="I41" i="5"/>
  <c r="I41" i="7" s="1"/>
  <c r="N111" i="2"/>
  <c r="N131" i="2"/>
  <c r="I69" i="5" s="1"/>
  <c r="N108" i="2"/>
  <c r="N130" i="2" s="1"/>
  <c r="I68" i="5" s="1"/>
  <c r="M110" i="2"/>
  <c r="M109" i="2"/>
  <c r="N99" i="2"/>
  <c r="O51" i="2"/>
  <c r="O41" i="2"/>
  <c r="O44" i="2"/>
  <c r="O158" i="2"/>
  <c r="O54" i="2"/>
  <c r="I70" i="5" l="1"/>
  <c r="J40" i="7"/>
  <c r="I40" i="7"/>
  <c r="H42" i="7"/>
  <c r="J140" i="5"/>
  <c r="J141" i="5" s="1"/>
  <c r="O156" i="2"/>
  <c r="O148" i="2"/>
  <c r="M132" i="2"/>
  <c r="O152" i="2"/>
  <c r="N132" i="2"/>
  <c r="O111" i="2"/>
  <c r="O131" i="2"/>
  <c r="J69" i="5" s="1"/>
  <c r="J41" i="5"/>
  <c r="J41" i="7" s="1"/>
  <c r="I42" i="5"/>
  <c r="N110" i="2"/>
  <c r="N109" i="2"/>
  <c r="O108" i="2"/>
  <c r="O99" i="2"/>
  <c r="F164" i="5" l="1"/>
  <c r="J142" i="5"/>
  <c r="J143" i="5" s="1"/>
  <c r="I42" i="7"/>
  <c r="J42" i="7"/>
  <c r="J42" i="5"/>
  <c r="O130" i="2"/>
  <c r="J68" i="5" s="1"/>
  <c r="J70" i="5" s="1"/>
  <c r="O109" i="2"/>
  <c r="O110" i="2"/>
  <c r="K65" i="2"/>
  <c r="H164" i="5" l="1"/>
  <c r="J164" i="5" s="1"/>
  <c r="O132" i="2"/>
  <c r="K84" i="2"/>
  <c r="K96" i="2" s="1"/>
  <c r="L65" i="2"/>
  <c r="L84" i="2" s="1"/>
  <c r="L96" i="2" s="1"/>
  <c r="K103" i="2" l="1"/>
  <c r="K116" i="2" s="1"/>
  <c r="K139" i="2" s="1"/>
  <c r="K164" i="2" s="1"/>
  <c r="H195" i="7"/>
  <c r="L103" i="2"/>
  <c r="L116" i="2" s="1"/>
  <c r="L139" i="2" s="1"/>
  <c r="L164" i="2" s="1"/>
  <c r="I195" i="7"/>
  <c r="M65" i="2"/>
  <c r="M84" i="2" s="1"/>
  <c r="M96" i="2" s="1"/>
  <c r="M103" i="2" l="1"/>
  <c r="M116" i="2" s="1"/>
  <c r="M139" i="2" s="1"/>
  <c r="M164" i="2" s="1"/>
  <c r="J195" i="7"/>
  <c r="N65" i="2"/>
  <c r="N84" i="2" s="1"/>
  <c r="N96" i="2" s="1"/>
  <c r="O65" i="2"/>
  <c r="O84" i="2" s="1"/>
  <c r="O96" i="2" s="1"/>
  <c r="L88" i="1"/>
  <c r="M88" i="1"/>
  <c r="N88" i="1"/>
  <c r="O88" i="1"/>
  <c r="L89" i="1"/>
  <c r="M89" i="1"/>
  <c r="N89" i="1"/>
  <c r="O89" i="1"/>
  <c r="P89" i="1"/>
  <c r="L90" i="1"/>
  <c r="M90" i="1"/>
  <c r="N90" i="1"/>
  <c r="O90" i="1"/>
  <c r="P90" i="1"/>
  <c r="L91" i="1"/>
  <c r="M91" i="1"/>
  <c r="N91" i="1"/>
  <c r="O91" i="1"/>
  <c r="P91" i="1"/>
  <c r="L92" i="1"/>
  <c r="M92" i="1"/>
  <c r="N92" i="1"/>
  <c r="O92" i="1"/>
  <c r="P92" i="1"/>
  <c r="L94" i="1"/>
  <c r="M94" i="1"/>
  <c r="N94" i="1"/>
  <c r="O94" i="1"/>
  <c r="P94" i="1"/>
  <c r="L95" i="1"/>
  <c r="M95" i="1"/>
  <c r="N95" i="1"/>
  <c r="O95" i="1"/>
  <c r="P95" i="1"/>
  <c r="L96" i="1"/>
  <c r="M96" i="1"/>
  <c r="N96" i="1"/>
  <c r="O96" i="1"/>
  <c r="P96" i="1"/>
  <c r="L98" i="1"/>
  <c r="M98" i="1"/>
  <c r="N98" i="1"/>
  <c r="O98" i="1"/>
  <c r="P98" i="1"/>
  <c r="L99" i="1"/>
  <c r="M99" i="1"/>
  <c r="N99" i="1"/>
  <c r="O99" i="1"/>
  <c r="P99" i="1"/>
  <c r="L100" i="1"/>
  <c r="M100" i="1"/>
  <c r="N100" i="1"/>
  <c r="O100" i="1"/>
  <c r="P100" i="1"/>
  <c r="M87" i="1"/>
  <c r="N87" i="1"/>
  <c r="O87" i="1"/>
  <c r="P87" i="1"/>
  <c r="B81" i="1"/>
  <c r="M62" i="1"/>
  <c r="N62" i="1"/>
  <c r="O62" i="1"/>
  <c r="O54" i="1"/>
  <c r="M54" i="1"/>
  <c r="M46" i="1"/>
  <c r="N46" i="1"/>
  <c r="O46" i="1"/>
  <c r="L51" i="1"/>
  <c r="M51" i="1"/>
  <c r="N51" i="1"/>
  <c r="P51" i="1"/>
  <c r="P43" i="1"/>
  <c r="O43" i="1"/>
  <c r="M43" i="1"/>
  <c r="L43" i="1"/>
  <c r="L28" i="1"/>
  <c r="N28" i="1"/>
  <c r="O28" i="1"/>
  <c r="P28" i="1"/>
  <c r="M34" i="1"/>
  <c r="O34" i="1"/>
  <c r="M37" i="1"/>
  <c r="O37" i="1"/>
  <c r="L38" i="1"/>
  <c r="M38" i="1"/>
  <c r="O38" i="1"/>
  <c r="P38" i="1"/>
  <c r="P27" i="1"/>
  <c r="O27" i="1"/>
  <c r="N27" i="1"/>
  <c r="M27" i="1"/>
  <c r="L27" i="1"/>
  <c r="L22" i="1"/>
  <c r="L17" i="1"/>
  <c r="L19" i="1"/>
  <c r="M17" i="1"/>
  <c r="O17" i="1"/>
  <c r="P17" i="1"/>
  <c r="M19" i="1"/>
  <c r="O19" i="1"/>
  <c r="P19" i="1"/>
  <c r="M22" i="1"/>
  <c r="O22" i="1"/>
  <c r="P22" i="1"/>
  <c r="Q88" i="1" l="1"/>
  <c r="O103" i="2"/>
  <c r="O116" i="2" s="1"/>
  <c r="O139" i="2" s="1"/>
  <c r="O164" i="2" s="1"/>
  <c r="L195" i="7"/>
  <c r="N103" i="2"/>
  <c r="N116" i="2" s="1"/>
  <c r="N139" i="2" s="1"/>
  <c r="N164" i="2" s="1"/>
  <c r="K195" i="7"/>
  <c r="Q98" i="1"/>
  <c r="Q92" i="1"/>
  <c r="Q90" i="1"/>
  <c r="N52" i="1"/>
  <c r="N63" i="1"/>
  <c r="Q87" i="1"/>
  <c r="T87" i="1" s="1"/>
  <c r="Q96" i="1"/>
  <c r="Q89" i="1"/>
  <c r="M52" i="1"/>
  <c r="Q100" i="1"/>
  <c r="Q95" i="1"/>
  <c r="P52" i="1"/>
  <c r="P63" i="1"/>
  <c r="Q99" i="1"/>
  <c r="Q94" i="1"/>
  <c r="Q91" i="1"/>
  <c r="K71" i="2" s="1"/>
  <c r="O25" i="1"/>
  <c r="N45" i="1"/>
  <c r="N25" i="1"/>
  <c r="N22" i="1"/>
  <c r="N21" i="1"/>
  <c r="N20" i="1"/>
  <c r="N19" i="1"/>
  <c r="N17" i="1"/>
  <c r="L20" i="1"/>
  <c r="L21" i="1"/>
  <c r="N38" i="1"/>
  <c r="P37" i="1"/>
  <c r="L37" i="1"/>
  <c r="P34" i="1"/>
  <c r="L34" i="1"/>
  <c r="M28" i="1"/>
  <c r="N43" i="1"/>
  <c r="O21" i="1"/>
  <c r="M25" i="1"/>
  <c r="M20" i="1"/>
  <c r="P45" i="1"/>
  <c r="L45" i="1"/>
  <c r="O20" i="1"/>
  <c r="M21" i="1"/>
  <c r="P25" i="1"/>
  <c r="P21" i="1"/>
  <c r="P20" i="1"/>
  <c r="N37" i="1"/>
  <c r="N34" i="1"/>
  <c r="O45" i="1"/>
  <c r="L54" i="1"/>
  <c r="P54" i="1"/>
  <c r="O52" i="1"/>
  <c r="O51" i="1"/>
  <c r="P46" i="1"/>
  <c r="L46" i="1"/>
  <c r="M45" i="1"/>
  <c r="N54" i="1"/>
  <c r="O63" i="1"/>
  <c r="P62" i="1"/>
  <c r="L62" i="1"/>
  <c r="J79" i="1"/>
  <c r="I79" i="1"/>
  <c r="K79" i="1"/>
  <c r="H79" i="1"/>
  <c r="T89" i="1" l="1"/>
  <c r="K68" i="2"/>
  <c r="P69" i="8" s="1"/>
  <c r="T88" i="1"/>
  <c r="K80" i="8"/>
  <c r="P80" i="8" s="1"/>
  <c r="L80" i="8"/>
  <c r="K72" i="8"/>
  <c r="P72" i="8" s="1"/>
  <c r="Z94" i="1"/>
  <c r="AB94" i="1" s="1"/>
  <c r="K70" i="2"/>
  <c r="T92" i="1"/>
  <c r="W92" i="1" s="1"/>
  <c r="K74" i="2"/>
  <c r="K75" i="8"/>
  <c r="P75" i="8" s="1"/>
  <c r="T93" i="1"/>
  <c r="W93" i="1" s="1"/>
  <c r="K76" i="8"/>
  <c r="P76" i="8" s="1"/>
  <c r="K76" i="2"/>
  <c r="K77" i="8"/>
  <c r="P77" i="8" s="1"/>
  <c r="T94" i="1"/>
  <c r="K79" i="2"/>
  <c r="L75" i="8"/>
  <c r="Q75" i="8" s="1"/>
  <c r="M75" i="8"/>
  <c r="R75" i="8" s="1"/>
  <c r="O75" i="8"/>
  <c r="T75" i="8" s="1"/>
  <c r="N75" i="8"/>
  <c r="S75" i="8" s="1"/>
  <c r="M80" i="8"/>
  <c r="O80" i="8"/>
  <c r="N80" i="8"/>
  <c r="L77" i="8"/>
  <c r="Q77" i="8" s="1"/>
  <c r="M77" i="8"/>
  <c r="R77" i="8" s="1"/>
  <c r="N77" i="8"/>
  <c r="S77" i="8" s="1"/>
  <c r="O77" i="8"/>
  <c r="T77" i="8" s="1"/>
  <c r="L76" i="8"/>
  <c r="Q76" i="8" s="1"/>
  <c r="M76" i="8"/>
  <c r="R76" i="8" s="1"/>
  <c r="O76" i="8"/>
  <c r="T76" i="8" s="1"/>
  <c r="N76" i="8"/>
  <c r="S76" i="8" s="1"/>
  <c r="L68" i="2"/>
  <c r="M68" i="2"/>
  <c r="N68" i="2"/>
  <c r="O68" i="2"/>
  <c r="L71" i="2"/>
  <c r="L72" i="8" s="1"/>
  <c r="Q72" i="8" s="1"/>
  <c r="M71" i="2"/>
  <c r="M72" i="8" s="1"/>
  <c r="R72" i="8" s="1"/>
  <c r="N71" i="2"/>
  <c r="N72" i="8" s="1"/>
  <c r="S72" i="8" s="1"/>
  <c r="O71" i="2"/>
  <c r="O72" i="8" s="1"/>
  <c r="T72" i="8" s="1"/>
  <c r="K75" i="2"/>
  <c r="L75" i="2"/>
  <c r="M75" i="2"/>
  <c r="N75" i="2"/>
  <c r="O75" i="2"/>
  <c r="L74" i="2"/>
  <c r="M74" i="2"/>
  <c r="N74" i="2"/>
  <c r="O74" i="2"/>
  <c r="L76" i="2"/>
  <c r="M76" i="2"/>
  <c r="N76" i="2"/>
  <c r="O76" i="2"/>
  <c r="L70" i="2"/>
  <c r="L71" i="8" s="1"/>
  <c r="Q71" i="8" s="1"/>
  <c r="M70" i="2"/>
  <c r="M71" i="8" s="1"/>
  <c r="R71" i="8" s="1"/>
  <c r="N70" i="2"/>
  <c r="N71" i="8" s="1"/>
  <c r="S71" i="8" s="1"/>
  <c r="O70" i="2"/>
  <c r="O71" i="8" s="1"/>
  <c r="T71" i="8" s="1"/>
  <c r="W94" i="1"/>
  <c r="L79" i="2"/>
  <c r="M79" i="2"/>
  <c r="N79" i="2"/>
  <c r="O79" i="2"/>
  <c r="K69" i="2" l="1"/>
  <c r="K72" i="2" s="1"/>
  <c r="K119" i="8"/>
  <c r="K71" i="8"/>
  <c r="P71" i="8" s="1"/>
  <c r="U71" i="8" s="1"/>
  <c r="U72" i="8"/>
  <c r="S69" i="8"/>
  <c r="R69" i="8"/>
  <c r="Q69" i="8"/>
  <c r="T69" i="8"/>
  <c r="U76" i="8"/>
  <c r="U77" i="8"/>
  <c r="O119" i="8"/>
  <c r="T80" i="8"/>
  <c r="M119" i="8"/>
  <c r="R80" i="8"/>
  <c r="L119" i="8"/>
  <c r="Q80" i="8"/>
  <c r="U75" i="8"/>
  <c r="N119" i="8"/>
  <c r="S80" i="8"/>
  <c r="K118" i="2"/>
  <c r="Z93" i="1"/>
  <c r="AB93" i="1" s="1"/>
  <c r="T90" i="1"/>
  <c r="T91" i="1" s="1"/>
  <c r="T95" i="1" s="1"/>
  <c r="J57" i="7"/>
  <c r="O120" i="8"/>
  <c r="I57" i="7"/>
  <c r="N120" i="8"/>
  <c r="H57" i="7"/>
  <c r="M120" i="8"/>
  <c r="G57" i="7"/>
  <c r="L120" i="8"/>
  <c r="F57" i="7"/>
  <c r="K120" i="8"/>
  <c r="W95" i="1"/>
  <c r="F56" i="7"/>
  <c r="H56" i="7"/>
  <c r="G56" i="7"/>
  <c r="I56" i="7"/>
  <c r="J56" i="7"/>
  <c r="O157" i="2"/>
  <c r="O160" i="2" s="1"/>
  <c r="O159" i="2"/>
  <c r="N159" i="2"/>
  <c r="N157" i="2"/>
  <c r="N160" i="2" s="1"/>
  <c r="M159" i="2"/>
  <c r="M157" i="2"/>
  <c r="M160" i="2" s="1"/>
  <c r="L159" i="2"/>
  <c r="L157" i="2"/>
  <c r="L160" i="2" s="1"/>
  <c r="K157" i="2"/>
  <c r="K160" i="2" s="1"/>
  <c r="K159" i="2"/>
  <c r="F56" i="5"/>
  <c r="O119" i="2"/>
  <c r="J57" i="5" s="1"/>
  <c r="K119" i="2"/>
  <c r="F57" i="5" s="1"/>
  <c r="M118" i="2"/>
  <c r="H56" i="5" s="1"/>
  <c r="O118" i="2"/>
  <c r="J56" i="5" s="1"/>
  <c r="N118" i="2"/>
  <c r="I56" i="5" s="1"/>
  <c r="N119" i="2"/>
  <c r="I57" i="5" s="1"/>
  <c r="M119" i="2"/>
  <c r="H57" i="5" s="1"/>
  <c r="L118" i="2"/>
  <c r="G56" i="5" s="1"/>
  <c r="L119" i="2"/>
  <c r="G57" i="5" s="1"/>
  <c r="M69" i="2"/>
  <c r="L69" i="2"/>
  <c r="O69" i="2"/>
  <c r="N69" i="2"/>
  <c r="U69" i="8" l="1"/>
  <c r="U80" i="8"/>
  <c r="K70" i="8"/>
  <c r="P70" i="8" s="1"/>
  <c r="K158" i="8"/>
  <c r="K160" i="8"/>
  <c r="M70" i="8"/>
  <c r="M158" i="8"/>
  <c r="M160" i="8"/>
  <c r="N70" i="8"/>
  <c r="N160" i="8"/>
  <c r="N158" i="8"/>
  <c r="O70" i="8"/>
  <c r="O158" i="8"/>
  <c r="O160" i="8"/>
  <c r="L70" i="8"/>
  <c r="L160" i="8"/>
  <c r="L158" i="8"/>
  <c r="N72" i="2"/>
  <c r="N142" i="2" s="1"/>
  <c r="N141" i="2"/>
  <c r="K141" i="2"/>
  <c r="M72" i="2"/>
  <c r="M142" i="2" s="1"/>
  <c r="M141" i="2"/>
  <c r="O72" i="2"/>
  <c r="O142" i="2" s="1"/>
  <c r="O141" i="2"/>
  <c r="L72" i="2"/>
  <c r="L142" i="2" s="1"/>
  <c r="L141" i="2"/>
  <c r="M73" i="8" l="1"/>
  <c r="R73" i="8" s="1"/>
  <c r="R70" i="8"/>
  <c r="O73" i="8"/>
  <c r="T73" i="8" s="1"/>
  <c r="T70" i="8"/>
  <c r="N73" i="8"/>
  <c r="S73" i="8" s="1"/>
  <c r="S70" i="8"/>
  <c r="L73" i="8"/>
  <c r="Q73" i="8" s="1"/>
  <c r="Q70" i="8"/>
  <c r="K142" i="8"/>
  <c r="K73" i="8"/>
  <c r="P73" i="8" s="1"/>
  <c r="K142" i="2"/>
  <c r="O142" i="8"/>
  <c r="M142" i="8"/>
  <c r="L142" i="8"/>
  <c r="N142" i="8"/>
  <c r="O78" i="2"/>
  <c r="J44" i="5" s="1"/>
  <c r="J46" i="5" s="1"/>
  <c r="L105" i="2"/>
  <c r="L107" i="2" s="1"/>
  <c r="L112" i="2" s="1"/>
  <c r="L78" i="2"/>
  <c r="G44" i="5" s="1"/>
  <c r="G46" i="5" s="1"/>
  <c r="K105" i="2"/>
  <c r="K107" i="2" s="1"/>
  <c r="K112" i="2" s="1"/>
  <c r="K78" i="2"/>
  <c r="N105" i="2"/>
  <c r="N107" i="2" s="1"/>
  <c r="N112" i="2" s="1"/>
  <c r="N78" i="2"/>
  <c r="I44" i="5" s="1"/>
  <c r="I46" i="5" s="1"/>
  <c r="O105" i="2"/>
  <c r="O107" i="2" s="1"/>
  <c r="O112" i="2" s="1"/>
  <c r="M105" i="2"/>
  <c r="M107" i="2" s="1"/>
  <c r="M112" i="2" s="1"/>
  <c r="M78" i="2"/>
  <c r="H44" i="5" s="1"/>
  <c r="H46" i="5" s="1"/>
  <c r="L143" i="8" l="1"/>
  <c r="M106" i="8"/>
  <c r="M108" i="8" s="1"/>
  <c r="N106" i="8"/>
  <c r="N108" i="8" s="1"/>
  <c r="M79" i="8"/>
  <c r="H44" i="7" s="1"/>
  <c r="H46" i="7" s="1"/>
  <c r="N143" i="8"/>
  <c r="O79" i="8"/>
  <c r="O99" i="8" s="1"/>
  <c r="L79" i="8"/>
  <c r="Q79" i="8" s="1"/>
  <c r="M143" i="8"/>
  <c r="O143" i="8"/>
  <c r="N79" i="8"/>
  <c r="N81" i="8" s="1"/>
  <c r="S81" i="8" s="1"/>
  <c r="U70" i="8"/>
  <c r="U73" i="8"/>
  <c r="L106" i="8"/>
  <c r="L108" i="8" s="1"/>
  <c r="O106" i="8"/>
  <c r="O108" i="8" s="1"/>
  <c r="F35" i="5"/>
  <c r="F37" i="5" s="1"/>
  <c r="F47" i="5" s="1"/>
  <c r="K79" i="8"/>
  <c r="P79" i="8" s="1"/>
  <c r="K106" i="8"/>
  <c r="K108" i="8" s="1"/>
  <c r="K98" i="2"/>
  <c r="K100" i="2" s="1"/>
  <c r="K143" i="8"/>
  <c r="J35" i="5"/>
  <c r="J37" i="5" s="1"/>
  <c r="J47" i="5" s="1"/>
  <c r="J48" i="5" s="1"/>
  <c r="J81" i="5" s="1"/>
  <c r="K80" i="2"/>
  <c r="O98" i="2"/>
  <c r="O100" i="2" s="1"/>
  <c r="O80" i="2"/>
  <c r="O165" i="2" s="1"/>
  <c r="O168" i="2" s="1"/>
  <c r="L80" i="2"/>
  <c r="L165" i="2" s="1"/>
  <c r="L168" i="2" s="1"/>
  <c r="L98" i="2"/>
  <c r="L100" i="2" s="1"/>
  <c r="G35" i="5"/>
  <c r="G37" i="5" s="1"/>
  <c r="G47" i="5" s="1"/>
  <c r="G48" i="5" s="1"/>
  <c r="G97" i="5" s="1"/>
  <c r="M80" i="2"/>
  <c r="M165" i="2" s="1"/>
  <c r="M168" i="2" s="1"/>
  <c r="F44" i="5"/>
  <c r="F46" i="5" s="1"/>
  <c r="I35" i="5"/>
  <c r="I37" i="5" s="1"/>
  <c r="I47" i="5" s="1"/>
  <c r="I48" i="5" s="1"/>
  <c r="I97" i="5" s="1"/>
  <c r="N98" i="2"/>
  <c r="N100" i="2" s="1"/>
  <c r="N80" i="2"/>
  <c r="N165" i="2" s="1"/>
  <c r="N168" i="2" s="1"/>
  <c r="H35" i="5"/>
  <c r="H37" i="5" s="1"/>
  <c r="H47" i="5" s="1"/>
  <c r="H48" i="5" s="1"/>
  <c r="H97" i="5" s="1"/>
  <c r="M98" i="2"/>
  <c r="M100" i="2" s="1"/>
  <c r="M81" i="8" l="1"/>
  <c r="R81" i="8" s="1"/>
  <c r="I44" i="7"/>
  <c r="I46" i="7" s="1"/>
  <c r="T79" i="8"/>
  <c r="R79" i="8"/>
  <c r="M99" i="8"/>
  <c r="N99" i="8"/>
  <c r="J44" i="7"/>
  <c r="J46" i="7" s="1"/>
  <c r="O81" i="8"/>
  <c r="J55" i="7" s="1"/>
  <c r="S79" i="8"/>
  <c r="L81" i="8"/>
  <c r="Q81" i="8" s="1"/>
  <c r="G44" i="7"/>
  <c r="G46" i="7" s="1"/>
  <c r="L99" i="8"/>
  <c r="L101" i="8" s="1"/>
  <c r="N118" i="8"/>
  <c r="N121" i="8" s="1"/>
  <c r="N123" i="8" s="1"/>
  <c r="I60" i="7" s="1"/>
  <c r="N144" i="8"/>
  <c r="N105" i="8"/>
  <c r="N107" i="8" s="1"/>
  <c r="I55" i="7"/>
  <c r="I58" i="7" s="1"/>
  <c r="N166" i="8"/>
  <c r="F48" i="5"/>
  <c r="K165" i="2"/>
  <c r="K168" i="2" s="1"/>
  <c r="K117" i="2"/>
  <c r="F55" i="5" s="1"/>
  <c r="F58" i="5" s="1"/>
  <c r="K81" i="8"/>
  <c r="F35" i="7"/>
  <c r="F37" i="7" s="1"/>
  <c r="F44" i="7"/>
  <c r="F46" i="7" s="1"/>
  <c r="K99" i="8"/>
  <c r="K101" i="8" s="1"/>
  <c r="M118" i="8"/>
  <c r="M121" i="8" s="1"/>
  <c r="M123" i="8" s="1"/>
  <c r="H60" i="7" s="1"/>
  <c r="J97" i="5"/>
  <c r="K143" i="2"/>
  <c r="K144" i="2"/>
  <c r="K97" i="2"/>
  <c r="K101" i="2" s="1"/>
  <c r="K104" i="2"/>
  <c r="K106" i="2" s="1"/>
  <c r="O104" i="2"/>
  <c r="O106" i="2" s="1"/>
  <c r="O97" i="2"/>
  <c r="O101" i="2" s="1"/>
  <c r="O144" i="2"/>
  <c r="O143" i="2"/>
  <c r="O117" i="2"/>
  <c r="J55" i="5" s="1"/>
  <c r="J58" i="5" s="1"/>
  <c r="L97" i="2"/>
  <c r="L101" i="2" s="1"/>
  <c r="L104" i="2"/>
  <c r="L106" i="2" s="1"/>
  <c r="N117" i="2"/>
  <c r="I55" i="5" s="1"/>
  <c r="I58" i="5" s="1"/>
  <c r="L143" i="2"/>
  <c r="L144" i="2"/>
  <c r="L117" i="2"/>
  <c r="G55" i="5" s="1"/>
  <c r="G58" i="5" s="1"/>
  <c r="M104" i="2"/>
  <c r="M106" i="2" s="1"/>
  <c r="M117" i="2"/>
  <c r="H55" i="5" s="1"/>
  <c r="H58" i="5" s="1"/>
  <c r="F97" i="5"/>
  <c r="F98" i="5" s="1"/>
  <c r="G98" i="5" s="1"/>
  <c r="H98" i="5" s="1"/>
  <c r="I98" i="5" s="1"/>
  <c r="N104" i="2"/>
  <c r="N106" i="2" s="1"/>
  <c r="N144" i="2"/>
  <c r="N97" i="2"/>
  <c r="N101" i="2" s="1"/>
  <c r="M143" i="2"/>
  <c r="M97" i="2"/>
  <c r="M101" i="2" s="1"/>
  <c r="M144" i="2"/>
  <c r="N143" i="2"/>
  <c r="J91" i="5"/>
  <c r="J86" i="5"/>
  <c r="M144" i="8" l="1"/>
  <c r="L144" i="8"/>
  <c r="M166" i="8"/>
  <c r="H55" i="7"/>
  <c r="H58" i="7" s="1"/>
  <c r="H61" i="7" s="1"/>
  <c r="H66" i="7" s="1"/>
  <c r="U79" i="8"/>
  <c r="M105" i="8"/>
  <c r="M107" i="8" s="1"/>
  <c r="L98" i="8"/>
  <c r="L102" i="8" s="1"/>
  <c r="L166" i="8"/>
  <c r="T81" i="8"/>
  <c r="O166" i="8"/>
  <c r="O105" i="8"/>
  <c r="O107" i="8" s="1"/>
  <c r="J58" i="7"/>
  <c r="J61" i="7" s="1"/>
  <c r="O118" i="8"/>
  <c r="O121" i="8" s="1"/>
  <c r="O123" i="8" s="1"/>
  <c r="J60" i="7" s="1"/>
  <c r="O144" i="8"/>
  <c r="K60" i="8"/>
  <c r="L60" i="8" s="1"/>
  <c r="M60" i="8" s="1"/>
  <c r="N60" i="8" s="1"/>
  <c r="O60" i="8" s="1"/>
  <c r="P81" i="8"/>
  <c r="I61" i="7"/>
  <c r="I66" i="7" s="1"/>
  <c r="L105" i="8"/>
  <c r="L107" i="8" s="1"/>
  <c r="G55" i="7"/>
  <c r="G58" i="7" s="1"/>
  <c r="L118" i="8"/>
  <c r="L121" i="8" s="1"/>
  <c r="L123" i="8" s="1"/>
  <c r="G60" i="7" s="1"/>
  <c r="K166" i="8"/>
  <c r="K105" i="8"/>
  <c r="K107" i="8" s="1"/>
  <c r="F55" i="7"/>
  <c r="F58" i="7" s="1"/>
  <c r="K118" i="8"/>
  <c r="K121" i="8" s="1"/>
  <c r="K123" i="8" s="1"/>
  <c r="F60" i="7" s="1"/>
  <c r="J98" i="5"/>
  <c r="F47" i="7"/>
  <c r="F48" i="7" s="1"/>
  <c r="F97" i="7" s="1"/>
  <c r="F98" i="7" s="1"/>
  <c r="K98" i="8"/>
  <c r="K102" i="8" s="1"/>
  <c r="K144" i="8"/>
  <c r="N124" i="8"/>
  <c r="N129" i="8" s="1"/>
  <c r="M124" i="8"/>
  <c r="M129" i="8" s="1"/>
  <c r="K120" i="2"/>
  <c r="K122" i="2" s="1"/>
  <c r="F60" i="5" s="1"/>
  <c r="F61" i="5" s="1"/>
  <c r="O120" i="2"/>
  <c r="O122" i="2" s="1"/>
  <c r="J60" i="5" s="1"/>
  <c r="J61" i="5" s="1"/>
  <c r="J66" i="5" s="1"/>
  <c r="J72" i="5" s="1"/>
  <c r="J80" i="5" s="1"/>
  <c r="N120" i="2"/>
  <c r="N122" i="2" s="1"/>
  <c r="I60" i="5" s="1"/>
  <c r="I61" i="5" s="1"/>
  <c r="I66" i="5" s="1"/>
  <c r="I72" i="5" s="1"/>
  <c r="I100" i="5" s="1"/>
  <c r="I103" i="5" s="1"/>
  <c r="L120" i="2"/>
  <c r="L122" i="2" s="1"/>
  <c r="G60" i="5" s="1"/>
  <c r="G61" i="5" s="1"/>
  <c r="G66" i="5" s="1"/>
  <c r="G72" i="5" s="1"/>
  <c r="G100" i="5" s="1"/>
  <c r="G103" i="5" s="1"/>
  <c r="M120" i="2"/>
  <c r="M122" i="2" s="1"/>
  <c r="H60" i="5" s="1"/>
  <c r="H61" i="5" s="1"/>
  <c r="H66" i="5" s="1"/>
  <c r="H72" i="5" s="1"/>
  <c r="H100" i="5" s="1"/>
  <c r="H103" i="5" s="1"/>
  <c r="O124" i="8" l="1"/>
  <c r="O129" i="8" s="1"/>
  <c r="J66" i="7"/>
  <c r="L124" i="8"/>
  <c r="L129" i="8" s="1"/>
  <c r="U81" i="8"/>
  <c r="G61" i="7"/>
  <c r="G66" i="7" s="1"/>
  <c r="F61" i="7"/>
  <c r="F66" i="7" s="1"/>
  <c r="K124" i="8"/>
  <c r="K129" i="8" s="1"/>
  <c r="M100" i="8"/>
  <c r="M101" i="8" s="1"/>
  <c r="F66" i="5"/>
  <c r="F72" i="5" s="1"/>
  <c r="F100" i="5" s="1"/>
  <c r="F103" i="5" s="1"/>
  <c r="G34" i="7"/>
  <c r="K155" i="8"/>
  <c r="K168" i="8"/>
  <c r="K169" i="8" s="1"/>
  <c r="K145" i="8"/>
  <c r="J100" i="5"/>
  <c r="J103" i="5" s="1"/>
  <c r="K123" i="2"/>
  <c r="M123" i="2"/>
  <c r="N123" i="2"/>
  <c r="O123" i="2"/>
  <c r="L123" i="2"/>
  <c r="F106" i="5" l="1"/>
  <c r="M156" i="8"/>
  <c r="H129" i="7"/>
  <c r="H139" i="7"/>
  <c r="M167" i="8"/>
  <c r="M98" i="8"/>
  <c r="M102" i="8" s="1"/>
  <c r="N100" i="8"/>
  <c r="N101" i="8" s="1"/>
  <c r="K109" i="8"/>
  <c r="K157" i="8"/>
  <c r="K159" i="8"/>
  <c r="K161" i="8" s="1"/>
  <c r="L155" i="8"/>
  <c r="H34" i="7"/>
  <c r="L168" i="8"/>
  <c r="L169" i="8" s="1"/>
  <c r="L145" i="8"/>
  <c r="J90" i="5"/>
  <c r="J93" i="5" s="1"/>
  <c r="J101" i="5" s="1"/>
  <c r="J104" i="5" s="1"/>
  <c r="F107" i="5" s="1"/>
  <c r="J85" i="5"/>
  <c r="J87" i="5" s="1"/>
  <c r="N128" i="2"/>
  <c r="M128" i="2"/>
  <c r="L128" i="2"/>
  <c r="O128" i="2"/>
  <c r="K128" i="2"/>
  <c r="F108" i="5" l="1"/>
  <c r="F110" i="5" s="1"/>
  <c r="F114" i="5" s="1"/>
  <c r="F165" i="5" s="1"/>
  <c r="O100" i="8"/>
  <c r="O101" i="8" s="1"/>
  <c r="F130" i="7"/>
  <c r="F131" i="7" s="1"/>
  <c r="F132" i="7" s="1"/>
  <c r="F133" i="7" s="1"/>
  <c r="K153" i="8"/>
  <c r="K151" i="8"/>
  <c r="K64" i="8"/>
  <c r="K110" i="8"/>
  <c r="K111" i="8"/>
  <c r="K113" i="8" s="1"/>
  <c r="K148" i="8"/>
  <c r="K147" i="8"/>
  <c r="K149" i="8"/>
  <c r="K152" i="8"/>
  <c r="L109" i="8"/>
  <c r="L157" i="8"/>
  <c r="L159" i="8"/>
  <c r="L161" i="8" s="1"/>
  <c r="I129" i="7"/>
  <c r="N156" i="8"/>
  <c r="I139" i="7"/>
  <c r="N167" i="8"/>
  <c r="N98" i="8"/>
  <c r="N102" i="8" s="1"/>
  <c r="F140" i="7"/>
  <c r="F141" i="7" s="1"/>
  <c r="F142" i="7" s="1"/>
  <c r="F143" i="7" s="1"/>
  <c r="G33" i="7"/>
  <c r="G35" i="7" s="1"/>
  <c r="G37" i="7" s="1"/>
  <c r="G47" i="7" s="1"/>
  <c r="G48" i="7" s="1"/>
  <c r="G97" i="7" s="1"/>
  <c r="G98" i="7" s="1"/>
  <c r="M155" i="8"/>
  <c r="I34" i="7"/>
  <c r="M168" i="8"/>
  <c r="M169" i="8" s="1"/>
  <c r="M145" i="8"/>
  <c r="L134" i="2"/>
  <c r="I196" i="7" s="1"/>
  <c r="M134" i="2"/>
  <c r="J196" i="7" s="1"/>
  <c r="K134" i="2"/>
  <c r="H196" i="7" s="1"/>
  <c r="O134" i="2"/>
  <c r="L196" i="7" s="1"/>
  <c r="N134" i="2"/>
  <c r="K196" i="7" s="1"/>
  <c r="F120" i="5" l="1"/>
  <c r="F121" i="5" s="1"/>
  <c r="G140" i="7"/>
  <c r="G141" i="7" s="1"/>
  <c r="G142" i="7" s="1"/>
  <c r="G143" i="7" s="1"/>
  <c r="H33" i="7"/>
  <c r="H35" i="7" s="1"/>
  <c r="H37" i="7" s="1"/>
  <c r="H47" i="7" s="1"/>
  <c r="H48" i="7" s="1"/>
  <c r="H97" i="7" s="1"/>
  <c r="H98" i="7" s="1"/>
  <c r="L110" i="8"/>
  <c r="L111" i="8"/>
  <c r="L113" i="8" s="1"/>
  <c r="K131" i="8"/>
  <c r="K112" i="8"/>
  <c r="M157" i="8"/>
  <c r="M109" i="8"/>
  <c r="M159" i="8"/>
  <c r="M161" i="8" s="1"/>
  <c r="L153" i="8"/>
  <c r="G130" i="7"/>
  <c r="G131" i="7" s="1"/>
  <c r="G132" i="7" s="1"/>
  <c r="G133" i="7" s="1"/>
  <c r="L151" i="8"/>
  <c r="L64" i="8"/>
  <c r="O167" i="8"/>
  <c r="O156" i="8"/>
  <c r="J139" i="7"/>
  <c r="J129" i="7"/>
  <c r="O98" i="8"/>
  <c r="O102" i="8" s="1"/>
  <c r="L147" i="8"/>
  <c r="L149" i="8"/>
  <c r="L152" i="8"/>
  <c r="L148" i="8"/>
  <c r="N155" i="8"/>
  <c r="J34" i="7"/>
  <c r="N168" i="8"/>
  <c r="N169" i="8" s="1"/>
  <c r="N145" i="8"/>
  <c r="H165" i="5"/>
  <c r="J165" i="5" s="1"/>
  <c r="N163" i="5"/>
  <c r="N161" i="5"/>
  <c r="K133" i="8" l="1"/>
  <c r="K135" i="8" s="1"/>
  <c r="H197" i="7" s="1"/>
  <c r="F68" i="7"/>
  <c r="F70" i="7" s="1"/>
  <c r="M153" i="8"/>
  <c r="H130" i="7"/>
  <c r="H131" i="7" s="1"/>
  <c r="H132" i="7" s="1"/>
  <c r="H133" i="7" s="1"/>
  <c r="M151" i="8"/>
  <c r="M64" i="8"/>
  <c r="N157" i="8"/>
  <c r="N109" i="8"/>
  <c r="N159" i="8"/>
  <c r="N161" i="8" s="1"/>
  <c r="H140" i="7"/>
  <c r="H141" i="7" s="1"/>
  <c r="H142" i="7" s="1"/>
  <c r="H143" i="7" s="1"/>
  <c r="I33" i="7"/>
  <c r="I35" i="7" s="1"/>
  <c r="I37" i="7" s="1"/>
  <c r="I47" i="7" s="1"/>
  <c r="I48" i="7" s="1"/>
  <c r="I97" i="7" s="1"/>
  <c r="I98" i="7" s="1"/>
  <c r="M152" i="8"/>
  <c r="M147" i="8"/>
  <c r="M149" i="8"/>
  <c r="M148" i="8"/>
  <c r="L131" i="8"/>
  <c r="L112" i="8"/>
  <c r="M110" i="8"/>
  <c r="M111" i="8"/>
  <c r="M113" i="8" s="1"/>
  <c r="O155" i="8"/>
  <c r="O168" i="8"/>
  <c r="O169" i="8" s="1"/>
  <c r="O145" i="8"/>
  <c r="N162" i="5"/>
  <c r="L164" i="5" s="1"/>
  <c r="F176" i="5" s="1"/>
  <c r="F72" i="7" l="1"/>
  <c r="F100" i="7" s="1"/>
  <c r="F103" i="7" s="1"/>
  <c r="N153" i="8"/>
  <c r="I130" i="7"/>
  <c r="I131" i="7" s="1"/>
  <c r="I132" i="7" s="1"/>
  <c r="I133" i="7" s="1"/>
  <c r="N151" i="8"/>
  <c r="N64" i="8"/>
  <c r="G68" i="7"/>
  <c r="G70" i="7" s="1"/>
  <c r="G72" i="7" s="1"/>
  <c r="G100" i="7" s="1"/>
  <c r="G103" i="7" s="1"/>
  <c r="L133" i="8"/>
  <c r="L135" i="8" s="1"/>
  <c r="I197" i="7" s="1"/>
  <c r="N110" i="8"/>
  <c r="N111" i="8"/>
  <c r="N113" i="8" s="1"/>
  <c r="J33" i="7"/>
  <c r="J35" i="7" s="1"/>
  <c r="J37" i="7" s="1"/>
  <c r="J47" i="7" s="1"/>
  <c r="J48" i="7" s="1"/>
  <c r="I140" i="7"/>
  <c r="I141" i="7" s="1"/>
  <c r="I142" i="7" s="1"/>
  <c r="I143" i="7" s="1"/>
  <c r="J140" i="7"/>
  <c r="J141" i="7" s="1"/>
  <c r="M131" i="8"/>
  <c r="M112" i="8"/>
  <c r="N152" i="8"/>
  <c r="N148" i="8"/>
  <c r="N149" i="8"/>
  <c r="N147" i="8"/>
  <c r="O157" i="8"/>
  <c r="O159" i="8"/>
  <c r="O161" i="8" s="1"/>
  <c r="O109" i="8"/>
  <c r="N164" i="5"/>
  <c r="F175" i="5"/>
  <c r="H175" i="5" s="1"/>
  <c r="F174" i="5"/>
  <c r="H174" i="5" s="1"/>
  <c r="F176" i="7"/>
  <c r="H176" i="5"/>
  <c r="F183" i="7" l="1"/>
  <c r="L170" i="5"/>
  <c r="O110" i="8"/>
  <c r="O111" i="8"/>
  <c r="O113" i="8" s="1"/>
  <c r="H68" i="7"/>
  <c r="H70" i="7" s="1"/>
  <c r="H72" i="7" s="1"/>
  <c r="H100" i="7" s="1"/>
  <c r="H103" i="7" s="1"/>
  <c r="M133" i="8"/>
  <c r="M135" i="8" s="1"/>
  <c r="J197" i="7" s="1"/>
  <c r="J81" i="7"/>
  <c r="J97" i="7"/>
  <c r="J98" i="7" s="1"/>
  <c r="O153" i="8"/>
  <c r="J130" i="7"/>
  <c r="J131" i="7" s="1"/>
  <c r="O151" i="8"/>
  <c r="O64" i="8"/>
  <c r="O152" i="8"/>
  <c r="O148" i="8"/>
  <c r="O149" i="8"/>
  <c r="O147" i="8"/>
  <c r="F164" i="7"/>
  <c r="J142" i="7"/>
  <c r="J143" i="7" s="1"/>
  <c r="N131" i="8"/>
  <c r="N112" i="8"/>
  <c r="F174" i="7"/>
  <c r="F175" i="7"/>
  <c r="G174" i="7" l="1"/>
  <c r="J174" i="7" s="1"/>
  <c r="G175" i="7"/>
  <c r="J175" i="7" s="1"/>
  <c r="G176" i="7"/>
  <c r="H164" i="7"/>
  <c r="J164" i="7" s="1"/>
  <c r="F163" i="7"/>
  <c r="H163" i="7" s="1"/>
  <c r="J163" i="7" s="1"/>
  <c r="J132" i="7"/>
  <c r="J133" i="7" s="1"/>
  <c r="I68" i="7"/>
  <c r="I70" i="7" s="1"/>
  <c r="I72" i="7" s="1"/>
  <c r="I100" i="7" s="1"/>
  <c r="I103" i="7" s="1"/>
  <c r="N133" i="8"/>
  <c r="N135" i="8" s="1"/>
  <c r="K197" i="7" s="1"/>
  <c r="J86" i="7"/>
  <c r="J91" i="7"/>
  <c r="O131" i="8"/>
  <c r="O112" i="8"/>
  <c r="H174" i="7" l="1"/>
  <c r="H175" i="7"/>
  <c r="O133" i="8"/>
  <c r="O135" i="8" s="1"/>
  <c r="L197" i="7" s="1"/>
  <c r="J68" i="7"/>
  <c r="J70" i="7" s="1"/>
  <c r="J72" i="7" s="1"/>
  <c r="J80" i="7" s="1"/>
  <c r="J90" i="7" s="1"/>
  <c r="J93" i="7" s="1"/>
  <c r="J176" i="7"/>
  <c r="H176" i="7"/>
  <c r="J100" i="7" l="1"/>
  <c r="J103" i="7" s="1"/>
  <c r="F106" i="7" s="1"/>
  <c r="J85" i="7" l="1"/>
  <c r="J87" i="7" s="1"/>
  <c r="J101" i="7" l="1"/>
  <c r="J104" i="7" l="1"/>
  <c r="F107" i="7" s="1"/>
  <c r="F108" i="7" s="1"/>
  <c r="F110" i="7" s="1"/>
  <c r="F114" i="7" s="1"/>
  <c r="F165" i="7" l="1"/>
  <c r="N161" i="7" s="1"/>
  <c r="F120" i="7"/>
  <c r="F121" i="7" s="1"/>
  <c r="N163" i="7" l="1"/>
  <c r="N162" i="7" s="1"/>
  <c r="L164" i="7" s="1"/>
  <c r="L166" i="7" s="1"/>
  <c r="H165" i="7"/>
  <c r="J165" i="7" s="1"/>
  <c r="N164" i="7" l="1"/>
  <c r="F184" i="7" s="1"/>
  <c r="G183"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SP303-16</author>
  </authors>
  <commentList>
    <comment ref="A97" authorId="0" shapeId="0" xr:uid="{3D70EC1D-758D-4276-9A4C-F48FE31AD439}">
      <text>
        <r>
          <rPr>
            <sz val="9"/>
            <color indexed="81"/>
            <rFont val="Tahoma"/>
            <family val="2"/>
          </rPr>
          <t xml:space="preserve">siempre debe estar por encima de la inflacion del pais, base IPC // Tambien se compara con la DTF // tasa de rentabilidad TES // comparacion del mercado, del sector // Gestionar los activos </t>
        </r>
      </text>
    </comment>
    <comment ref="A98" authorId="0" shapeId="0" xr:uid="{4F5C9BDD-03C9-460A-9E73-C516115096CA}">
      <text/>
    </comment>
    <comment ref="A100" authorId="0" shapeId="0" xr:uid="{B96031BE-FC3A-4F38-80A0-38FF0CD7A8BA}">
      <text>
        <r>
          <rPr>
            <sz val="9"/>
            <color indexed="81"/>
            <rFont val="Tahoma"/>
            <family val="2"/>
          </rPr>
          <t xml:space="preserve">diferenrcia con el ROA es la carga operacional // Conocer la rentabilidad  del centro del negocio // entre mayor la diferencia se debe gestionar activos operacionales (gestionar cuando la diferncia es mayor a 5)
</t>
        </r>
      </text>
    </comment>
    <comment ref="A107" authorId="0" shapeId="0" xr:uid="{00547C26-0435-4885-9BC2-DD8E92211F98}">
      <text>
        <r>
          <rPr>
            <sz val="9"/>
            <color indexed="81"/>
            <rFont val="Tahoma"/>
            <family val="2"/>
          </rPr>
          <t xml:space="preserve">cantidad de dinero que sale para sostener la operación (Inversa )  // Rentabilidad de la operación </t>
        </r>
      </text>
    </comment>
    <comment ref="A108" authorId="0" shapeId="0" xr:uid="{E1F4B559-E39C-473F-9290-1E6A6F7943F1}">
      <text>
        <r>
          <rPr>
            <sz val="9"/>
            <color indexed="81"/>
            <rFont val="Tahoma"/>
            <family val="2"/>
          </rPr>
          <t>tiene un maximo // es la suma de inventarios + cxc - cxp proveedores</t>
        </r>
      </text>
    </comment>
    <comment ref="A110" authorId="0" shapeId="0" xr:uid="{73CA2798-BE2A-4783-A10C-87735F662D76}">
      <text>
        <r>
          <rPr>
            <sz val="9"/>
            <color indexed="81"/>
            <rFont val="Tahoma"/>
            <family val="2"/>
          </rPr>
          <t xml:space="preserve">Puede ser porcentaje o centavo // lo que requiero en centavos por cada peso que vendo </t>
        </r>
      </text>
    </comment>
    <comment ref="A112" authorId="0" shapeId="0" xr:uid="{7050B58D-1F7A-4D68-89D4-FC140844D209}">
      <text>
        <r>
          <rPr>
            <sz val="9"/>
            <color indexed="81"/>
            <rFont val="Tahoma"/>
            <family val="2"/>
          </rPr>
          <t xml:space="preserve">Lo que puede crecer sin tanto efectivo, su relacion debe estar por encima de 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SP303-02</author>
    <author>VEW0507</author>
  </authors>
  <commentList>
    <comment ref="J82" authorId="0" shapeId="0" xr:uid="{69412805-187D-4555-AD3A-6EAFB577A922}">
      <text>
        <r>
          <rPr>
            <b/>
            <sz val="9"/>
            <color indexed="81"/>
            <rFont val="Tahoma"/>
            <family val="2"/>
          </rPr>
          <t>SP303-02:</t>
        </r>
        <r>
          <rPr>
            <sz val="9"/>
            <color indexed="81"/>
            <rFont val="Tahoma"/>
            <family val="2"/>
          </rPr>
          <t xml:space="preserve">
EL ULTIMO CAJA CONOCINO VA A CRECER AL GRADIENTE DE PERPETUIDAD Y VA HACER DESCONTADO AL COSTO DE CAPTAL FINAL</t>
        </r>
      </text>
    </comment>
    <comment ref="J87" authorId="0" shapeId="0" xr:uid="{1B760FE6-AF11-4C56-B80F-EFB543F58384}">
      <text>
        <r>
          <rPr>
            <b/>
            <sz val="9"/>
            <color indexed="81"/>
            <rFont val="Tahoma"/>
            <family val="2"/>
          </rPr>
          <t>SP303-02:</t>
        </r>
        <r>
          <rPr>
            <sz val="9"/>
            <color indexed="81"/>
            <rFont val="Tahoma"/>
            <family val="2"/>
          </rPr>
          <t xml:space="preserve">
LOS 5,690 SE CONVIERTEN A PERPETUADID A 39,497,555</t>
        </r>
      </text>
    </comment>
    <comment ref="I163" authorId="1" shapeId="0" xr:uid="{0B9C048E-BF52-4ACD-BF48-F057474E6369}">
      <text>
        <r>
          <rPr>
            <sz val="9"/>
            <color indexed="81"/>
            <rFont val="Tahoma"/>
            <family val="2"/>
          </rPr>
          <t xml:space="preserve">
DE LA TABLA DORAMDAN</t>
        </r>
      </text>
    </comment>
    <comment ref="L166" authorId="0" shapeId="0" xr:uid="{DE45413A-282D-4D4A-B517-988EEC3FAE3D}">
      <text>
        <r>
          <rPr>
            <b/>
            <sz val="9"/>
            <color indexed="81"/>
            <rFont val="Tahoma"/>
            <family val="2"/>
          </rPr>
          <t>SP303-02:</t>
        </r>
        <r>
          <rPr>
            <sz val="9"/>
            <color indexed="81"/>
            <rFont val="Tahoma"/>
            <family val="2"/>
          </rPr>
          <t xml:space="preserve">
PO EL VALOR DE ACCION</t>
        </r>
      </text>
    </comment>
  </commentList>
</comments>
</file>

<file path=xl/sharedStrings.xml><?xml version="1.0" encoding="utf-8"?>
<sst xmlns="http://schemas.openxmlformats.org/spreadsheetml/2006/main" count="1058" uniqueCount="643">
  <si>
    <t>MODELO DE VALORACIÓN DE EMPRESAS</t>
  </si>
  <si>
    <t>ESTADOS FINANCIEROS CIFRAS HISTORICAS</t>
  </si>
  <si>
    <t>a 31 de Diciembre</t>
  </si>
  <si>
    <t xml:space="preserve"> Pesos Colombianos</t>
  </si>
  <si>
    <t>0 TOTAL ACTIVO</t>
  </si>
  <si>
    <t>0 TOTAL PATRIMONIO</t>
  </si>
  <si>
    <t>0 TOTAL PASIVO Y PATRIMONIO</t>
  </si>
  <si>
    <t>ACTIVO</t>
  </si>
  <si>
    <t>Activo Corriente</t>
  </si>
  <si>
    <t>Activo No Corriente</t>
  </si>
  <si>
    <t>Pasivo Corriente</t>
  </si>
  <si>
    <t>Pasivo No Corriente</t>
  </si>
  <si>
    <t>Patrimonio</t>
  </si>
  <si>
    <t>CONTROL (Pasivo y Patrimonio - Activo)</t>
  </si>
  <si>
    <t>ESTADO DE SITUACIÓN FINANCIERA</t>
  </si>
  <si>
    <t>ESTADO DE RESULTADO</t>
  </si>
  <si>
    <t>UTILIDAD BRUTA</t>
  </si>
  <si>
    <t>UTILIDAD OPERACIONAL</t>
  </si>
  <si>
    <t>UTILIDAD ANTES DE IMPUESTOS</t>
  </si>
  <si>
    <t>Operacional</t>
  </si>
  <si>
    <t>No Operacional</t>
  </si>
  <si>
    <t>Resultados Netos</t>
  </si>
  <si>
    <t xml:space="preserve">CUENTAS DE RESULTADO </t>
  </si>
  <si>
    <t>ANÁLISIS FINANCIERO</t>
  </si>
  <si>
    <t>ANÁLISIS VERTICAL</t>
  </si>
  <si>
    <t>ANÁLISIS VERTICAL - BASE EN VENTAS</t>
  </si>
  <si>
    <t>Ventas</t>
  </si>
  <si>
    <t>CIFRAS FUNDAMENTALES DE PROYECCIÓN</t>
  </si>
  <si>
    <t xml:space="preserve">CIFRAS DE PROYECCIÓN </t>
  </si>
  <si>
    <t xml:space="preserve">PLANES, POLITICAS Y EXPECTATIVAS </t>
  </si>
  <si>
    <t>CIFRAS PROYECTADAS</t>
  </si>
  <si>
    <t>CIFRAS HISTÓRICAS</t>
  </si>
  <si>
    <t>Promedio Estructural</t>
  </si>
  <si>
    <t>ESTADOS FINANCIEROS PROYECTADOS</t>
  </si>
  <si>
    <t>PROYECCIÓN DE ESTADOS FINANCIERO</t>
  </si>
  <si>
    <t>VALORACIÓN</t>
  </si>
  <si>
    <t>MODELOS DE VALORACIÓN</t>
  </si>
  <si>
    <t>CALCULO DEL COSTO DE LOS RECURSOS PROPIOS</t>
  </si>
  <si>
    <t>Rentabilidad Bonos del Tesoro USA</t>
  </si>
  <si>
    <t>Inflación USA</t>
  </si>
  <si>
    <t>Inflación Colombia</t>
  </si>
  <si>
    <t>RIESGO PAÍS</t>
  </si>
  <si>
    <t>Inflación en USA</t>
  </si>
  <si>
    <r>
      <t xml:space="preserve">Tasa libre de riesgo </t>
    </r>
    <r>
      <rPr>
        <b/>
        <u/>
        <sz val="11"/>
        <rFont val="Calibri"/>
        <family val="2"/>
      </rPr>
      <t>real</t>
    </r>
    <r>
      <rPr>
        <sz val="11"/>
        <rFont val="Calibri"/>
        <family val="2"/>
      </rPr>
      <t xml:space="preserve"> en dólares</t>
    </r>
  </si>
  <si>
    <t>Inflación COLOMBIA</t>
  </si>
  <si>
    <t>Riesgo país Colombia</t>
  </si>
  <si>
    <t>COSTO DE CAPITAL</t>
  </si>
  <si>
    <t>Años</t>
  </si>
  <si>
    <r>
      <t xml:space="preserve">Tasa libre de riesgo </t>
    </r>
    <r>
      <rPr>
        <b/>
        <u/>
        <sz val="11"/>
        <rFont val="Calibri"/>
        <family val="2"/>
      </rPr>
      <t>nominal</t>
    </r>
    <r>
      <rPr>
        <sz val="11"/>
        <rFont val="Calibri"/>
        <family val="2"/>
      </rPr>
      <t xml:space="preserve"> en dólares      KL</t>
    </r>
    <r>
      <rPr>
        <b/>
        <vertAlign val="subscript"/>
        <sz val="11"/>
        <rFont val="Calibri"/>
        <family val="2"/>
      </rPr>
      <t xml:space="preserve">  USA</t>
    </r>
  </si>
  <si>
    <r>
      <t xml:space="preserve">Tasa libre de riesgo  </t>
    </r>
    <r>
      <rPr>
        <b/>
        <u/>
        <sz val="11"/>
        <rFont val="Calibri"/>
        <family val="2"/>
      </rPr>
      <t>nominal</t>
    </r>
    <r>
      <rPr>
        <sz val="11"/>
        <rFont val="Calibri"/>
        <family val="2"/>
      </rPr>
      <t xml:space="preserve"> en $COL</t>
    </r>
  </si>
  <si>
    <r>
      <t xml:space="preserve">Prima de riesgo del mercado                </t>
    </r>
    <r>
      <rPr>
        <b/>
        <sz val="11"/>
        <rFont val="Calibri"/>
        <family val="2"/>
      </rPr>
      <t>(K</t>
    </r>
    <r>
      <rPr>
        <b/>
        <vertAlign val="subscript"/>
        <sz val="11"/>
        <rFont val="Calibri"/>
        <family val="2"/>
      </rPr>
      <t>m</t>
    </r>
    <r>
      <rPr>
        <b/>
        <sz val="11"/>
        <rFont val="Calibri"/>
        <family val="2"/>
      </rPr>
      <t xml:space="preserve"> - KL)</t>
    </r>
  </si>
  <si>
    <t>Rentabilidad acciones USA S&amp;P</t>
  </si>
  <si>
    <r>
      <t>Rentabilidad del Mercado</t>
    </r>
    <r>
      <rPr>
        <sz val="11"/>
        <rFont val="Calibri"/>
        <family val="2"/>
      </rPr>
      <t xml:space="preserve"> en $COL</t>
    </r>
  </si>
  <si>
    <r>
      <t xml:space="preserve">Rentabilidad Mercado en dólares               </t>
    </r>
    <r>
      <rPr>
        <sz val="11"/>
        <color theme="1"/>
        <rFont val="Calibri"/>
        <family val="2"/>
        <scheme val="minor"/>
      </rPr>
      <t xml:space="preserve"> </t>
    </r>
    <r>
      <rPr>
        <b/>
        <sz val="11"/>
        <color theme="1"/>
        <rFont val="Calibri"/>
        <family val="2"/>
      </rPr>
      <t>K</t>
    </r>
    <r>
      <rPr>
        <b/>
        <vertAlign val="subscript"/>
        <sz val="11"/>
        <color theme="1"/>
        <rFont val="Calibri"/>
        <family val="2"/>
      </rPr>
      <t>m</t>
    </r>
    <r>
      <rPr>
        <b/>
        <sz val="11"/>
        <color theme="1"/>
        <rFont val="Calibri"/>
        <family val="2"/>
      </rPr>
      <t xml:space="preserve"> </t>
    </r>
    <r>
      <rPr>
        <b/>
        <sz val="8"/>
        <color theme="1"/>
        <rFont val="Calibri"/>
        <family val="2"/>
      </rPr>
      <t>USA</t>
    </r>
  </si>
  <si>
    <r>
      <t xml:space="preserve">Rentabilidad del Mercado </t>
    </r>
    <r>
      <rPr>
        <b/>
        <u/>
        <sz val="11"/>
        <rFont val="Calibri"/>
        <family val="2"/>
      </rPr>
      <t>real</t>
    </r>
    <r>
      <rPr>
        <sz val="11"/>
        <rFont val="Calibri"/>
        <family val="2"/>
      </rPr>
      <t xml:space="preserve"> en dólares  </t>
    </r>
    <r>
      <rPr>
        <b/>
        <sz val="10"/>
        <rFont val="Calibri"/>
        <family val="2"/>
      </rPr>
      <t>Km USA</t>
    </r>
  </si>
  <si>
    <t>Km</t>
  </si>
  <si>
    <t>Kl</t>
  </si>
  <si>
    <t>RP</t>
  </si>
  <si>
    <t xml:space="preserve">Beta Desapalancada BU Sectorial </t>
  </si>
  <si>
    <r>
      <t xml:space="preserve">Patrimonio       </t>
    </r>
    <r>
      <rPr>
        <b/>
        <sz val="8"/>
        <color theme="1"/>
        <rFont val="Calibri"/>
        <family val="2"/>
        <scheme val="minor"/>
      </rPr>
      <t>K</t>
    </r>
  </si>
  <si>
    <r>
      <t xml:space="preserve">Deuda     </t>
    </r>
    <r>
      <rPr>
        <b/>
        <sz val="8"/>
        <color theme="1"/>
        <rFont val="Calibri"/>
        <family val="2"/>
        <scheme val="minor"/>
      </rPr>
      <t>D</t>
    </r>
  </si>
  <si>
    <r>
      <t xml:space="preserve">Beta Apalancada     </t>
    </r>
    <r>
      <rPr>
        <b/>
        <sz val="8"/>
        <color theme="1"/>
        <rFont val="Calibri"/>
        <family val="2"/>
        <scheme val="minor"/>
      </rPr>
      <t>BL = BU * ( 1 + (1-t) * D/P)</t>
    </r>
  </si>
  <si>
    <r>
      <t xml:space="preserve">Costo del Patrimonio   </t>
    </r>
    <r>
      <rPr>
        <b/>
        <sz val="11"/>
        <rFont val="Calibri"/>
        <family val="2"/>
        <scheme val="minor"/>
      </rPr>
      <t xml:space="preserve"> Ke =         Kl +    </t>
    </r>
    <r>
      <rPr>
        <b/>
        <sz val="11"/>
        <rFont val="Calibri"/>
        <family val="2"/>
      </rPr>
      <t>(K</t>
    </r>
    <r>
      <rPr>
        <b/>
        <vertAlign val="subscript"/>
        <sz val="11"/>
        <rFont val="Calibri"/>
        <family val="2"/>
      </rPr>
      <t>m</t>
    </r>
    <r>
      <rPr>
        <b/>
        <sz val="11"/>
        <rFont val="Calibri"/>
        <family val="2"/>
      </rPr>
      <t xml:space="preserve"> - KL)*B + RP</t>
    </r>
  </si>
  <si>
    <r>
      <t xml:space="preserve">Estructura Patrimonio      </t>
    </r>
    <r>
      <rPr>
        <b/>
        <sz val="8"/>
        <color theme="1"/>
        <rFont val="Calibri"/>
        <family val="2"/>
        <scheme val="minor"/>
      </rPr>
      <t>K/(D+ K)</t>
    </r>
  </si>
  <si>
    <r>
      <t xml:space="preserve">Estructura Deuda       </t>
    </r>
    <r>
      <rPr>
        <b/>
        <sz val="8"/>
        <color theme="1"/>
        <rFont val="Calibri"/>
        <family val="2"/>
        <scheme val="minor"/>
      </rPr>
      <t>D/(D+ K)</t>
    </r>
  </si>
  <si>
    <r>
      <t xml:space="preserve">Costo Despues de Impuestos (Escudo Fiscal)  </t>
    </r>
    <r>
      <rPr>
        <b/>
        <sz val="9"/>
        <color theme="1"/>
        <rFont val="Calibri"/>
        <family val="2"/>
        <scheme val="minor"/>
      </rPr>
      <t>Kd*(1- tx)</t>
    </r>
  </si>
  <si>
    <r>
      <rPr>
        <sz val="11"/>
        <color theme="1"/>
        <rFont val="Calibri"/>
        <family val="2"/>
        <scheme val="minor"/>
      </rPr>
      <t>Total Estructura de Capital</t>
    </r>
    <r>
      <rPr>
        <b/>
        <sz val="11"/>
        <color theme="1"/>
        <rFont val="Calibri"/>
        <family val="2"/>
        <scheme val="minor"/>
      </rPr>
      <t xml:space="preserve">   </t>
    </r>
    <r>
      <rPr>
        <b/>
        <sz val="9"/>
        <color theme="1"/>
        <rFont val="Calibri"/>
        <family val="2"/>
        <scheme val="minor"/>
      </rPr>
      <t>D+K</t>
    </r>
  </si>
  <si>
    <t xml:space="preserve"> Fuente: Damodaran</t>
  </si>
  <si>
    <r>
      <t xml:space="preserve">Aporte Costo de la Deuda    </t>
    </r>
    <r>
      <rPr>
        <b/>
        <sz val="9"/>
        <color theme="1"/>
        <rFont val="Calibri"/>
        <family val="2"/>
        <scheme val="minor"/>
      </rPr>
      <t>Estructura deuda * Costo</t>
    </r>
  </si>
  <si>
    <r>
      <t xml:space="preserve">Aporte Costo Patrimonio     </t>
    </r>
    <r>
      <rPr>
        <b/>
        <sz val="9"/>
        <color theme="1"/>
        <rFont val="Calibri"/>
        <family val="2"/>
        <scheme val="minor"/>
      </rPr>
      <t>Estructura Patromonio * Costo</t>
    </r>
  </si>
  <si>
    <t>COSTO DE CAPITAL - WACC</t>
  </si>
  <si>
    <t>UTILIDAD DEL EJERCICIO</t>
  </si>
  <si>
    <t>(+) Impuestos CAUSADOS</t>
  </si>
  <si>
    <t>(+) Gastos financiero</t>
  </si>
  <si>
    <t>EBIT</t>
  </si>
  <si>
    <t>(-) Impuestos AJUSTADOS
Impuestos operacionales</t>
  </si>
  <si>
    <t>UODI   RODI   NOPAT  NOPLAT   EBIT (1 - tx)</t>
  </si>
  <si>
    <t>(+) Depreciación</t>
  </si>
  <si>
    <t>1 Flujo operativo o flujo bruto</t>
  </si>
  <si>
    <t>(-) Variación del capital de trabajo</t>
  </si>
  <si>
    <t>2 Financiación de inversiones</t>
  </si>
  <si>
    <t>(1 - 2) FCLO</t>
  </si>
  <si>
    <t>FLUJO DE CAJA PROYECTADO</t>
  </si>
  <si>
    <t>TASAS HISTORICAS</t>
  </si>
  <si>
    <t>CONCEPTO</t>
  </si>
  <si>
    <t>MÉTODO FLUJO DE CAJA DESCONTADO FCLD</t>
  </si>
  <si>
    <t>Ultimo FCLO conocido</t>
  </si>
  <si>
    <t>Ultimo costo de capital conocido</t>
  </si>
  <si>
    <t>g</t>
  </si>
  <si>
    <r>
      <t>FCLO</t>
    </r>
    <r>
      <rPr>
        <b/>
        <vertAlign val="subscript"/>
        <sz val="9"/>
        <color theme="1"/>
        <rFont val="Arial"/>
        <family val="2"/>
      </rPr>
      <t>n</t>
    </r>
  </si>
  <si>
    <t>MODELO ANUALIDAD PERPETUA</t>
  </si>
  <si>
    <t>FCLO (último valor conocido)</t>
  </si>
  <si>
    <t>MODELO CRECIMIENTO CONSTANTE</t>
  </si>
  <si>
    <t>WACC (último valor conocido)</t>
  </si>
  <si>
    <r>
      <t xml:space="preserve">WACC </t>
    </r>
    <r>
      <rPr>
        <b/>
        <vertAlign val="subscript"/>
        <sz val="9"/>
        <color theme="1"/>
        <rFont val="Arial"/>
        <family val="2"/>
      </rPr>
      <t>n</t>
    </r>
  </si>
  <si>
    <t>Gradiente a perpetuidad</t>
  </si>
  <si>
    <t>M1</t>
  </si>
  <si>
    <t>M2</t>
  </si>
  <si>
    <t>Tasa de crecimiento - perpetuidad  g</t>
  </si>
  <si>
    <t>Representa una serie de pagos Futuros Constantes y perpetuos</t>
  </si>
  <si>
    <t>Representa pagos perpetuos con un grado de crecimiento constante</t>
  </si>
  <si>
    <t>Costo de Capital</t>
  </si>
  <si>
    <t>Tasa Acumulada</t>
  </si>
  <si>
    <t>FCL</t>
  </si>
  <si>
    <t>Valor Terminal</t>
  </si>
  <si>
    <t>Valor presente Flujos de caja Proyectados</t>
  </si>
  <si>
    <t>(+) VALOR PRESENTE DEL VALOR TERMINAL</t>
  </si>
  <si>
    <t>(=)VALOR DE LAS OPERACIONES O DE MERCADO</t>
  </si>
  <si>
    <t>VALOR PRESENTE FLUJOS DE CAJA PROYECTADOS</t>
  </si>
  <si>
    <t>Valor de mercado de la empresa</t>
  </si>
  <si>
    <r>
      <t xml:space="preserve">(Menos) Deuda operacional </t>
    </r>
    <r>
      <rPr>
        <sz val="9"/>
        <rFont val="Calibri"/>
        <family val="2"/>
        <scheme val="minor"/>
      </rPr>
      <t>(Pasivo Corriente - Oblig.Finan CP)</t>
    </r>
  </si>
  <si>
    <t>VALOR DE MERCADO DEL PATRIMONIO</t>
  </si>
  <si>
    <t>Patrimonio contable</t>
  </si>
  <si>
    <t>P/BV</t>
  </si>
  <si>
    <t>Valor en Libros por acción</t>
  </si>
  <si>
    <t>Numero de Acciones</t>
  </si>
  <si>
    <t>Valor de Mercado de la Acción</t>
  </si>
  <si>
    <t>Valor Hipotético</t>
  </si>
  <si>
    <t>MÉTODOS CONTABLES O DEL BALANCE</t>
  </si>
  <si>
    <t>MÉTODOS CONTABLES O DE BALANCE</t>
  </si>
  <si>
    <t>VALOR PATRIMONIAL O VALOR EN LIBROS</t>
  </si>
  <si>
    <t>Activos Totales</t>
  </si>
  <si>
    <t>Pasivos Totales</t>
  </si>
  <si>
    <t>Valor en Libros Acción</t>
  </si>
  <si>
    <t>Valor de la Acción</t>
  </si>
  <si>
    <t>VALOR SUSTANCIAL NETO</t>
  </si>
  <si>
    <t>Activos totales</t>
  </si>
  <si>
    <r>
      <t xml:space="preserve">Patrimonio           </t>
    </r>
    <r>
      <rPr>
        <b/>
        <sz val="11"/>
        <color theme="1"/>
        <rFont val="Calibri"/>
        <family val="2"/>
        <scheme val="minor"/>
      </rPr>
      <t xml:space="preserve"> </t>
    </r>
    <r>
      <rPr>
        <b/>
        <sz val="9"/>
        <color theme="1"/>
        <rFont val="Calibri"/>
        <family val="2"/>
        <scheme val="minor"/>
      </rPr>
      <t>A - P = Pat</t>
    </r>
  </si>
  <si>
    <r>
      <t xml:space="preserve">Pasivo Exigible Deudas    </t>
    </r>
    <r>
      <rPr>
        <b/>
        <sz val="8"/>
        <color theme="1"/>
        <rFont val="Calibri"/>
        <family val="2"/>
        <scheme val="minor"/>
      </rPr>
      <t>Financiacion con terceros  FIN  CP + FIN LP + PROVE</t>
    </r>
  </si>
  <si>
    <r>
      <t xml:space="preserve">Patrimonio          </t>
    </r>
    <r>
      <rPr>
        <b/>
        <sz val="11"/>
        <color theme="1"/>
        <rFont val="Calibri"/>
        <family val="2"/>
        <scheme val="minor"/>
      </rPr>
      <t xml:space="preserve">  </t>
    </r>
    <r>
      <rPr>
        <b/>
        <sz val="10"/>
        <color theme="1"/>
        <rFont val="Calibri"/>
        <family val="2"/>
        <scheme val="minor"/>
      </rPr>
      <t>Act   -    financiacion con terceros = Pat</t>
    </r>
  </si>
  <si>
    <t>(+) Amortizacion</t>
  </si>
  <si>
    <t>(+) Provisiones</t>
  </si>
  <si>
    <t>(Menos) Deuda financiera CP + LP</t>
  </si>
  <si>
    <t>RESUMEN RESULTADOS DE VALORACIÓN</t>
  </si>
  <si>
    <t>FCLD</t>
  </si>
  <si>
    <t>Valor Empresa 
Ultimo Conocido</t>
  </si>
  <si>
    <t>Método</t>
  </si>
  <si>
    <t>Ultimo Patrimonio 
Real</t>
  </si>
  <si>
    <t>P/BV Sector 
(Damodaran)</t>
  </si>
  <si>
    <t>Diferencia</t>
  </si>
  <si>
    <t>Sustancial  Neto</t>
  </si>
  <si>
    <t>Patrimonial</t>
  </si>
  <si>
    <t>MÉTODO FLUJO DE CAJA LIBRE DESCONTADO</t>
  </si>
  <si>
    <t>ESTRATEGIAS Y TRATAMIENTOS OPERATIVOS</t>
  </si>
  <si>
    <t>PROYECCIONES MEJORARAS, TRATAMIENTOS Y ESTRATEGIAS</t>
  </si>
  <si>
    <t>INCREMENTO EN VENTAS</t>
  </si>
  <si>
    <t>CRECIMIENTO ADICIONAL DE VENTAS</t>
  </si>
  <si>
    <t>VENTAS CON TRATAMIENTO</t>
  </si>
  <si>
    <r>
      <t xml:space="preserve">VALOR TERMINAL                                  </t>
    </r>
    <r>
      <rPr>
        <b/>
        <sz val="8"/>
        <color theme="1"/>
        <rFont val="Arial"/>
        <family val="2"/>
      </rPr>
      <t>FCLO*(1+g) / (WAAC - g)</t>
    </r>
  </si>
  <si>
    <t>(+) VALOR PRESENTE DE LOS FLUJOS</t>
  </si>
  <si>
    <t>(-) Inversión en activos</t>
  </si>
  <si>
    <t xml:space="preserve">Valor Medio </t>
  </si>
  <si>
    <t>Efectivo y equivalentes de efectivo</t>
  </si>
  <si>
    <t>Activos financieros</t>
  </si>
  <si>
    <t>Deudores comerciales y otros</t>
  </si>
  <si>
    <t>Inventarios</t>
  </si>
  <si>
    <t>Pagos anticipados</t>
  </si>
  <si>
    <t>TOTAL ACTIVO CORRIENTE</t>
  </si>
  <si>
    <t>Deudores</t>
  </si>
  <si>
    <t>Propiedades, planta y equipo</t>
  </si>
  <si>
    <t>Activos intangibles</t>
  </si>
  <si>
    <t>Activos por impuestos diferidos</t>
  </si>
  <si>
    <t>TOTAL ACTIVO NO CORRIENTE</t>
  </si>
  <si>
    <t>Obligaciones financieras</t>
  </si>
  <si>
    <t>Proveedores</t>
  </si>
  <si>
    <t>Cuentas por pagar Varios</t>
  </si>
  <si>
    <t>Impuestos corrientes por pagar</t>
  </si>
  <si>
    <t>Otros pasivos</t>
  </si>
  <si>
    <t>Provisiones</t>
  </si>
  <si>
    <t>Capital suscrito y pagado</t>
  </si>
  <si>
    <t>Superavit de capital</t>
  </si>
  <si>
    <t>Reservas</t>
  </si>
  <si>
    <t>Resultados del Ejercicio</t>
  </si>
  <si>
    <t>Ventas, Ingresos de actividades ordinarias</t>
  </si>
  <si>
    <t>Costo de Ventas</t>
  </si>
  <si>
    <t>Gastos de administración</t>
  </si>
  <si>
    <t>Otros ingresos</t>
  </si>
  <si>
    <t>Gasto no operacional</t>
  </si>
  <si>
    <t>Gasto Financiero</t>
  </si>
  <si>
    <t>Gasto por impuesto</t>
  </si>
  <si>
    <t>UTILIDAD NETA</t>
  </si>
  <si>
    <t>Detalles de Depreciación y Amortización</t>
  </si>
  <si>
    <t>Depreciaciones</t>
  </si>
  <si>
    <t>Amortizaciones</t>
  </si>
  <si>
    <t>Nivel Medio</t>
  </si>
  <si>
    <t>Nivel Bajo</t>
  </si>
  <si>
    <t>Nivel Alto</t>
  </si>
  <si>
    <t>Niveles</t>
  </si>
  <si>
    <t>Valor</t>
  </si>
  <si>
    <t>Promedio</t>
  </si>
  <si>
    <t xml:space="preserve"> </t>
  </si>
  <si>
    <t>Costos</t>
  </si>
  <si>
    <t>Gastos</t>
  </si>
  <si>
    <t>Total Erogación</t>
  </si>
  <si>
    <t>Total operación</t>
  </si>
  <si>
    <t>Ingresos no ope</t>
  </si>
  <si>
    <t>Gastos no ope</t>
  </si>
  <si>
    <t>Tx</t>
  </si>
  <si>
    <t>Margen Neto</t>
  </si>
  <si>
    <t>Cuentas</t>
  </si>
  <si>
    <t>Estructuras</t>
  </si>
  <si>
    <t>VARIABLES</t>
  </si>
  <si>
    <t>PIB</t>
  </si>
  <si>
    <t>Tasa de Crecimiento</t>
  </si>
  <si>
    <t>Crecimiento Proyectado</t>
  </si>
  <si>
    <t>TASA Kd E.A.</t>
  </si>
  <si>
    <t>TASAS DE DEUDA</t>
  </si>
  <si>
    <t>TOTAL PASIVO CORRIENTE</t>
  </si>
  <si>
    <t>TOTAL PASIVO NO CORRIENTE</t>
  </si>
  <si>
    <t>TOTAL PASIVO Y PATRIMONIO</t>
  </si>
  <si>
    <t>TOTAL PASIVO</t>
  </si>
  <si>
    <t>Estructura Promedio</t>
  </si>
  <si>
    <t>Simulación</t>
  </si>
  <si>
    <t>Rangos Estructurales</t>
  </si>
  <si>
    <t>Central</t>
  </si>
  <si>
    <t>Manufactura</t>
  </si>
  <si>
    <t>Mínimo</t>
  </si>
  <si>
    <t>Máximo</t>
  </si>
  <si>
    <t>Rango Objetivo</t>
  </si>
  <si>
    <t>Gestión</t>
  </si>
  <si>
    <t>Gestión Costos y Gastos</t>
  </si>
  <si>
    <t>INDUCTORES DE VALOR Y RAZONES FINANCIERAS</t>
  </si>
  <si>
    <t>ROA</t>
  </si>
  <si>
    <t>UODI</t>
  </si>
  <si>
    <t>Activos Netos de Operación</t>
  </si>
  <si>
    <t>RAN</t>
  </si>
  <si>
    <t>Distancia Rentabilidad</t>
  </si>
  <si>
    <t>EBITDA Modelo General</t>
  </si>
  <si>
    <t>EBITDA Operacional</t>
  </si>
  <si>
    <t>Margen EBITDA Modelo General</t>
  </si>
  <si>
    <t>Margen EBITDA Operacional</t>
  </si>
  <si>
    <t>Inductores de Rentabilidad</t>
  </si>
  <si>
    <t>Inductores de Operativos y Financieros</t>
  </si>
  <si>
    <t>KTNO</t>
  </si>
  <si>
    <t>Variación de KTNO</t>
  </si>
  <si>
    <t>Productividad del Capital de trabajo PKT</t>
  </si>
  <si>
    <t>Productividad del Activo Fijo PAF</t>
  </si>
  <si>
    <t>Palanca de Crecimiento PDC</t>
  </si>
  <si>
    <t>PROYECCIÓN DE INDUCTORES DE VALOR</t>
  </si>
  <si>
    <r>
      <t xml:space="preserve">VALOR TERMINAL      </t>
    </r>
    <r>
      <rPr>
        <b/>
        <sz val="8"/>
        <color theme="1"/>
        <rFont val="Arial"/>
        <family val="2"/>
      </rPr>
      <t>(FCLO / WACC)</t>
    </r>
  </si>
  <si>
    <t>INCREMENTO DE CRECIMIENTO</t>
  </si>
  <si>
    <t>Crecimiento Valoración Natural</t>
  </si>
  <si>
    <t>Inflación en Colombia IPC</t>
  </si>
  <si>
    <t>Crecimiento Historico Economía</t>
  </si>
  <si>
    <t>TOTAL PATRIMONIO</t>
  </si>
  <si>
    <t>TOTAL ACTIVO</t>
  </si>
  <si>
    <t>(Más) Activo corriente</t>
  </si>
  <si>
    <t>Proyección con Tasa de Crecimiento + Estrategia</t>
  </si>
  <si>
    <t>Precio Por Acción</t>
  </si>
  <si>
    <t>MÚLTIPLOS RESULTANTES DE LA VALORACIÓN</t>
  </si>
  <si>
    <t>(=)VALOR DE LAS OPERACIONES O DE MERCADO (EV)</t>
  </si>
  <si>
    <t>FLIJO DE CAJA LIBRE</t>
  </si>
  <si>
    <t>MULTIPLOS RESULTANTES</t>
  </si>
  <si>
    <t>Distancia</t>
  </si>
  <si>
    <t>El Valor de la empresa es X veces respecto al comparativo</t>
  </si>
  <si>
    <t>Antes de Estrategias</t>
  </si>
  <si>
    <t>Variación</t>
  </si>
  <si>
    <t>Sector Damodaran</t>
  </si>
  <si>
    <t>Resultado + Estrategias</t>
  </si>
  <si>
    <t>MÚLTIPLOS RESULTANTES DE LA VALORACIÓN + ESTRATEGIA</t>
  </si>
  <si>
    <t>RESUMEN RESULTADOS DE VALORACIÓN + ESTRATEGIA</t>
  </si>
  <si>
    <t>Resultado Según Sector</t>
  </si>
  <si>
    <t>Último Cierre</t>
  </si>
  <si>
    <t>IPC</t>
  </si>
  <si>
    <t>TASAS DE DEUDA PROYECCIÓN</t>
  </si>
  <si>
    <t>Modelo INGEH V8.0 Ultima actualización Noviembre 2022</t>
  </si>
  <si>
    <t>Crecimiento Constante</t>
  </si>
  <si>
    <t>Elegir Modelo de Perpetuidad</t>
  </si>
  <si>
    <t>VME / EBITDA</t>
  </si>
  <si>
    <t>VME / VENTAS</t>
  </si>
  <si>
    <t>VME / VALOR EN LIBROS</t>
  </si>
  <si>
    <t>P/BV + ESTRATEGIAS</t>
  </si>
  <si>
    <t>P/BV SIN ESTRATEGIAS</t>
  </si>
  <si>
    <t>MULTIPLO P/BV</t>
  </si>
  <si>
    <t>RESULTADO</t>
  </si>
  <si>
    <t>GESTIÓN</t>
  </si>
  <si>
    <t>INDUCTOR</t>
  </si>
  <si>
    <t>FCLO SIN ESTRATEGIAS</t>
  </si>
  <si>
    <t>FCLO + ESTRATEGIAS</t>
  </si>
  <si>
    <t>GESTIÓN DE VALOR RESULTANTE</t>
  </si>
  <si>
    <t>GESTIÓN DE VALOR FLUJO DE CAJA</t>
  </si>
  <si>
    <t>Rentabilidad</t>
  </si>
  <si>
    <r>
      <t xml:space="preserve">Rentabilidad Bruta                             </t>
    </r>
    <r>
      <rPr>
        <b/>
        <sz val="8"/>
        <color theme="1"/>
        <rFont val="Calibri"/>
        <family val="2"/>
        <scheme val="minor"/>
      </rPr>
      <t>Utilidad Bruta / Ventas</t>
    </r>
  </si>
  <si>
    <r>
      <t xml:space="preserve">Rentabilidad Operacional             </t>
    </r>
    <r>
      <rPr>
        <b/>
        <sz val="8"/>
        <color theme="1"/>
        <rFont val="Calibri"/>
        <family val="2"/>
        <scheme val="minor"/>
      </rPr>
      <t>Utilidad Operacional / Ventas</t>
    </r>
  </si>
  <si>
    <r>
      <t xml:space="preserve">Rentabilidad Neta                             </t>
    </r>
    <r>
      <rPr>
        <b/>
        <sz val="8"/>
        <color theme="1"/>
        <rFont val="Calibri"/>
        <family val="2"/>
        <scheme val="minor"/>
      </rPr>
      <t xml:space="preserve">    Utilidad Neta / Ventas</t>
    </r>
  </si>
  <si>
    <r>
      <t xml:space="preserve">ROE                                                        </t>
    </r>
    <r>
      <rPr>
        <b/>
        <sz val="8"/>
        <color theme="1"/>
        <rFont val="Calibri"/>
        <family val="2"/>
        <scheme val="minor"/>
      </rPr>
      <t>Utilidad Neta / Patrimonio</t>
    </r>
  </si>
  <si>
    <t>Liquidez</t>
  </si>
  <si>
    <r>
      <t xml:space="preserve">Capital de Trabajo                    </t>
    </r>
    <r>
      <rPr>
        <b/>
        <sz val="8"/>
        <color theme="1"/>
        <rFont val="Calibri"/>
        <family val="2"/>
        <scheme val="minor"/>
      </rPr>
      <t>Activo Corriente - Pasivo Corriente</t>
    </r>
  </si>
  <si>
    <r>
      <t xml:space="preserve">Razon Corriente                       </t>
    </r>
    <r>
      <rPr>
        <b/>
        <sz val="8"/>
        <color theme="1"/>
        <rFont val="Calibri"/>
        <family val="2"/>
        <scheme val="minor"/>
      </rPr>
      <t>Activo Corriente / Pasivo Corriente</t>
    </r>
  </si>
  <si>
    <r>
      <t xml:space="preserve">Prueba Acida                    </t>
    </r>
    <r>
      <rPr>
        <b/>
        <sz val="8"/>
        <color theme="1"/>
        <rFont val="Calibri"/>
        <family val="2"/>
        <scheme val="minor"/>
      </rPr>
      <t>(Activo Corriente - Inventarios) / Pasivo Corriente</t>
    </r>
  </si>
  <si>
    <t>Endeudamiento</t>
  </si>
  <si>
    <r>
      <t xml:space="preserve">Nivel de Endeudamiento              </t>
    </r>
    <r>
      <rPr>
        <b/>
        <sz val="8"/>
        <color theme="1"/>
        <rFont val="Calibri"/>
        <family val="2"/>
        <scheme val="minor"/>
      </rPr>
      <t xml:space="preserve"> Total Pasivo / Total Activo</t>
    </r>
  </si>
  <si>
    <r>
      <t xml:space="preserve">Concentracion CP        </t>
    </r>
    <r>
      <rPr>
        <b/>
        <sz val="8"/>
        <color theme="1"/>
        <rFont val="Calibri"/>
        <family val="2"/>
        <scheme val="minor"/>
      </rPr>
      <t xml:space="preserve">                      Pasivo Corriente / Pasivo Total</t>
    </r>
  </si>
  <si>
    <r>
      <t xml:space="preserve">Concentracion LP                   </t>
    </r>
    <r>
      <rPr>
        <b/>
        <sz val="8"/>
        <color theme="1"/>
        <rFont val="Calibri"/>
        <family val="2"/>
        <scheme val="minor"/>
      </rPr>
      <t xml:space="preserve">       Pasivo No Corriente / Pasivo Total</t>
    </r>
  </si>
  <si>
    <t>Actividad</t>
  </si>
  <si>
    <t>Rotacion del Patrimonio</t>
  </si>
  <si>
    <t>Rotacion del Activo</t>
  </si>
  <si>
    <t>Rotacion de Cartera</t>
  </si>
  <si>
    <t>Periodo de Cobro</t>
  </si>
  <si>
    <t>Rotacion de Inventarios</t>
  </si>
  <si>
    <t>Ciclo Operacional</t>
  </si>
  <si>
    <t>Periodo de Pago a Proveedores</t>
  </si>
  <si>
    <t>Ventas / Patrimonio</t>
  </si>
  <si>
    <t>Ventas / Activo Total</t>
  </si>
  <si>
    <t>Ventas / Cuentas Por Cobrar Clientes</t>
  </si>
  <si>
    <t>(Cuentas Por Cobrar Clientes / Ventas ) * 365</t>
  </si>
  <si>
    <t>(Inventarios / Costo de Ventas) * 365</t>
  </si>
  <si>
    <t>Periodo de Cobro +  Rotacion de Inventarios</t>
  </si>
  <si>
    <t>(Cuentas por pagar Proveedores / Costo de Ventas) * 365</t>
  </si>
  <si>
    <t>RAZONES FINANCIERAS</t>
  </si>
  <si>
    <t>PROYECCIÓN DE INDUCTORES DE VALOR Y RAZONES FINANCIERAS</t>
  </si>
  <si>
    <t>DUPONT</t>
  </si>
  <si>
    <t>Rentabilidad del patrimonio (ROE)</t>
  </si>
  <si>
    <r>
      <t xml:space="preserve">Utilidad / ventas      </t>
    </r>
    <r>
      <rPr>
        <b/>
        <sz val="8"/>
        <color theme="1"/>
        <rFont val="Calibri"/>
        <family val="2"/>
        <scheme val="minor"/>
      </rPr>
      <t xml:space="preserve"> MARGEN</t>
    </r>
  </si>
  <si>
    <r>
      <t xml:space="preserve">Ventas / activo        </t>
    </r>
    <r>
      <rPr>
        <b/>
        <sz val="8"/>
        <color theme="1"/>
        <rFont val="Calibri"/>
        <family val="2"/>
        <scheme val="minor"/>
      </rPr>
      <t>ROTACIÓN</t>
    </r>
  </si>
  <si>
    <r>
      <t xml:space="preserve">Activo / patrimonio   </t>
    </r>
    <r>
      <rPr>
        <b/>
        <sz val="8"/>
        <color theme="1"/>
        <rFont val="Calibri"/>
        <family val="2"/>
        <scheme val="minor"/>
      </rPr>
      <t>ENDEUDAMIENTO</t>
    </r>
  </si>
  <si>
    <t>La tasa promedio ponderado del año o tasa colocaciòn a 365 del banco de la republica</t>
  </si>
  <si>
    <t xml:space="preserve">banco de la republica, tasas de colocación </t>
  </si>
  <si>
    <t>solo esta el apalacamiento financiero, renta a travez del pasivo.</t>
  </si>
  <si>
    <t>CPPC</t>
  </si>
  <si>
    <t>Costo promedio ponderado de la deuda</t>
  </si>
  <si>
    <t>tada tasa de rentabilidad debe ser mayo a la del WACC</t>
  </si>
  <si>
    <t xml:space="preserve">si la empresa no crea caja destruye valor </t>
  </si>
  <si>
    <t>una perpetuidad quivale entre 30 años el flujo de caja</t>
  </si>
  <si>
    <t>pregunta: por que se escoje el modelo… tener un fundamento</t>
  </si>
  <si>
    <t>multiplos financieros, precio/libro valor</t>
  </si>
  <si>
    <t xml:space="preserve">es el 1,39 veces por encima de su valor patrimonial </t>
  </si>
  <si>
    <t>que tenga garantia y se pueda exigir legalmente</t>
  </si>
  <si>
    <t xml:space="preserve">valor de mercado empresarial </t>
  </si>
  <si>
    <t>emprendimientos que se pase 3,5 es muy costosa</t>
  </si>
  <si>
    <t xml:space="preserve">el valor de la empresa es el 4,17 veces </t>
  </si>
  <si>
    <t>el valor de la empresa es el 0,47 veces las ventas de la compañía</t>
  </si>
  <si>
    <t>EV</t>
  </si>
  <si>
    <t>CAP.BURSATIL</t>
  </si>
  <si>
    <t>= CAP.BURSATIL - Deuda Neta</t>
  </si>
  <si>
    <t>= No. Acciones * precio bolsa</t>
  </si>
  <si>
    <t>DEUDA NETA</t>
  </si>
  <si>
    <t>= (Disponible - Pasivo Financiero)</t>
  </si>
  <si>
    <t>EV/EBIT (1-t)</t>
  </si>
  <si>
    <t>= UODI</t>
  </si>
  <si>
    <t>Utilidad Bruta / Ventas</t>
  </si>
  <si>
    <t>Obligaciones laborales</t>
  </si>
  <si>
    <t>Benefios post-empleado, pensiones</t>
  </si>
  <si>
    <t>Acciones en tesoreria</t>
  </si>
  <si>
    <t>Utilidades o perdidas acumuladas</t>
  </si>
  <si>
    <t>PRIMAX COLOMBIA S.A.</t>
  </si>
  <si>
    <t xml:space="preserve">Obligaciones laborales </t>
  </si>
  <si>
    <t xml:space="preserve">Inversiones valor razonable </t>
  </si>
  <si>
    <t xml:space="preserve">Otros activos no financieros </t>
  </si>
  <si>
    <t>Activos del contrato, neto</t>
  </si>
  <si>
    <t xml:space="preserve">Propiedades de inversion </t>
  </si>
  <si>
    <t xml:space="preserve">Instrumentos financieros derivados </t>
  </si>
  <si>
    <t>Derecho de uso</t>
  </si>
  <si>
    <t>Impuesto sobre la renta</t>
  </si>
  <si>
    <t>Titulos emitidos</t>
  </si>
  <si>
    <t>Pasivos por arrendamiento</t>
  </si>
  <si>
    <t>Benefios post-empleado</t>
  </si>
  <si>
    <t xml:space="preserve">Instumentos financieros derivados </t>
  </si>
  <si>
    <t>Impuesto diferido</t>
  </si>
  <si>
    <t xml:space="preserve">Otros resultados integrales </t>
  </si>
  <si>
    <t>file:///C:/Users/VEW0507/OneDrive%20-%20Universidad%20de%20los%20Andes/Downloads/Presentaci%C3%B3n%20Proyecciones%20Econ%C3%B3micas%20Colombia%202021-2025%20-%20Marzo%202021%20(4).pdf</t>
  </si>
  <si>
    <t>CURSO DIAGNÓSTICO FINANCIERO</t>
  </si>
  <si>
    <t>Predictores de Quiebra</t>
  </si>
  <si>
    <t>INDICADOR DE ALTMAN</t>
  </si>
  <si>
    <t>Considera 22 variables clasificadas en cinco categorias que incluyen liquidez, rentabilidad, apalancamiento,</t>
  </si>
  <si>
    <t>solvencia y actividad</t>
  </si>
  <si>
    <t>La funcion discriminante para los sectores manufactureros es.</t>
  </si>
  <si>
    <t>Z= 1,2X1+1,4X2+3,3X3+ 0,6X4+ X5</t>
  </si>
  <si>
    <t>X1= Activos Circulantes / Total activos</t>
  </si>
  <si>
    <t>Liquidez, capacidad de respuesta</t>
  </si>
  <si>
    <t>X2= Beneficios no distribuidos / Total activos</t>
  </si>
  <si>
    <t>Fondo de maniobra, otra fuente de liquidez</t>
  </si>
  <si>
    <t>X3= EBITDA/ Total activos</t>
  </si>
  <si>
    <t>Productividad de los activos para generar caja</t>
  </si>
  <si>
    <t>X4= Patrimonio / pasivo total</t>
  </si>
  <si>
    <t>Indice de cobertura del valor de la empresa</t>
  </si>
  <si>
    <t>X5= Ventas / Total activos</t>
  </si>
  <si>
    <t>Productividad de los activos respecto a ventas</t>
  </si>
  <si>
    <t>Valores de referencia</t>
  </si>
  <si>
    <t>Z &lt; 1,81    Riesgo de quiebra</t>
  </si>
  <si>
    <t>Valores entre 1,81 y 2,9 se considera zona gris</t>
  </si>
  <si>
    <t>Z &gt; 3  Situación normal</t>
  </si>
  <si>
    <t>La funcion discriminante para los sectores no manufactureros es:</t>
  </si>
  <si>
    <t>Z= 6,56X1+3,26X2+6,72X3+ 1,05X4</t>
  </si>
  <si>
    <t>Si Z&lt; 1 peligro inminente de quiebra</t>
  </si>
  <si>
    <t>1,1&lt; Z &lt; 2,6    Zona gris</t>
  </si>
  <si>
    <t>Z &gt; 2,6 Situacion normal</t>
  </si>
  <si>
    <t>SECTOR MANUFACTURERO</t>
  </si>
  <si>
    <t>Indicador de Altman</t>
  </si>
  <si>
    <t>ALTERNATIVAS DE CÁLCULO DE LAS VARIABLES DE Z-SCORE DE ALTMAN</t>
  </si>
  <si>
    <t>puedo hacer estas altermanitivas para verificar bien el riesgo</t>
  </si>
  <si>
    <t>Activo corriente</t>
  </si>
  <si>
    <t>Alternativas de estudio para la variable Activos Corrientes</t>
  </si>
  <si>
    <t>(Activos Corrientes , Capital de trabajo, KTNO)</t>
  </si>
  <si>
    <t xml:space="preserve">puedo hacer los grados de acidez (quitar conceptos) </t>
  </si>
  <si>
    <t>Total Activos</t>
  </si>
  <si>
    <t>Alternativas de estudio para la variable Total Activos</t>
  </si>
  <si>
    <t>(Activos Totales, Activos de Operación)</t>
  </si>
  <si>
    <t>puedo hacer este cambio</t>
  </si>
  <si>
    <t>Total Pasivos</t>
  </si>
  <si>
    <t>Alternativas de estudio para la variable Total Pasivos</t>
  </si>
  <si>
    <t>(Pasivos Totales, Pasivos de Operación)</t>
  </si>
  <si>
    <t>Alternativas de estudio para la variable Patrimonio</t>
  </si>
  <si>
    <t>(Patromonio contable, Valor Empresa)</t>
  </si>
  <si>
    <t>Beneficios No Distribuidos</t>
  </si>
  <si>
    <t>Alternativas de estudio para la variable Reservas</t>
  </si>
  <si>
    <t>(Reservas Contables, Reservas Contables + Utilidades no distribuidas, Recursos Reservados y/o Provisionados Reales)</t>
  </si>
  <si>
    <t>EBITDA</t>
  </si>
  <si>
    <t>Alternativas de estudio para la variable EBITDA</t>
  </si>
  <si>
    <t>(EBITDA, UODI (Tener en cuenta las diferentes transformaciones financieras))</t>
  </si>
  <si>
    <t>sujerencia tomar el operativo en temas comparativos</t>
  </si>
  <si>
    <t>Alternativas de estudio para la variable Ventas</t>
  </si>
  <si>
    <t>(Ventas Totales , (Ventas Totales - Cuentas por cobrar Clientes)</t>
  </si>
  <si>
    <t>se puede volver mas acido</t>
  </si>
  <si>
    <t>Factores</t>
  </si>
  <si>
    <t>X1</t>
  </si>
  <si>
    <t>X2</t>
  </si>
  <si>
    <t>X3</t>
  </si>
  <si>
    <t>X4</t>
  </si>
  <si>
    <t>X5</t>
  </si>
  <si>
    <t>Peligro de quiebra</t>
  </si>
  <si>
    <t>Zona Gris</t>
  </si>
  <si>
    <t>Situación normal</t>
  </si>
  <si>
    <t>SECTOR SERVICIOS</t>
  </si>
  <si>
    <t>Activos Corrientes</t>
  </si>
  <si>
    <t>Industry Name</t>
  </si>
  <si>
    <t>Number of firms</t>
  </si>
  <si>
    <t>Advertising</t>
  </si>
  <si>
    <t>Aerospace/Defense</t>
  </si>
  <si>
    <t>Air Transport</t>
  </si>
  <si>
    <t>NA</t>
  </si>
  <si>
    <t>Apparel</t>
  </si>
  <si>
    <t>Auto &amp; Truck</t>
  </si>
  <si>
    <t>Auto Parts</t>
  </si>
  <si>
    <t>Bank (Money Center)</t>
  </si>
  <si>
    <t>Banks (Regional)</t>
  </si>
  <si>
    <t>Beverage (Alcoholic)</t>
  </si>
  <si>
    <t>Beverage (Soft)</t>
  </si>
  <si>
    <t>Broadcasting</t>
  </si>
  <si>
    <t>Brokerage &amp; Investment Banking</t>
  </si>
  <si>
    <t>Building Materials</t>
  </si>
  <si>
    <t>Business &amp; Consumer Services</t>
  </si>
  <si>
    <t>Cable TV</t>
  </si>
  <si>
    <t>Chemical (Basic)</t>
  </si>
  <si>
    <t>Chemical (Diversified)</t>
  </si>
  <si>
    <t>Chemical (Specialty)</t>
  </si>
  <si>
    <t>Coal &amp; Related Energy</t>
  </si>
  <si>
    <t>Computer Services</t>
  </si>
  <si>
    <t>Computers/Peripherals</t>
  </si>
  <si>
    <t>Construction Supplies</t>
  </si>
  <si>
    <t>Diversified</t>
  </si>
  <si>
    <t>Drugs (Biotechnology)</t>
  </si>
  <si>
    <t>Drugs (Pharmaceutical)</t>
  </si>
  <si>
    <t>Education</t>
  </si>
  <si>
    <t>Electrical Equipment</t>
  </si>
  <si>
    <t>Electronics (Consumer &amp; Office)</t>
  </si>
  <si>
    <t>Electronics (General)</t>
  </si>
  <si>
    <t>Engineering/Construction</t>
  </si>
  <si>
    <t>Entertainment</t>
  </si>
  <si>
    <t>Environmental &amp; Waste Services</t>
  </si>
  <si>
    <t>Farming/Agriculture</t>
  </si>
  <si>
    <t>Financial Svcs. (Non-bank &amp; Insurance)</t>
  </si>
  <si>
    <t>Food Processing</t>
  </si>
  <si>
    <t>Food Wholesalers</t>
  </si>
  <si>
    <t>Furn/Home Furnishings</t>
  </si>
  <si>
    <t>Green &amp; Renewable Energy</t>
  </si>
  <si>
    <t>Healthcare Products</t>
  </si>
  <si>
    <t>Healthcare Support Services</t>
  </si>
  <si>
    <t>Heathcare Information and Technology</t>
  </si>
  <si>
    <t>Homebuilding</t>
  </si>
  <si>
    <t>Hospitals/Healthcare Facilities</t>
  </si>
  <si>
    <t>Hotel/Gaming</t>
  </si>
  <si>
    <t>Household Products</t>
  </si>
  <si>
    <t>Information Services</t>
  </si>
  <si>
    <t>Insurance (General)</t>
  </si>
  <si>
    <t>Insurance (Life)</t>
  </si>
  <si>
    <t>Insurance (Prop/Cas.)</t>
  </si>
  <si>
    <t>Investments &amp; Asset Management</t>
  </si>
  <si>
    <t>Machinery</t>
  </si>
  <si>
    <t>Metals &amp; Mining</t>
  </si>
  <si>
    <t>Office Equipment &amp; Services</t>
  </si>
  <si>
    <t>Oil/Gas (Integrated)</t>
  </si>
  <si>
    <t>Oil/Gas (Production and Exploration)</t>
  </si>
  <si>
    <t>Oil/Gas Distribution</t>
  </si>
  <si>
    <t>Oilfield Svcs/Equip.</t>
  </si>
  <si>
    <t>Packaging &amp; Container</t>
  </si>
  <si>
    <t>Paper/Forest Products</t>
  </si>
  <si>
    <t>Power</t>
  </si>
  <si>
    <t>Precious Metals</t>
  </si>
  <si>
    <t>Publishing &amp; Newspapers</t>
  </si>
  <si>
    <t>R.E.I.T.</t>
  </si>
  <si>
    <t>Real Estate (Development)</t>
  </si>
  <si>
    <t>Real Estate (General/Diversified)</t>
  </si>
  <si>
    <t>Real Estate (Operations &amp; Services)</t>
  </si>
  <si>
    <t>Recreation</t>
  </si>
  <si>
    <t>Reinsurance</t>
  </si>
  <si>
    <t>Restaurant/Dining</t>
  </si>
  <si>
    <t>Retail (Automotive)</t>
  </si>
  <si>
    <t>Retail (Building Supply)</t>
  </si>
  <si>
    <t>Retail (Distributors)</t>
  </si>
  <si>
    <t>Retail (General)</t>
  </si>
  <si>
    <t>Retail (Grocery and Food)</t>
  </si>
  <si>
    <t>Retail (Online)</t>
  </si>
  <si>
    <t>Retail (Special Lines)</t>
  </si>
  <si>
    <t>Rubber&amp; Tires</t>
  </si>
  <si>
    <t>Semiconductor</t>
  </si>
  <si>
    <t>Semiconductor Equip</t>
  </si>
  <si>
    <t>Shipbuilding &amp; Marine</t>
  </si>
  <si>
    <t>Shoe</t>
  </si>
  <si>
    <t>Software (Entertainment)</t>
  </si>
  <si>
    <t>Software (Internet)</t>
  </si>
  <si>
    <t>Software (System &amp; Application)</t>
  </si>
  <si>
    <t>Steel</t>
  </si>
  <si>
    <t>Telecom (Wireless)</t>
  </si>
  <si>
    <t>Telecom. Equipment</t>
  </si>
  <si>
    <t>Telecom. Services</t>
  </si>
  <si>
    <t>Tobacco</t>
  </si>
  <si>
    <t>Transportation</t>
  </si>
  <si>
    <t>Transportation (Railroads)</t>
  </si>
  <si>
    <t>Trucking</t>
  </si>
  <si>
    <t>Utility (General)</t>
  </si>
  <si>
    <t>Utility (Water)</t>
  </si>
  <si>
    <t>Total Market</t>
  </si>
  <si>
    <t>Total Market (without financials)</t>
  </si>
  <si>
    <t>Date updated:</t>
  </si>
  <si>
    <t>YouTube Video explaining estimation choices and process.</t>
  </si>
  <si>
    <t>Created by:</t>
  </si>
  <si>
    <t>Aswath Damodaran, adamodar@stern.nyu.edu</t>
  </si>
  <si>
    <t>What is this data?</t>
  </si>
  <si>
    <t>Beta, Unlevered beta and other risk measures</t>
  </si>
  <si>
    <t>Emerging Markets</t>
  </si>
  <si>
    <t>Home Page:</t>
  </si>
  <si>
    <t>http://www.damodaran.com</t>
  </si>
  <si>
    <t>Data website:</t>
  </si>
  <si>
    <t>https://pages.stern.nyu.edu/~adamodar/New_Home_Page/data.html</t>
  </si>
  <si>
    <t>Companies in each industry:</t>
  </si>
  <si>
    <t>https://pages.stern.nyu.edu/~adamodar/pc/datasets/indname.xls</t>
  </si>
  <si>
    <t>Variable definitions:</t>
  </si>
  <si>
    <t>https://pages.stern.nyu.edu/~adamodar/New_Home_Page/datafile/variable.htm</t>
  </si>
  <si>
    <t>Do you want to use marginal or effective tax rates in unlevering betas?</t>
  </si>
  <si>
    <t>Marginal</t>
  </si>
  <si>
    <t>If marginal tax rate, enter the marginal tax rate to use</t>
  </si>
  <si>
    <t>Average Beta over time</t>
  </si>
  <si>
    <t xml:space="preserve">Beta </t>
  </si>
  <si>
    <t>D/E Ratio</t>
  </si>
  <si>
    <t>Effective Tax rate</t>
  </si>
  <si>
    <t>Unlevered beta</t>
  </si>
  <si>
    <t>Cash/Firm value</t>
  </si>
  <si>
    <t>Unlevered beta corrected for cash</t>
  </si>
  <si>
    <t>HiLo Risk</t>
  </si>
  <si>
    <t>Standard deviation of equity</t>
  </si>
  <si>
    <t>Standard deviation in operating income (last 10 years)</t>
  </si>
  <si>
    <t>2019</t>
  </si>
  <si>
    <t>2020</t>
  </si>
  <si>
    <t>2021</t>
  </si>
  <si>
    <t>2022</t>
  </si>
  <si>
    <t>Average (2019-23)</t>
  </si>
  <si>
    <t xml:space="preserve"> Miles de Pesos Colombianos</t>
  </si>
  <si>
    <t>RENTABILIDAD</t>
  </si>
  <si>
    <t>El margen ebitda debe estar por encima  del PKT. Si esta por debajo es malo</t>
  </si>
  <si>
    <t xml:space="preserve">standar and pulse es la mas liquida, tiene mas empresas </t>
  </si>
  <si>
    <t>gradiente de perpetuidad, se debe detallar que sea congruente con la empresa</t>
  </si>
  <si>
    <t>ESTRATEGIA 1  INCREMENTO EN VENTAS</t>
  </si>
  <si>
    <t>Estrategias</t>
  </si>
  <si>
    <t>1, VENTAS</t>
  </si>
  <si>
    <t>TERRENO</t>
  </si>
  <si>
    <t>DISEÑOS</t>
  </si>
  <si>
    <t>ESTUDIOS Y PERMISOS</t>
  </si>
  <si>
    <t>MATERIALES</t>
  </si>
  <si>
    <t>MANO DE OBRA</t>
  </si>
  <si>
    <t>LICENCIAS</t>
  </si>
  <si>
    <r>
      <t xml:space="preserve">* La prod de rentabilidad debe estar por encima del </t>
    </r>
    <r>
      <rPr>
        <b/>
        <sz val="11"/>
        <color theme="1"/>
        <rFont val="Calibri"/>
        <family val="2"/>
        <scheme val="minor"/>
      </rPr>
      <t>IPC</t>
    </r>
    <r>
      <rPr>
        <sz val="11"/>
        <color theme="1"/>
        <rFont val="Calibri"/>
        <family val="2"/>
        <scheme val="minor"/>
      </rPr>
      <t xml:space="preserve"> si esta por debajo pierde poder adquisitivo. L agestion de la cia es que no pierda poder adquisitivo. Tambien se puede comparar con la tasa DTF, TES y se compara con la tasa del sector (Mercado). Se gestiona a traves de los activos si son muy altos y el los componentes del ER.</t>
    </r>
  </si>
  <si>
    <t xml:space="preserve">Cuando se calcula la UOIDA </t>
  </si>
  <si>
    <t xml:space="preserve">Conocer la rentabilidad del centro del negocio. </t>
  </si>
  <si>
    <t xml:space="preserve">La diferencia la carga no operacional de la empresa ( dist entre ROA y RAN cuando es muy alta se debe gestionar los activos no operaciones que estan destruyendo valor via rentabilidad.) Una distancia adecuada es del 5% de tolerancia. Cuando es mayor a 5 se debe gestionar. </t>
  </si>
  <si>
    <t xml:space="preserve">Caja generada por la operación. </t>
  </si>
  <si>
    <t xml:space="preserve">Distancia entre las ventas y las erogaciones ( el Margen anuncia la salida de flujo frente a las ventas) Texto: Lo que me separa del nivel de ventas que tiene la Cia (La Inversa). Es la rentabilidad de la operación (La caja). </t>
  </si>
  <si>
    <t xml:space="preserve">Es el capital con el que cuenta sin necesidad de endeudarse (Propio) que sirve para el funcionamiento de la operación. Dinero que tiene probabilidad de convertirse en efectivo. </t>
  </si>
  <si>
    <t xml:space="preserve">Tiene un Maximo - </t>
  </si>
  <si>
    <t xml:space="preserve">Cuando de productivo tengo el capital de trabajo por cada peso que vende. Cuando es mayor la estrucutra nos permite confirmar que el capital no es productivo con relacion al nivel de ventas. </t>
  </si>
  <si>
    <t>crecimiento sin demandar tanto esfuerzo financieros si la relacion esta por encima de 1</t>
  </si>
  <si>
    <t>Numerador</t>
  </si>
  <si>
    <t xml:space="preserve">Mas de 1 debe ser mayor </t>
  </si>
  <si>
    <t>Denominar</t>
  </si>
  <si>
    <t>La PDC debe estar entre 2 a 3 años por encima del 1</t>
  </si>
  <si>
    <t xml:space="preserve">PKT siembre debe ser menor que el % Ebitda. </t>
  </si>
  <si>
    <t xml:space="preserve">KTNO a mayor incremento su variacion es mas grande y a medida que baje disminuye el FC de la Cia. </t>
  </si>
  <si>
    <t>Flujo de caja real. UODI +Dep + Amort</t>
  </si>
  <si>
    <t>Buscar si el FC Bruto (transformacion UOID +Dep) es una forma de ver la caja de la empresa.  Que tiene</t>
  </si>
  <si>
    <t xml:space="preserve">La Cia vale por lo que genera la operación (FLUJO DE CAJA) que por su nivel de activos. </t>
  </si>
  <si>
    <t xml:space="preserve">Entre mas (-) menor valor de proyeccion dara. </t>
  </si>
  <si>
    <t xml:space="preserve">CAPM modelo Beta Apalancado </t>
  </si>
  <si>
    <t xml:space="preserve">Las empresas peq difieren en el calculo del costo de Patrimonio </t>
  </si>
  <si>
    <t xml:space="preserve">Refleja contablemente lo que rentaria al propietario lo que invirtio en esa empresa. </t>
  </si>
  <si>
    <t>Sirve para comparar el KTNO</t>
  </si>
  <si>
    <t xml:space="preserve">Cuando la prueba Acida da menor a 1 se requiere vender inventario para pagar - grado de dependencia. </t>
  </si>
  <si>
    <t xml:space="preserve">La concentracion debe ser acorde a la generacion de caja de la empresa. </t>
  </si>
  <si>
    <t>Las edudas sanas de una empresa son ( credito inicial -  capital de trabajo - Creditos de Expansion.)</t>
  </si>
  <si>
    <t xml:space="preserve">La gestion del Roe depende de la distribucion de estas categorias. </t>
  </si>
  <si>
    <t>La rentabilidad de una empresa sana tiene que ser superior al Wacc</t>
  </si>
  <si>
    <t>Todo lo que este por debajo del valor patrimonial es detrimiento patrimonial</t>
  </si>
  <si>
    <t>Metodos contables seran los pisos de valoracion</t>
  </si>
  <si>
    <t>Metodos dinamicos visualizan la operación afectada por las  variables del entorno de la empresa, se pueden mover en el tiempo</t>
  </si>
  <si>
    <t>La perpetuidad equivale a hallar flujos de caja futuros entre 25 y 30 años posteriores despues de la proyeccion de 5 años</t>
  </si>
  <si>
    <t>constuir con hipotesis, tasas combinadas</t>
  </si>
  <si>
    <t>Multiplos financieros:valoracion de empresas (cuentas veces hay algo qur contiene algo), numero de veces comparativos, multiplo a la medida comparo lo que yo quiero comparar</t>
  </si>
  <si>
    <t>VME: Valor del mercado empresarial, se halla por algun modelo especifico o lo puede hallar como punto medio de la operación, cuentas veces cabe el ebitda en el valor del mercado empresarial, hay dos corrientes para entenderlo la corriente que nos dice el numero de veces , entre mas pequeño el numero de veces mejor, normalmente en los emprendimientos si se pasa de 3,5 veces el ebitda es muy costoso</t>
  </si>
  <si>
    <t>el valor de la empresa es 4,17 veces el valor de las caja de la empresa</t>
  </si>
  <si>
    <t>el valor de la empresa es 0,47 veces el valor de las ventas de la empresas</t>
  </si>
  <si>
    <t>EV: (Enter Price Value)Capitalizacion Bursatil-deuda neta</t>
  </si>
  <si>
    <t>EV: Capitalizacion bursatil de la compañía</t>
  </si>
  <si>
    <t>Capitalizacion Bursatil=  numero de acciones por el precio en bolsa</t>
  </si>
  <si>
    <t>Deuda Neta: todo lo que tiene disponible en bancos-el pasivo financiero</t>
  </si>
  <si>
    <t xml:space="preserve">o se puede convertir en pasivo financiero-disponible </t>
  </si>
  <si>
    <t>CANTIDAD</t>
  </si>
  <si>
    <t>TOTAL</t>
  </si>
  <si>
    <t>VALOR VENTA</t>
  </si>
  <si>
    <t>VALOR COMPRA</t>
  </si>
  <si>
    <t>Millones de Pesos Colombianos</t>
  </si>
  <si>
    <t xml:space="preserve"> Millones de Pesos Colombianos</t>
  </si>
  <si>
    <t>Millones de pesos Colombianos</t>
  </si>
  <si>
    <t>CANTIDAD KW/H</t>
  </si>
  <si>
    <t>2. MARITIMO</t>
  </si>
  <si>
    <t>3. EXPANSIÓN ENERGETICA</t>
  </si>
  <si>
    <t>ESTRATEGIA 2  VENTA COMBUSTIBLE MARITIMO</t>
  </si>
  <si>
    <t>VEHICULOS</t>
  </si>
  <si>
    <t>ESTRATEGIA 3. EXPANCIÓN ENERGETICA</t>
  </si>
  <si>
    <t>QUE HACER CON EFECTIVO</t>
  </si>
  <si>
    <t>PROMEDIO</t>
  </si>
  <si>
    <t>INVERSION EXTRATEGIAS</t>
  </si>
  <si>
    <t>TOTAL VENTAS MARITIMO</t>
  </si>
  <si>
    <t>TOTAL COSTO MARITIMO</t>
  </si>
  <si>
    <t>FUNDAMENTO</t>
  </si>
  <si>
    <t>TOTAL VENTAS ENERGETICA</t>
  </si>
  <si>
    <t>TOTAL VENTAS ENERGERTICO</t>
  </si>
  <si>
    <t>TOTAL INCREMENTO COSTOS</t>
  </si>
  <si>
    <t>TOTAL COSTO ENERGETICA</t>
  </si>
  <si>
    <t>Otros ingresos, neto</t>
  </si>
  <si>
    <t>INVERSION MARITIMO</t>
  </si>
  <si>
    <t>INVERSION EXPANCIÓN ENERGETICA</t>
  </si>
  <si>
    <t>UTILIDAD</t>
  </si>
  <si>
    <t>1. MARITIMO</t>
  </si>
  <si>
    <t>2. EXPANSIÓN ENERGETICA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</si>
</sst>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0_-;\-* #,##0_-;_-* &quot;-&quot;_-;_-@_-"/>
    <numFmt numFmtId="43" formatCode="_-* #,##0.00_-;\-* #,##0.00_-;_-* &quot;-&quot;??_-;_-@_-"/>
    <numFmt numFmtId="164" formatCode="_-&quot;$&quot;* #,##0.00_-;\-&quot;$&quot;* #,##0.00_-;_-&quot;$&quot;* &quot;-&quot;??_-;_-@_-"/>
    <numFmt numFmtId="165" formatCode="_-* #,##0.00_-;\-* #,##0.00_-;_-* &quot;-&quot;_-;_-@_-"/>
    <numFmt numFmtId="166" formatCode="_-* #,##0_-;\-* #,##0_-;_-* &quot;-&quot;??_-;_-@_-"/>
    <numFmt numFmtId="167" formatCode="0.0%"/>
    <numFmt numFmtId="168" formatCode="_(&quot;$&quot;\ * #,##0_);_(&quot;$&quot;\ * \(#,##0\);_(&quot;$&quot;\ * &quot;-&quot;??_);_(@_)"/>
    <numFmt numFmtId="169" formatCode="0\ &quot;p&quot;"/>
    <numFmt numFmtId="170" formatCode="_(&quot;$&quot;* #,##0_);_(&quot;$&quot;* \(#,##0\);_(&quot;$&quot;* &quot;-&quot;??_);_(@_)"/>
    <numFmt numFmtId="171" formatCode="&quot;PIB = &quot;0.00%"/>
    <numFmt numFmtId="172" formatCode="#,##0.00%_ ;\(#,##0.00%\)"/>
    <numFmt numFmtId="173" formatCode="#,##0.0%_ ;\(#,##0.0%\)"/>
    <numFmt numFmtId="174" formatCode="_(* #,##0_);_(* \(#,##0\);_(* &quot;-&quot;??_);_(@_)"/>
    <numFmt numFmtId="175" formatCode="_(&quot;$&quot;\ * #,##0.00_);_(&quot;$&quot;\ * \(#,##0.00\);_(&quot;$&quot;\ * &quot;-&quot;??_);_(@_)"/>
    <numFmt numFmtId="176" formatCode="0.00\ \X"/>
    <numFmt numFmtId="177" formatCode="0.00%\ ;\(0.00%\)"/>
    <numFmt numFmtId="178" formatCode="_-* #,##0.0_-;\-* #,##0.0_-;_-* &quot;-&quot;?_-;_-@_-"/>
    <numFmt numFmtId="179" formatCode="_(* #,##0_);_(* \(#,##0\);_(* &quot;-&quot;_);_(@_)"/>
    <numFmt numFmtId="180" formatCode="&quot;Inflación = &quot;0.00%"/>
    <numFmt numFmtId="181" formatCode="_-&quot;$&quot;* #,##0_-;\-&quot;$&quot;* #,##0_-;_-&quot;$&quot;* &quot;-&quot;??_-;_-@_-"/>
    <numFmt numFmtId="182" formatCode="_-&quot;$&quot;\ * #,##0_-;\-&quot;$&quot;\ * #,##0_-;_-&quot;$&quot;\ * &quot;-&quot;??_-;_-@_-"/>
    <numFmt numFmtId="183" formatCode="_-* #,##0.0000_-;\-* #,##0.0000_-;_-* &quot;-&quot;??_-;_-@_-"/>
    <numFmt numFmtId="184" formatCode="_(* #,##0.00_);_(* \(#,##0.00\);_(* &quot;-&quot;??_);_(@_)"/>
    <numFmt numFmtId="185" formatCode="0.0000"/>
    <numFmt numFmtId="186" formatCode="_-* #,##0.0_-;\-* #,##0.0_-;_-* &quot;-&quot;??_-;_-@_-"/>
  </numFmts>
  <fonts count="104">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2"/>
      <color theme="0"/>
      <name val="Agency FB"/>
      <family val="2"/>
    </font>
    <font>
      <b/>
      <sz val="12"/>
      <color theme="1"/>
      <name val="Calibri"/>
      <family val="2"/>
      <scheme val="minor"/>
    </font>
    <font>
      <b/>
      <sz val="10"/>
      <color theme="1"/>
      <name val="Calibri"/>
      <family val="2"/>
      <scheme val="minor"/>
    </font>
    <font>
      <b/>
      <sz val="18"/>
      <color theme="1"/>
      <name val="AR DESTINE"/>
    </font>
    <font>
      <b/>
      <sz val="18"/>
      <color theme="0"/>
      <name val="Agency FB"/>
      <family val="2"/>
    </font>
    <font>
      <b/>
      <sz val="18"/>
      <color theme="1"/>
      <name val="Agency FB"/>
      <family val="2"/>
    </font>
    <font>
      <b/>
      <sz val="16"/>
      <color theme="1"/>
      <name val="Agency FB"/>
      <family val="2"/>
    </font>
    <font>
      <sz val="10"/>
      <name val="MS Sans Serif"/>
    </font>
    <font>
      <b/>
      <sz val="11"/>
      <name val="Calibri"/>
      <family val="2"/>
      <scheme val="minor"/>
    </font>
    <font>
      <sz val="11"/>
      <name val="Calibri"/>
      <family val="2"/>
      <scheme val="minor"/>
    </font>
    <font>
      <b/>
      <sz val="11"/>
      <color rgb="FF000000"/>
      <name val="Calibri"/>
      <family val="2"/>
      <scheme val="minor"/>
    </font>
    <font>
      <b/>
      <u/>
      <sz val="11"/>
      <name val="Calibri"/>
      <family val="2"/>
    </font>
    <font>
      <sz val="11"/>
      <name val="Calibri"/>
      <family val="2"/>
    </font>
    <font>
      <b/>
      <sz val="11"/>
      <name val="Calibri"/>
      <family val="2"/>
    </font>
    <font>
      <b/>
      <vertAlign val="subscript"/>
      <sz val="11"/>
      <name val="Calibri"/>
      <family val="2"/>
    </font>
    <font>
      <b/>
      <sz val="10"/>
      <name val="Calibri"/>
      <family val="2"/>
    </font>
    <font>
      <b/>
      <sz val="11"/>
      <color theme="1"/>
      <name val="Calibri"/>
      <family val="2"/>
    </font>
    <font>
      <b/>
      <vertAlign val="subscript"/>
      <sz val="11"/>
      <color theme="1"/>
      <name val="Calibri"/>
      <family val="2"/>
    </font>
    <font>
      <b/>
      <sz val="8"/>
      <color theme="1"/>
      <name val="Calibri"/>
      <family val="2"/>
    </font>
    <font>
      <b/>
      <sz val="9"/>
      <color theme="1"/>
      <name val="Calibri"/>
      <family val="2"/>
      <scheme val="minor"/>
    </font>
    <font>
      <b/>
      <sz val="8"/>
      <color theme="1"/>
      <name val="Calibri"/>
      <family val="2"/>
      <scheme val="minor"/>
    </font>
    <font>
      <b/>
      <i/>
      <sz val="8"/>
      <color theme="1"/>
      <name val="Calibri"/>
      <family val="2"/>
      <scheme val="minor"/>
    </font>
    <font>
      <b/>
      <sz val="14"/>
      <color theme="1"/>
      <name val="Arial"/>
      <family val="2"/>
    </font>
    <font>
      <sz val="14"/>
      <color theme="1"/>
      <name val="Arial"/>
      <family val="2"/>
    </font>
    <font>
      <b/>
      <sz val="10"/>
      <color theme="1"/>
      <name val="Arial"/>
      <family val="2"/>
    </font>
    <font>
      <sz val="10"/>
      <color theme="1"/>
      <name val="Arial"/>
      <family val="2"/>
    </font>
    <font>
      <b/>
      <sz val="9"/>
      <color theme="1"/>
      <name val="Arial"/>
      <family val="2"/>
    </font>
    <font>
      <sz val="9"/>
      <color theme="1"/>
      <name val="Arial"/>
      <family val="2"/>
    </font>
    <font>
      <b/>
      <sz val="8"/>
      <color theme="1"/>
      <name val="Arial"/>
      <family val="2"/>
    </font>
    <font>
      <sz val="8"/>
      <color theme="1"/>
      <name val="Arial"/>
      <family val="2"/>
    </font>
    <font>
      <b/>
      <sz val="16"/>
      <color theme="0"/>
      <name val="Agency FB"/>
      <family val="2"/>
    </font>
    <font>
      <b/>
      <sz val="11"/>
      <color theme="0"/>
      <name val="Agency FB"/>
      <family val="2"/>
    </font>
    <font>
      <b/>
      <sz val="14"/>
      <color theme="0"/>
      <name val="Agency FB"/>
      <family val="2"/>
    </font>
    <font>
      <b/>
      <sz val="9"/>
      <color theme="0"/>
      <name val="Arial"/>
      <family val="2"/>
    </font>
    <font>
      <sz val="11"/>
      <name val="Arial"/>
      <family val="2"/>
    </font>
    <font>
      <b/>
      <vertAlign val="subscript"/>
      <sz val="9"/>
      <color theme="1"/>
      <name val="Arial"/>
      <family val="2"/>
    </font>
    <font>
      <sz val="9"/>
      <name val="Calibri"/>
      <family val="2"/>
      <scheme val="minor"/>
    </font>
    <font>
      <b/>
      <sz val="10"/>
      <color theme="0"/>
      <name val="Calibri"/>
      <family val="2"/>
      <scheme val="minor"/>
    </font>
    <font>
      <b/>
      <sz val="12"/>
      <color theme="0"/>
      <name val="Calibri"/>
      <family val="2"/>
      <scheme val="minor"/>
    </font>
    <font>
      <b/>
      <sz val="12"/>
      <color theme="1"/>
      <name val="Agency FB"/>
      <family val="2"/>
    </font>
    <font>
      <b/>
      <sz val="14"/>
      <color theme="1"/>
      <name val="Agency FB"/>
      <family val="2"/>
    </font>
    <font>
      <b/>
      <sz val="20"/>
      <color theme="1"/>
      <name val="Agency FB"/>
      <family val="2"/>
    </font>
    <font>
      <b/>
      <sz val="16"/>
      <color theme="1"/>
      <name val="Calibri"/>
      <family val="2"/>
      <scheme val="minor"/>
    </font>
    <font>
      <sz val="10"/>
      <name val="Arial"/>
      <family val="2"/>
    </font>
    <font>
      <b/>
      <sz val="36"/>
      <color theme="0" tint="-4.9989318521683403E-2"/>
      <name val="Agency FB"/>
      <family val="2"/>
    </font>
    <font>
      <sz val="11"/>
      <color theme="0" tint="-4.9989318521683403E-2"/>
      <name val="Calibri"/>
      <family val="2"/>
      <scheme val="minor"/>
    </font>
    <font>
      <b/>
      <sz val="22"/>
      <color theme="0" tint="-4.9989318521683403E-2"/>
      <name val="Agency FB"/>
      <family val="2"/>
    </font>
    <font>
      <b/>
      <sz val="12"/>
      <color theme="1"/>
      <name val="Franklin Gothic Book"/>
      <family val="2"/>
    </font>
    <font>
      <b/>
      <sz val="16"/>
      <color theme="0"/>
      <name val="Calibri"/>
      <family val="2"/>
      <scheme val="minor"/>
    </font>
    <font>
      <b/>
      <sz val="22"/>
      <color theme="0"/>
      <name val="Calibri"/>
      <family val="2"/>
      <scheme val="minor"/>
    </font>
    <font>
      <b/>
      <sz val="22"/>
      <color theme="1"/>
      <name val="Agency FB"/>
      <family val="2"/>
    </font>
    <font>
      <b/>
      <sz val="11"/>
      <color theme="1"/>
      <name val="Times New Roman"/>
      <family val="1"/>
    </font>
    <font>
      <b/>
      <sz val="11"/>
      <color theme="0"/>
      <name val="Times New Roman"/>
      <family val="1"/>
    </font>
    <font>
      <sz val="12"/>
      <color theme="1"/>
      <name val="Calibri"/>
      <family val="2"/>
      <scheme val="minor"/>
    </font>
    <font>
      <sz val="12"/>
      <name val="Calibri"/>
      <family val="2"/>
      <scheme val="minor"/>
    </font>
    <font>
      <b/>
      <sz val="14"/>
      <color theme="1"/>
      <name val="AR DESTINE"/>
    </font>
    <font>
      <b/>
      <i/>
      <u/>
      <sz val="12"/>
      <color theme="1"/>
      <name val="Calibri"/>
      <family val="2"/>
      <scheme val="minor"/>
    </font>
    <font>
      <b/>
      <i/>
      <u/>
      <sz val="11"/>
      <color theme="1"/>
      <name val="Calibri"/>
      <family val="2"/>
      <scheme val="minor"/>
    </font>
    <font>
      <b/>
      <sz val="12"/>
      <color theme="0"/>
      <name val="Agency FB"/>
      <family val="2"/>
    </font>
    <font>
      <b/>
      <sz val="10"/>
      <color theme="0"/>
      <name val="Arial"/>
      <family val="2"/>
    </font>
    <font>
      <sz val="11"/>
      <color theme="1"/>
      <name val="Arial"/>
      <family val="2"/>
    </font>
    <font>
      <b/>
      <sz val="11"/>
      <color theme="1"/>
      <name val="Arial"/>
      <family val="2"/>
    </font>
    <font>
      <b/>
      <sz val="14"/>
      <color theme="0"/>
      <name val="Calibri"/>
      <family val="2"/>
      <scheme val="minor"/>
    </font>
    <font>
      <b/>
      <sz val="11"/>
      <color theme="0"/>
      <name val="Arial"/>
      <family val="2"/>
    </font>
    <font>
      <b/>
      <i/>
      <sz val="11"/>
      <color theme="1"/>
      <name val="Calibri"/>
      <family val="2"/>
      <scheme val="minor"/>
    </font>
    <font>
      <i/>
      <sz val="9"/>
      <color theme="1"/>
      <name val="Calibri"/>
      <family val="2"/>
      <scheme val="minor"/>
    </font>
    <font>
      <b/>
      <sz val="11"/>
      <color rgb="FF00B0F0"/>
      <name val="Calibri"/>
      <family val="2"/>
      <scheme val="minor"/>
    </font>
    <font>
      <b/>
      <sz val="11"/>
      <color rgb="FFFF0000"/>
      <name val="Calibri"/>
      <family val="2"/>
      <scheme val="minor"/>
    </font>
    <font>
      <b/>
      <sz val="12"/>
      <color theme="1"/>
      <name val="Arial"/>
      <family val="2"/>
    </font>
    <font>
      <sz val="14"/>
      <color rgb="FF00B050"/>
      <name val="Calibri"/>
      <family val="2"/>
      <scheme val="minor"/>
    </font>
    <font>
      <b/>
      <sz val="16"/>
      <name val="Amasis MT Pro"/>
      <family val="1"/>
    </font>
    <font>
      <sz val="10"/>
      <color theme="1"/>
      <name val="Calibri"/>
      <family val="2"/>
      <scheme val="minor"/>
    </font>
    <font>
      <b/>
      <sz val="14"/>
      <name val="Amasis MT Pro"/>
      <family val="1"/>
    </font>
    <font>
      <sz val="9"/>
      <name val="Arial"/>
      <family val="2"/>
    </font>
    <font>
      <sz val="11"/>
      <color rgb="FFFF0000"/>
      <name val="Calibri"/>
      <family val="2"/>
      <scheme val="minor"/>
    </font>
    <font>
      <b/>
      <i/>
      <sz val="10"/>
      <name val="Verdana"/>
      <family val="2"/>
    </font>
    <font>
      <b/>
      <sz val="18"/>
      <color theme="1"/>
      <name val="Calibri"/>
      <family val="2"/>
      <scheme val="minor"/>
    </font>
    <font>
      <b/>
      <sz val="18"/>
      <color theme="0"/>
      <name val="Calibri"/>
      <family val="2"/>
      <scheme val="minor"/>
    </font>
    <font>
      <b/>
      <sz val="14"/>
      <color theme="1"/>
      <name val="Calibri"/>
      <family val="2"/>
      <scheme val="minor"/>
    </font>
    <font>
      <b/>
      <sz val="9"/>
      <color theme="0"/>
      <name val="Calibri"/>
      <family val="2"/>
      <scheme val="minor"/>
    </font>
    <font>
      <sz val="8"/>
      <color theme="1"/>
      <name val="Calibri"/>
      <family val="2"/>
      <scheme val="minor"/>
    </font>
    <font>
      <u/>
      <sz val="11"/>
      <color theme="10"/>
      <name val="Calibri"/>
      <family val="2"/>
      <scheme val="minor"/>
    </font>
    <font>
      <b/>
      <sz val="9"/>
      <color indexed="81"/>
      <name val="Tahoma"/>
      <family val="2"/>
    </font>
    <font>
      <sz val="9"/>
      <color indexed="81"/>
      <name val="Tahoma"/>
      <family val="2"/>
    </font>
    <font>
      <b/>
      <i/>
      <sz val="24"/>
      <color theme="1"/>
      <name val="Calibri"/>
      <family val="2"/>
      <scheme val="minor"/>
    </font>
    <font>
      <b/>
      <i/>
      <u/>
      <sz val="18"/>
      <color theme="1"/>
      <name val="Calibri"/>
      <family val="2"/>
      <scheme val="minor"/>
    </font>
    <font>
      <b/>
      <sz val="16"/>
      <color theme="1"/>
      <name val="Times New Roman"/>
      <family val="1"/>
    </font>
    <font>
      <sz val="12"/>
      <color theme="1"/>
      <name val="Times New Roman"/>
      <family val="1"/>
    </font>
    <font>
      <b/>
      <sz val="12"/>
      <color theme="0"/>
      <name val="Times New Roman"/>
      <family val="1"/>
    </font>
    <font>
      <b/>
      <sz val="12"/>
      <color theme="1"/>
      <name val="Times New Roman"/>
      <family val="1"/>
    </font>
    <font>
      <sz val="12"/>
      <color theme="0"/>
      <name val="Calibri"/>
      <family val="2"/>
      <scheme val="minor"/>
    </font>
    <font>
      <i/>
      <sz val="10"/>
      <name val="Verdana"/>
      <family val="2"/>
    </font>
    <font>
      <b/>
      <sz val="12"/>
      <color rgb="FF000000"/>
      <name val="Calibri"/>
      <family val="2"/>
      <scheme val="minor"/>
    </font>
    <font>
      <i/>
      <sz val="12"/>
      <color rgb="FF000000"/>
      <name val="Calibri"/>
      <family val="2"/>
      <scheme val="minor"/>
    </font>
    <font>
      <u/>
      <sz val="12"/>
      <color theme="10"/>
      <name val="Calibri"/>
      <family val="2"/>
      <scheme val="minor"/>
    </font>
    <font>
      <sz val="12"/>
      <color rgb="FF000000"/>
      <name val="Calibri"/>
      <family val="2"/>
      <scheme val="minor"/>
    </font>
    <font>
      <b/>
      <sz val="11"/>
      <name val="Times New Roman"/>
      <family val="1"/>
    </font>
    <font>
      <b/>
      <sz val="12"/>
      <name val="Calibri"/>
      <family val="2"/>
      <scheme val="minor"/>
    </font>
    <font>
      <b/>
      <sz val="22"/>
      <name val="Calibri"/>
      <family val="2"/>
      <scheme val="minor"/>
    </font>
  </fonts>
  <fills count="39">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002060"/>
        <bgColor indexed="64"/>
      </patternFill>
    </fill>
    <fill>
      <patternFill patternType="solid">
        <fgColor rgb="FF0070C0"/>
        <bgColor indexed="64"/>
      </patternFill>
    </fill>
    <fill>
      <patternFill patternType="solid">
        <fgColor rgb="FF00B0F0"/>
        <bgColor indexed="64"/>
      </patternFill>
    </fill>
    <fill>
      <patternFill patternType="solid">
        <fgColor theme="0" tint="-0.499984740745262"/>
        <bgColor indexed="64"/>
      </patternFill>
    </fill>
    <fill>
      <patternFill patternType="solid">
        <fgColor rgb="FF00B050"/>
        <bgColor indexed="64"/>
      </patternFill>
    </fill>
    <fill>
      <patternFill patternType="solid">
        <fgColor theme="7"/>
        <bgColor indexed="64"/>
      </patternFill>
    </fill>
    <fill>
      <patternFill patternType="solid">
        <fgColor theme="8" tint="0.39997558519241921"/>
        <bgColor indexed="64"/>
      </patternFill>
    </fill>
    <fill>
      <patternFill patternType="solid">
        <fgColor rgb="FFFFC00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0" tint="-0.249977111117893"/>
        <bgColor indexed="64"/>
      </patternFill>
    </fill>
    <fill>
      <patternFill patternType="solid">
        <fgColor theme="6"/>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1"/>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rgb="FFFF0000"/>
        <bgColor indexed="64"/>
      </patternFill>
    </fill>
    <fill>
      <patternFill patternType="solid">
        <fgColor rgb="FFC00000"/>
        <bgColor indexed="64"/>
      </patternFill>
    </fill>
    <fill>
      <patternFill patternType="solid">
        <fgColor theme="5"/>
        <bgColor indexed="64"/>
      </patternFill>
    </fill>
    <fill>
      <patternFill patternType="solid">
        <fgColor theme="4" tint="0.59999389629810485"/>
        <bgColor indexed="64"/>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theme="7" tint="0.39997558519241921"/>
        <bgColor indexed="64"/>
      </patternFill>
    </fill>
    <fill>
      <patternFill patternType="solid">
        <fgColor rgb="FFFFFF00"/>
        <bgColor indexed="64"/>
      </patternFill>
    </fill>
    <fill>
      <patternFill patternType="solid">
        <fgColor theme="1" tint="0.34998626667073579"/>
        <bgColor indexed="64"/>
      </patternFill>
    </fill>
    <fill>
      <patternFill patternType="solid">
        <fgColor theme="0" tint="-0.14999847407452621"/>
        <bgColor rgb="FF000000"/>
      </patternFill>
    </fill>
    <fill>
      <patternFill patternType="solid">
        <fgColor rgb="FFFF6600"/>
        <bgColor indexed="64"/>
      </patternFill>
    </fill>
    <fill>
      <patternFill patternType="solid">
        <fgColor theme="3"/>
        <bgColor indexed="64"/>
      </patternFill>
    </fill>
  </fills>
  <borders count="7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right/>
      <top style="thin">
        <color rgb="FF000000"/>
      </top>
      <bottom style="thin">
        <color indexed="64"/>
      </bottom>
      <diagonal/>
    </border>
    <border>
      <left/>
      <right style="thin">
        <color indexed="64"/>
      </right>
      <top style="medium">
        <color indexed="64"/>
      </top>
      <bottom/>
      <diagonal/>
    </border>
    <border>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style="thin">
        <color indexed="64"/>
      </bottom>
      <diagonal/>
    </border>
    <border>
      <left style="medium">
        <color rgb="FF000000"/>
      </left>
      <right style="thin">
        <color indexed="64"/>
      </right>
      <top/>
      <bottom/>
      <diagonal/>
    </border>
    <border>
      <left style="medium">
        <color indexed="64"/>
      </left>
      <right style="thin">
        <color indexed="64"/>
      </right>
      <top/>
      <bottom/>
      <diagonal/>
    </border>
    <border>
      <left/>
      <right style="medium">
        <color rgb="FF000000"/>
      </right>
      <top style="thin">
        <color indexed="64"/>
      </top>
      <bottom/>
      <diagonal/>
    </border>
    <border>
      <left style="medium">
        <color rgb="FF000000"/>
      </left>
      <right style="thin">
        <color indexed="64"/>
      </right>
      <top/>
      <bottom style="thin">
        <color indexed="64"/>
      </bottom>
      <diagonal/>
    </border>
  </borders>
  <cellStyleXfs count="21">
    <xf numFmtId="0" fontId="0" fillId="0" borderId="0"/>
    <xf numFmtId="41"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2" fillId="0" borderId="0"/>
    <xf numFmtId="0" fontId="39" fillId="0" borderId="0"/>
    <xf numFmtId="43" fontId="1" fillId="0" borderId="0" applyFont="0" applyFill="0" applyBorder="0" applyAlignment="0" applyProtection="0"/>
    <xf numFmtId="41" fontId="48" fillId="0" borderId="0" applyFont="0" applyFill="0" applyBorder="0" applyAlignment="0" applyProtection="0"/>
    <xf numFmtId="179" fontId="48" fillId="0" borderId="0" applyFont="0" applyFill="0" applyBorder="0" applyAlignment="0" applyProtection="0"/>
    <xf numFmtId="43" fontId="1" fillId="0" borderId="0" applyFont="0" applyFill="0" applyBorder="0" applyAlignment="0" applyProtection="0"/>
    <xf numFmtId="9" fontId="78" fillId="0" borderId="0" applyFont="0" applyFill="0" applyBorder="0" applyAlignment="0" applyProtection="0"/>
    <xf numFmtId="0" fontId="86" fillId="0" borderId="0" applyNumberFormat="0" applyFill="0" applyBorder="0" applyAlignment="0" applyProtection="0"/>
    <xf numFmtId="43" fontId="1" fillId="0" borderId="0" applyFont="0" applyFill="0" applyBorder="0" applyAlignment="0" applyProtection="0"/>
    <xf numFmtId="0" fontId="58" fillId="0" borderId="0"/>
    <xf numFmtId="0" fontId="99" fillId="0" borderId="0" applyNumberFormat="0" applyFill="0" applyBorder="0" applyAlignment="0" applyProtection="0"/>
    <xf numFmtId="9" fontId="58"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3" fontId="1" fillId="0" borderId="0" applyFont="0" applyFill="0" applyBorder="0" applyAlignment="0" applyProtection="0"/>
  </cellStyleXfs>
  <cellXfs count="1011">
    <xf numFmtId="0" fontId="0" fillId="0" borderId="0" xfId="0"/>
    <xf numFmtId="0" fontId="0" fillId="2" borderId="0" xfId="0" applyFill="1"/>
    <xf numFmtId="0" fontId="0" fillId="2" borderId="0" xfId="0" applyFill="1" applyAlignment="1">
      <alignment horizontal="left"/>
    </xf>
    <xf numFmtId="0" fontId="4" fillId="6" borderId="11" xfId="0" applyFont="1" applyFill="1" applyBorder="1"/>
    <xf numFmtId="0" fontId="4" fillId="6" borderId="12" xfId="0" applyFont="1" applyFill="1" applyBorder="1"/>
    <xf numFmtId="41" fontId="0" fillId="2" borderId="9" xfId="1" applyFont="1" applyFill="1" applyBorder="1"/>
    <xf numFmtId="41" fontId="3" fillId="2" borderId="9" xfId="1" applyFont="1" applyFill="1" applyBorder="1"/>
    <xf numFmtId="41" fontId="1" fillId="2" borderId="9" xfId="1" applyFont="1" applyFill="1" applyBorder="1"/>
    <xf numFmtId="41" fontId="0" fillId="2" borderId="9" xfId="0" applyNumberFormat="1" applyFill="1" applyBorder="1"/>
    <xf numFmtId="3" fontId="3" fillId="2" borderId="9" xfId="0" applyNumberFormat="1" applyFont="1" applyFill="1" applyBorder="1"/>
    <xf numFmtId="10" fontId="0" fillId="2" borderId="9" xfId="2" applyNumberFormat="1" applyFont="1" applyFill="1" applyBorder="1"/>
    <xf numFmtId="10" fontId="3" fillId="2" borderId="9" xfId="2" applyNumberFormat="1" applyFont="1" applyFill="1" applyBorder="1"/>
    <xf numFmtId="0" fontId="2" fillId="3" borderId="13" xfId="0" applyFont="1" applyFill="1" applyBorder="1"/>
    <xf numFmtId="165" fontId="3" fillId="2" borderId="9" xfId="1" applyNumberFormat="1" applyFont="1" applyFill="1" applyBorder="1"/>
    <xf numFmtId="10" fontId="0" fillId="2" borderId="0" xfId="0" applyNumberFormat="1" applyFill="1"/>
    <xf numFmtId="10" fontId="3" fillId="2" borderId="9" xfId="0" applyNumberFormat="1" applyFont="1" applyFill="1" applyBorder="1"/>
    <xf numFmtId="10" fontId="0" fillId="2" borderId="9" xfId="0" applyNumberFormat="1" applyFill="1" applyBorder="1"/>
    <xf numFmtId="10" fontId="0" fillId="2" borderId="10" xfId="0" applyNumberFormat="1" applyFill="1" applyBorder="1"/>
    <xf numFmtId="0" fontId="2" fillId="3" borderId="15" xfId="0" applyFont="1" applyFill="1" applyBorder="1"/>
    <xf numFmtId="10" fontId="3" fillId="2" borderId="13" xfId="0" applyNumberFormat="1" applyFont="1" applyFill="1" applyBorder="1"/>
    <xf numFmtId="41" fontId="0" fillId="2" borderId="0" xfId="0" applyNumberFormat="1" applyFill="1"/>
    <xf numFmtId="0" fontId="2" fillId="8" borderId="27" xfId="0" applyFont="1" applyFill="1" applyBorder="1"/>
    <xf numFmtId="0" fontId="2" fillId="8" borderId="28" xfId="0" applyFont="1" applyFill="1" applyBorder="1"/>
    <xf numFmtId="0" fontId="2" fillId="8" borderId="29" xfId="0" applyFont="1" applyFill="1" applyBorder="1"/>
    <xf numFmtId="166" fontId="0" fillId="2" borderId="9" xfId="0" applyNumberFormat="1" applyFill="1" applyBorder="1"/>
    <xf numFmtId="10" fontId="0" fillId="2" borderId="0" xfId="2" applyNumberFormat="1" applyFont="1" applyFill="1"/>
    <xf numFmtId="0" fontId="3" fillId="2" borderId="0" xfId="0" applyFont="1" applyFill="1" applyAlignment="1">
      <alignment horizontal="left"/>
    </xf>
    <xf numFmtId="10" fontId="14" fillId="2" borderId="9" xfId="2" applyNumberFormat="1" applyFont="1" applyFill="1" applyBorder="1"/>
    <xf numFmtId="167" fontId="14" fillId="2" borderId="9" xfId="0" applyNumberFormat="1" applyFont="1" applyFill="1" applyBorder="1" applyAlignment="1">
      <alignment horizontal="center"/>
    </xf>
    <xf numFmtId="167" fontId="13" fillId="2" borderId="9" xfId="0" applyNumberFormat="1" applyFont="1" applyFill="1" applyBorder="1" applyAlignment="1">
      <alignment horizontal="center"/>
    </xf>
    <xf numFmtId="0" fontId="2" fillId="2" borderId="0" xfId="0" applyFont="1" applyFill="1" applyAlignment="1">
      <alignment horizontal="center" vertical="center" wrapText="1"/>
    </xf>
    <xf numFmtId="167" fontId="14" fillId="2" borderId="0" xfId="2" applyNumberFormat="1" applyFont="1" applyFill="1" applyBorder="1"/>
    <xf numFmtId="10" fontId="14" fillId="2" borderId="10" xfId="0" applyNumberFormat="1" applyFont="1" applyFill="1" applyBorder="1" applyAlignment="1">
      <alignment horizontal="center"/>
    </xf>
    <xf numFmtId="10" fontId="14" fillId="2" borderId="10" xfId="2" applyNumberFormat="1" applyFont="1" applyFill="1" applyBorder="1" applyAlignment="1">
      <alignment horizontal="center"/>
    </xf>
    <xf numFmtId="10" fontId="13" fillId="2" borderId="10" xfId="2" applyNumberFormat="1" applyFont="1" applyFill="1" applyBorder="1" applyAlignment="1">
      <alignment horizontal="center"/>
    </xf>
    <xf numFmtId="0" fontId="3" fillId="2" borderId="0" xfId="0" applyFont="1" applyFill="1" applyAlignment="1">
      <alignment horizontal="center" vertical="center"/>
    </xf>
    <xf numFmtId="2" fontId="3" fillId="2" borderId="9" xfId="0" applyNumberFormat="1" applyFont="1" applyFill="1" applyBorder="1"/>
    <xf numFmtId="0" fontId="3" fillId="2" borderId="9" xfId="0" applyFont="1" applyFill="1" applyBorder="1"/>
    <xf numFmtId="0" fontId="26" fillId="2" borderId="0" xfId="0" applyFont="1" applyFill="1"/>
    <xf numFmtId="0" fontId="34" fillId="2" borderId="0" xfId="0" applyFont="1" applyFill="1" applyAlignment="1">
      <alignment vertical="center"/>
    </xf>
    <xf numFmtId="0" fontId="28" fillId="2" borderId="0" xfId="0" applyFont="1" applyFill="1" applyAlignment="1">
      <alignment vertical="center"/>
    </xf>
    <xf numFmtId="169" fontId="33" fillId="2" borderId="0" xfId="0" applyNumberFormat="1" applyFont="1" applyFill="1" applyAlignment="1">
      <alignment horizontal="right" vertical="center" wrapText="1"/>
    </xf>
    <xf numFmtId="170" fontId="33" fillId="2" borderId="0" xfId="3" applyNumberFormat="1" applyFont="1" applyFill="1" applyBorder="1" applyAlignment="1">
      <alignment vertical="center"/>
    </xf>
    <xf numFmtId="170" fontId="34" fillId="2" borderId="0" xfId="3" applyNumberFormat="1" applyFont="1" applyFill="1" applyBorder="1" applyAlignment="1">
      <alignment vertical="center"/>
    </xf>
    <xf numFmtId="170" fontId="31" fillId="2" borderId="0" xfId="3" applyNumberFormat="1" applyFont="1" applyFill="1" applyBorder="1" applyAlignment="1">
      <alignment vertical="center"/>
    </xf>
    <xf numFmtId="0" fontId="34" fillId="2" borderId="4" xfId="0" applyFont="1" applyFill="1" applyBorder="1" applyAlignment="1">
      <alignment vertical="center"/>
    </xf>
    <xf numFmtId="0" fontId="28" fillId="2" borderId="4" xfId="0" applyFont="1" applyFill="1" applyBorder="1" applyAlignment="1">
      <alignment vertical="center"/>
    </xf>
    <xf numFmtId="10" fontId="3" fillId="2" borderId="0" xfId="2" applyNumberFormat="1" applyFont="1" applyFill="1" applyBorder="1"/>
    <xf numFmtId="0" fontId="5" fillId="2" borderId="0" xfId="0" applyFont="1" applyFill="1" applyAlignment="1">
      <alignment vertical="center"/>
    </xf>
    <xf numFmtId="0" fontId="33" fillId="18" borderId="23" xfId="0" quotePrefix="1" applyFont="1" applyFill="1" applyBorder="1" applyAlignment="1">
      <alignment horizontal="right" vertical="center"/>
    </xf>
    <xf numFmtId="0" fontId="33" fillId="18" borderId="25" xfId="0" quotePrefix="1" applyFont="1" applyFill="1" applyBorder="1" applyAlignment="1">
      <alignment horizontal="right" vertical="center"/>
    </xf>
    <xf numFmtId="0" fontId="34" fillId="18" borderId="25" xfId="0" applyFont="1" applyFill="1" applyBorder="1" applyAlignment="1">
      <alignment vertical="center"/>
    </xf>
    <xf numFmtId="0" fontId="33" fillId="18" borderId="25" xfId="0" applyFont="1" applyFill="1" applyBorder="1" applyAlignment="1">
      <alignment horizontal="center" vertical="center"/>
    </xf>
    <xf numFmtId="0" fontId="28" fillId="18" borderId="25" xfId="0" applyFont="1" applyFill="1" applyBorder="1" applyAlignment="1">
      <alignment vertical="center"/>
    </xf>
    <xf numFmtId="0" fontId="27" fillId="18" borderId="24" xfId="0" applyFont="1" applyFill="1" applyBorder="1" applyAlignment="1">
      <alignment horizontal="center" vertical="center"/>
    </xf>
    <xf numFmtId="0" fontId="30" fillId="2" borderId="0" xfId="0" applyFont="1" applyFill="1" applyAlignment="1">
      <alignment vertical="center"/>
    </xf>
    <xf numFmtId="0" fontId="31" fillId="15" borderId="9" xfId="5" quotePrefix="1" applyFont="1" applyFill="1" applyBorder="1" applyAlignment="1">
      <alignment horizontal="center" vertical="center"/>
    </xf>
    <xf numFmtId="0" fontId="31" fillId="15" borderId="9" xfId="5" applyFont="1" applyFill="1" applyBorder="1" applyAlignment="1">
      <alignment horizontal="center" vertical="center"/>
    </xf>
    <xf numFmtId="0" fontId="31" fillId="15" borderId="10" xfId="5" quotePrefix="1" applyFont="1" applyFill="1" applyBorder="1" applyAlignment="1">
      <alignment vertical="center"/>
    </xf>
    <xf numFmtId="0" fontId="32" fillId="15" borderId="12" xfId="0" applyFont="1" applyFill="1" applyBorder="1" applyAlignment="1">
      <alignment vertical="center"/>
    </xf>
    <xf numFmtId="0" fontId="29" fillId="13" borderId="30" xfId="0" applyFont="1" applyFill="1" applyBorder="1" applyAlignment="1">
      <alignment horizontal="center" vertical="center"/>
    </xf>
    <xf numFmtId="0" fontId="29" fillId="19" borderId="30" xfId="0" applyFont="1" applyFill="1" applyBorder="1" applyAlignment="1">
      <alignment horizontal="center" vertical="center"/>
    </xf>
    <xf numFmtId="168" fontId="0" fillId="2" borderId="9" xfId="0" applyNumberFormat="1" applyFill="1" applyBorder="1"/>
    <xf numFmtId="174" fontId="3" fillId="2" borderId="9" xfId="0" applyNumberFormat="1" applyFont="1" applyFill="1" applyBorder="1"/>
    <xf numFmtId="174" fontId="0" fillId="2" borderId="0" xfId="0" applyNumberFormat="1" applyFill="1"/>
    <xf numFmtId="165" fontId="0" fillId="2" borderId="0" xfId="1" applyNumberFormat="1" applyFont="1" applyFill="1"/>
    <xf numFmtId="175" fontId="0" fillId="2" borderId="9" xfId="3" applyNumberFormat="1" applyFont="1" applyFill="1" applyBorder="1"/>
    <xf numFmtId="2" fontId="0" fillId="2" borderId="0" xfId="0" applyNumberFormat="1" applyFill="1"/>
    <xf numFmtId="2" fontId="0" fillId="2" borderId="9" xfId="0" applyNumberFormat="1" applyFill="1" applyBorder="1"/>
    <xf numFmtId="176" fontId="3" fillId="2" borderId="9" xfId="0" applyNumberFormat="1" applyFont="1" applyFill="1" applyBorder="1"/>
    <xf numFmtId="0" fontId="3" fillId="2" borderId="0" xfId="0" applyFont="1" applyFill="1"/>
    <xf numFmtId="43" fontId="0" fillId="2" borderId="0" xfId="0" applyNumberFormat="1" applyFill="1"/>
    <xf numFmtId="0" fontId="9" fillId="7" borderId="23" xfId="0" applyFont="1" applyFill="1" applyBorder="1"/>
    <xf numFmtId="0" fontId="9" fillId="7" borderId="25" xfId="0" applyFont="1" applyFill="1" applyBorder="1"/>
    <xf numFmtId="167" fontId="0" fillId="2" borderId="0" xfId="2" applyNumberFormat="1" applyFont="1" applyFill="1"/>
    <xf numFmtId="167" fontId="0" fillId="2" borderId="0" xfId="2" applyNumberFormat="1" applyFont="1" applyFill="1" applyBorder="1"/>
    <xf numFmtId="167" fontId="0" fillId="2" borderId="0" xfId="0" applyNumberFormat="1" applyFill="1"/>
    <xf numFmtId="0" fontId="4" fillId="2" borderId="0" xfId="0" applyFont="1" applyFill="1"/>
    <xf numFmtId="10" fontId="3" fillId="2" borderId="0" xfId="0" applyNumberFormat="1" applyFont="1" applyFill="1"/>
    <xf numFmtId="0" fontId="2" fillId="8" borderId="17" xfId="0" applyFont="1" applyFill="1" applyBorder="1"/>
    <xf numFmtId="0" fontId="2" fillId="8" borderId="48" xfId="0" applyFont="1" applyFill="1" applyBorder="1"/>
    <xf numFmtId="10" fontId="3" fillId="2" borderId="12" xfId="2" applyNumberFormat="1" applyFont="1" applyFill="1" applyBorder="1"/>
    <xf numFmtId="10" fontId="0" fillId="2" borderId="12" xfId="2" applyNumberFormat="1" applyFont="1" applyFill="1" applyBorder="1"/>
    <xf numFmtId="0" fontId="3" fillId="3" borderId="28" xfId="0" applyFont="1" applyFill="1" applyBorder="1"/>
    <xf numFmtId="0" fontId="4" fillId="8" borderId="11" xfId="0" applyFont="1" applyFill="1" applyBorder="1"/>
    <xf numFmtId="178" fontId="0" fillId="2" borderId="0" xfId="0" applyNumberFormat="1" applyFill="1"/>
    <xf numFmtId="0" fontId="2" fillId="2" borderId="0" xfId="0" applyFont="1" applyFill="1"/>
    <xf numFmtId="0" fontId="2" fillId="3" borderId="28" xfId="0" applyFont="1" applyFill="1" applyBorder="1"/>
    <xf numFmtId="0" fontId="3" fillId="3" borderId="17" xfId="0" applyFont="1" applyFill="1" applyBorder="1"/>
    <xf numFmtId="0" fontId="3" fillId="3" borderId="48" xfId="0" applyFont="1" applyFill="1" applyBorder="1"/>
    <xf numFmtId="0" fontId="2" fillId="8" borderId="16" xfId="0" applyFont="1" applyFill="1" applyBorder="1"/>
    <xf numFmtId="3" fontId="6" fillId="2" borderId="9" xfId="0" applyNumberFormat="1" applyFont="1" applyFill="1" applyBorder="1"/>
    <xf numFmtId="41" fontId="6" fillId="5" borderId="9" xfId="1" applyFont="1" applyFill="1" applyBorder="1"/>
    <xf numFmtId="41" fontId="6" fillId="2" borderId="9" xfId="1" applyFont="1" applyFill="1" applyBorder="1"/>
    <xf numFmtId="0" fontId="50" fillId="21" borderId="4" xfId="0" applyFont="1" applyFill="1" applyBorder="1"/>
    <xf numFmtId="0" fontId="50" fillId="21" borderId="0" xfId="0" applyFont="1" applyFill="1"/>
    <xf numFmtId="0" fontId="4" fillId="21" borderId="6" xfId="0" applyFont="1" applyFill="1" applyBorder="1"/>
    <xf numFmtId="0" fontId="0" fillId="21" borderId="7" xfId="0" applyFill="1" applyBorder="1"/>
    <xf numFmtId="0" fontId="0" fillId="21" borderId="8" xfId="0" applyFill="1" applyBorder="1"/>
    <xf numFmtId="9" fontId="0" fillId="2" borderId="0" xfId="2" applyFont="1" applyFill="1"/>
    <xf numFmtId="10" fontId="0" fillId="2" borderId="32" xfId="0" applyNumberFormat="1" applyFill="1" applyBorder="1"/>
    <xf numFmtId="10" fontId="0" fillId="2" borderId="32" xfId="2" applyNumberFormat="1" applyFont="1" applyFill="1" applyBorder="1"/>
    <xf numFmtId="10" fontId="0" fillId="2" borderId="46" xfId="2" applyNumberFormat="1" applyFont="1" applyFill="1" applyBorder="1"/>
    <xf numFmtId="10" fontId="3" fillId="2" borderId="0" xfId="2" applyNumberFormat="1" applyFont="1" applyFill="1" applyBorder="1" applyAlignment="1">
      <alignment horizontal="center"/>
    </xf>
    <xf numFmtId="0" fontId="10" fillId="2" borderId="1" xfId="0" applyFont="1" applyFill="1" applyBorder="1"/>
    <xf numFmtId="0" fontId="10" fillId="2" borderId="2" xfId="0" applyFont="1" applyFill="1" applyBorder="1"/>
    <xf numFmtId="0" fontId="2" fillId="8" borderId="50" xfId="0" applyFont="1" applyFill="1" applyBorder="1"/>
    <xf numFmtId="0" fontId="2" fillId="8" borderId="45" xfId="0" applyFont="1" applyFill="1" applyBorder="1"/>
    <xf numFmtId="0" fontId="2" fillId="3" borderId="45" xfId="0" applyFont="1" applyFill="1" applyBorder="1"/>
    <xf numFmtId="0" fontId="13" fillId="2" borderId="9" xfId="0" applyFont="1" applyFill="1" applyBorder="1"/>
    <xf numFmtId="0" fontId="4" fillId="6" borderId="38" xfId="0" applyFont="1" applyFill="1" applyBorder="1"/>
    <xf numFmtId="0" fontId="2" fillId="3" borderId="29" xfId="0" applyFont="1" applyFill="1" applyBorder="1"/>
    <xf numFmtId="0" fontId="2" fillId="8" borderId="27" xfId="0" applyFont="1" applyFill="1" applyBorder="1" applyAlignment="1">
      <alignment horizontal="center" vertical="center" wrapText="1"/>
    </xf>
    <xf numFmtId="0" fontId="2" fillId="8" borderId="28" xfId="0" applyFont="1" applyFill="1" applyBorder="1" applyAlignment="1">
      <alignment horizontal="center" vertical="center" wrapText="1"/>
    </xf>
    <xf numFmtId="0" fontId="2" fillId="8" borderId="29" xfId="0" applyFont="1" applyFill="1" applyBorder="1" applyAlignment="1">
      <alignment horizontal="center" vertical="center" wrapText="1"/>
    </xf>
    <xf numFmtId="176" fontId="43" fillId="8" borderId="9" xfId="0" applyNumberFormat="1" applyFont="1" applyFill="1" applyBorder="1" applyAlignment="1">
      <alignment horizontal="right"/>
    </xf>
    <xf numFmtId="0" fontId="2" fillId="8" borderId="9" xfId="0" applyFont="1" applyFill="1" applyBorder="1"/>
    <xf numFmtId="176" fontId="6" fillId="17" borderId="30" xfId="0" applyNumberFormat="1" applyFont="1" applyFill="1" applyBorder="1"/>
    <xf numFmtId="41" fontId="0" fillId="2" borderId="50" xfId="0" applyNumberFormat="1" applyFill="1" applyBorder="1"/>
    <xf numFmtId="176" fontId="3" fillId="2" borderId="50" xfId="0" applyNumberFormat="1" applyFont="1" applyFill="1" applyBorder="1"/>
    <xf numFmtId="2" fontId="0" fillId="2" borderId="45" xfId="0" applyNumberFormat="1" applyFill="1" applyBorder="1"/>
    <xf numFmtId="41" fontId="0" fillId="2" borderId="32" xfId="0" applyNumberFormat="1" applyFill="1" applyBorder="1"/>
    <xf numFmtId="2" fontId="0" fillId="2" borderId="46" xfId="0" applyNumberFormat="1" applyFill="1" applyBorder="1"/>
    <xf numFmtId="174" fontId="0" fillId="2" borderId="34" xfId="0" applyNumberFormat="1" applyFill="1" applyBorder="1"/>
    <xf numFmtId="41" fontId="0" fillId="2" borderId="33" xfId="0" applyNumberFormat="1" applyFill="1" applyBorder="1"/>
    <xf numFmtId="176" fontId="3" fillId="2" borderId="33" xfId="0" applyNumberFormat="1" applyFont="1" applyFill="1" applyBorder="1"/>
    <xf numFmtId="0" fontId="34" fillId="18" borderId="4" xfId="0" applyFont="1" applyFill="1" applyBorder="1" applyAlignment="1">
      <alignment vertical="center"/>
    </xf>
    <xf numFmtId="0" fontId="33" fillId="18" borderId="4" xfId="0" applyFont="1" applyFill="1" applyBorder="1" applyAlignment="1">
      <alignment horizontal="center" vertical="center"/>
    </xf>
    <xf numFmtId="0" fontId="0" fillId="17" borderId="10" xfId="0" applyFill="1" applyBorder="1"/>
    <xf numFmtId="0" fontId="0" fillId="17" borderId="11" xfId="0" applyFill="1" applyBorder="1"/>
    <xf numFmtId="0" fontId="0" fillId="17" borderId="12" xfId="0" applyFill="1" applyBorder="1"/>
    <xf numFmtId="41" fontId="3" fillId="2" borderId="37" xfId="1" applyFont="1" applyFill="1" applyBorder="1"/>
    <xf numFmtId="0" fontId="0" fillId="17" borderId="38" xfId="0" applyFill="1" applyBorder="1"/>
    <xf numFmtId="0" fontId="3" fillId="17" borderId="10" xfId="0" applyFont="1" applyFill="1" applyBorder="1"/>
    <xf numFmtId="170" fontId="3" fillId="2" borderId="54" xfId="0" applyNumberFormat="1" applyFont="1" applyFill="1" applyBorder="1"/>
    <xf numFmtId="170" fontId="3" fillId="2" borderId="14" xfId="0" applyNumberFormat="1" applyFont="1" applyFill="1" applyBorder="1"/>
    <xf numFmtId="170" fontId="3" fillId="2" borderId="15" xfId="0" applyNumberFormat="1" applyFont="1" applyFill="1" applyBorder="1"/>
    <xf numFmtId="0" fontId="3" fillId="17" borderId="11" xfId="0" applyFont="1" applyFill="1" applyBorder="1"/>
    <xf numFmtId="10" fontId="0" fillId="2" borderId="55" xfId="0" applyNumberFormat="1" applyFill="1" applyBorder="1"/>
    <xf numFmtId="170" fontId="3" fillId="2" borderId="13" xfId="0" applyNumberFormat="1" applyFont="1" applyFill="1" applyBorder="1"/>
    <xf numFmtId="0" fontId="3" fillId="2" borderId="0" xfId="0" applyFont="1" applyFill="1" applyAlignment="1">
      <alignment horizontal="center"/>
    </xf>
    <xf numFmtId="166" fontId="58" fillId="2" borderId="9" xfId="6" applyNumberFormat="1" applyFont="1" applyFill="1" applyBorder="1"/>
    <xf numFmtId="1" fontId="0" fillId="7" borderId="9" xfId="0" applyNumberFormat="1" applyFill="1" applyBorder="1"/>
    <xf numFmtId="41" fontId="59" fillId="2" borderId="9" xfId="7" applyFont="1" applyFill="1" applyBorder="1"/>
    <xf numFmtId="0" fontId="0" fillId="2" borderId="9" xfId="0" applyFill="1" applyBorder="1"/>
    <xf numFmtId="9" fontId="0" fillId="2" borderId="0" xfId="0" applyNumberFormat="1" applyFill="1"/>
    <xf numFmtId="3" fontId="0" fillId="2" borderId="0" xfId="0" applyNumberFormat="1" applyFill="1"/>
    <xf numFmtId="0" fontId="6" fillId="2" borderId="20" xfId="0" applyFont="1" applyFill="1" applyBorder="1"/>
    <xf numFmtId="0" fontId="0" fillId="2" borderId="21" xfId="0" applyFill="1" applyBorder="1"/>
    <xf numFmtId="0" fontId="58" fillId="2" borderId="4" xfId="0" applyFont="1" applyFill="1" applyBorder="1"/>
    <xf numFmtId="166" fontId="58" fillId="2" borderId="5" xfId="6" applyNumberFormat="1" applyFont="1" applyFill="1" applyBorder="1"/>
    <xf numFmtId="0" fontId="58" fillId="2" borderId="6" xfId="0" applyFont="1" applyFill="1" applyBorder="1"/>
    <xf numFmtId="0" fontId="0" fillId="2" borderId="7" xfId="0" applyFill="1" applyBorder="1"/>
    <xf numFmtId="166" fontId="58" fillId="2" borderId="8" xfId="6" applyNumberFormat="1" applyFont="1" applyFill="1" applyBorder="1"/>
    <xf numFmtId="0" fontId="0" fillId="2" borderId="0" xfId="0" applyFill="1" applyAlignment="1">
      <alignment horizontal="center"/>
    </xf>
    <xf numFmtId="0" fontId="2" fillId="4" borderId="26" xfId="0" applyFont="1" applyFill="1" applyBorder="1" applyAlignment="1">
      <alignment horizontal="center"/>
    </xf>
    <xf numFmtId="0" fontId="2" fillId="8" borderId="9" xfId="0" applyFont="1" applyFill="1" applyBorder="1" applyAlignment="1">
      <alignment horizontal="center"/>
    </xf>
    <xf numFmtId="0" fontId="3" fillId="11" borderId="9" xfId="0" applyFont="1" applyFill="1" applyBorder="1" applyAlignment="1">
      <alignment horizontal="center"/>
    </xf>
    <xf numFmtId="0" fontId="2" fillId="25" borderId="9" xfId="0" applyFont="1" applyFill="1" applyBorder="1" applyAlignment="1">
      <alignment horizontal="center"/>
    </xf>
    <xf numFmtId="0" fontId="2" fillId="26" borderId="9" xfId="0" applyFont="1" applyFill="1" applyBorder="1" applyAlignment="1">
      <alignment horizontal="center"/>
    </xf>
    <xf numFmtId="0" fontId="3" fillId="2" borderId="10" xfId="0" applyFont="1" applyFill="1" applyBorder="1"/>
    <xf numFmtId="9" fontId="0" fillId="2" borderId="9" xfId="0" applyNumberFormat="1" applyFill="1" applyBorder="1" applyAlignment="1">
      <alignment horizontal="center"/>
    </xf>
    <xf numFmtId="10" fontId="0" fillId="2" borderId="9" xfId="0" applyNumberFormat="1" applyFill="1" applyBorder="1" applyAlignment="1">
      <alignment horizontal="center"/>
    </xf>
    <xf numFmtId="10" fontId="3" fillId="2" borderId="9" xfId="0" applyNumberFormat="1" applyFont="1" applyFill="1" applyBorder="1" applyAlignment="1">
      <alignment horizontal="center"/>
    </xf>
    <xf numFmtId="166" fontId="0" fillId="2" borderId="0" xfId="9" applyNumberFormat="1" applyFont="1" applyFill="1" applyBorder="1" applyAlignment="1">
      <alignment horizontal="center"/>
    </xf>
    <xf numFmtId="0" fontId="2" fillId="7" borderId="9" xfId="0" applyFont="1" applyFill="1" applyBorder="1" applyAlignment="1">
      <alignment horizontal="center"/>
    </xf>
    <xf numFmtId="179" fontId="0" fillId="2" borderId="9" xfId="0" applyNumberFormat="1" applyFill="1" applyBorder="1"/>
    <xf numFmtId="41" fontId="6" fillId="8" borderId="9" xfId="1" applyFont="1" applyFill="1" applyBorder="1"/>
    <xf numFmtId="0" fontId="61" fillId="2" borderId="0" xfId="0" applyFont="1" applyFill="1"/>
    <xf numFmtId="0" fontId="0" fillId="17" borderId="0" xfId="0" applyFill="1"/>
    <xf numFmtId="0" fontId="62" fillId="2" borderId="0" xfId="0" applyFont="1" applyFill="1" applyAlignment="1">
      <alignment horizontal="left"/>
    </xf>
    <xf numFmtId="0" fontId="3" fillId="3" borderId="31" xfId="0" applyFont="1" applyFill="1" applyBorder="1"/>
    <xf numFmtId="0" fontId="3" fillId="3" borderId="50" xfId="0" applyFont="1" applyFill="1" applyBorder="1"/>
    <xf numFmtId="41" fontId="0" fillId="2" borderId="46" xfId="0" applyNumberFormat="1" applyFill="1" applyBorder="1"/>
    <xf numFmtId="10" fontId="0" fillId="2" borderId="34" xfId="0" applyNumberFormat="1" applyFill="1" applyBorder="1"/>
    <xf numFmtId="10" fontId="0" fillId="2" borderId="33" xfId="0" applyNumberFormat="1" applyFill="1" applyBorder="1"/>
    <xf numFmtId="10" fontId="0" fillId="2" borderId="47" xfId="0" applyNumberFormat="1" applyFill="1" applyBorder="1"/>
    <xf numFmtId="166" fontId="0" fillId="2" borderId="32" xfId="0" applyNumberFormat="1" applyFill="1" applyBorder="1"/>
    <xf numFmtId="166" fontId="0" fillId="2" borderId="46" xfId="0" applyNumberFormat="1" applyFill="1" applyBorder="1"/>
    <xf numFmtId="0" fontId="0" fillId="17" borderId="32" xfId="0" applyFill="1" applyBorder="1"/>
    <xf numFmtId="2" fontId="0" fillId="2" borderId="32" xfId="0" applyNumberFormat="1" applyFill="1" applyBorder="1"/>
    <xf numFmtId="43" fontId="0" fillId="2" borderId="34" xfId="9" applyFont="1" applyFill="1" applyBorder="1"/>
    <xf numFmtId="43" fontId="0" fillId="2" borderId="33" xfId="9" applyFont="1" applyFill="1" applyBorder="1"/>
    <xf numFmtId="43" fontId="0" fillId="2" borderId="47" xfId="9" applyFont="1" applyFill="1" applyBorder="1"/>
    <xf numFmtId="0" fontId="0" fillId="2" borderId="0" xfId="0" applyFill="1" applyAlignment="1">
      <alignment vertical="center"/>
    </xf>
    <xf numFmtId="0" fontId="36" fillId="2" borderId="0" xfId="0" applyFont="1" applyFill="1" applyAlignment="1">
      <alignment horizontal="center"/>
    </xf>
    <xf numFmtId="0" fontId="47" fillId="2" borderId="0" xfId="0" applyFont="1" applyFill="1"/>
    <xf numFmtId="10" fontId="3" fillId="17" borderId="9" xfId="0" applyNumberFormat="1" applyFont="1" applyFill="1" applyBorder="1"/>
    <xf numFmtId="10" fontId="3" fillId="17" borderId="46" xfId="0" applyNumberFormat="1" applyFont="1" applyFill="1" applyBorder="1"/>
    <xf numFmtId="10" fontId="0" fillId="2" borderId="0" xfId="2" applyNumberFormat="1" applyFont="1" applyFill="1" applyBorder="1"/>
    <xf numFmtId="0" fontId="6" fillId="2" borderId="4" xfId="0" applyFont="1" applyFill="1" applyBorder="1"/>
    <xf numFmtId="0" fontId="6" fillId="2" borderId="6" xfId="0" applyFont="1" applyFill="1" applyBorder="1"/>
    <xf numFmtId="170" fontId="65" fillId="15" borderId="9" xfId="3" applyNumberFormat="1" applyFont="1" applyFill="1" applyBorder="1" applyAlignment="1">
      <alignment vertical="center"/>
    </xf>
    <xf numFmtId="177" fontId="65" fillId="15" borderId="9" xfId="0" applyNumberFormat="1" applyFont="1" applyFill="1" applyBorder="1" applyAlignment="1">
      <alignment vertical="center"/>
    </xf>
    <xf numFmtId="172" fontId="66" fillId="15" borderId="9" xfId="0" applyNumberFormat="1" applyFont="1" applyFill="1" applyBorder="1" applyAlignment="1">
      <alignment vertical="center"/>
    </xf>
    <xf numFmtId="170" fontId="65" fillId="13" borderId="10" xfId="3" applyNumberFormat="1" applyFont="1" applyFill="1" applyBorder="1" applyAlignment="1">
      <alignment vertical="center"/>
    </xf>
    <xf numFmtId="173" fontId="65" fillId="13" borderId="10" xfId="0" applyNumberFormat="1" applyFont="1" applyFill="1" applyBorder="1" applyAlignment="1">
      <alignment vertical="center"/>
    </xf>
    <xf numFmtId="170" fontId="66" fillId="13" borderId="10" xfId="3" applyNumberFormat="1" applyFont="1" applyFill="1" applyBorder="1" applyAlignment="1">
      <alignment vertical="center"/>
    </xf>
    <xf numFmtId="170" fontId="65" fillId="19" borderId="10" xfId="3" applyNumberFormat="1" applyFont="1" applyFill="1" applyBorder="1" applyAlignment="1">
      <alignment vertical="center"/>
    </xf>
    <xf numFmtId="172" fontId="65" fillId="19" borderId="10" xfId="0" applyNumberFormat="1" applyFont="1" applyFill="1" applyBorder="1" applyAlignment="1">
      <alignment vertical="center"/>
    </xf>
    <xf numFmtId="170" fontId="66" fillId="19" borderId="10" xfId="3" applyNumberFormat="1" applyFont="1" applyFill="1" applyBorder="1" applyAlignment="1">
      <alignment vertical="center"/>
    </xf>
    <xf numFmtId="171" fontId="29" fillId="15" borderId="9" xfId="0" applyNumberFormat="1" applyFont="1" applyFill="1" applyBorder="1" applyAlignment="1">
      <alignment vertical="center"/>
    </xf>
    <xf numFmtId="180" fontId="29" fillId="15" borderId="9" xfId="0" applyNumberFormat="1" applyFont="1" applyFill="1" applyBorder="1" applyAlignment="1">
      <alignment horizontal="left" vertical="center"/>
    </xf>
    <xf numFmtId="0" fontId="53" fillId="2" borderId="0" xfId="0" applyFont="1" applyFill="1" applyAlignment="1">
      <alignment horizontal="center" vertical="center" wrapText="1"/>
    </xf>
    <xf numFmtId="0" fontId="3" fillId="17" borderId="30" xfId="0" applyFont="1" applyFill="1" applyBorder="1" applyAlignment="1">
      <alignment horizontal="center"/>
    </xf>
    <xf numFmtId="0" fontId="3" fillId="2" borderId="32" xfId="0" applyFont="1" applyFill="1" applyBorder="1" applyAlignment="1">
      <alignment vertical="center"/>
    </xf>
    <xf numFmtId="41" fontId="0" fillId="2" borderId="46" xfId="0" applyNumberFormat="1" applyFill="1" applyBorder="1" applyAlignment="1">
      <alignment vertical="center"/>
    </xf>
    <xf numFmtId="0" fontId="3" fillId="2" borderId="34" xfId="0" applyFont="1" applyFill="1" applyBorder="1"/>
    <xf numFmtId="41" fontId="0" fillId="2" borderId="47" xfId="0" applyNumberFormat="1" applyFill="1" applyBorder="1"/>
    <xf numFmtId="0" fontId="3" fillId="2" borderId="56" xfId="0" applyFont="1" applyFill="1" applyBorder="1"/>
    <xf numFmtId="174" fontId="0" fillId="2" borderId="57" xfId="0" applyNumberFormat="1" applyFill="1" applyBorder="1"/>
    <xf numFmtId="10" fontId="0" fillId="2" borderId="54" xfId="0" applyNumberFormat="1" applyFill="1" applyBorder="1"/>
    <xf numFmtId="166" fontId="6" fillId="2" borderId="9" xfId="6" applyNumberFormat="1" applyFont="1" applyFill="1" applyBorder="1"/>
    <xf numFmtId="174" fontId="43" fillId="8" borderId="9" xfId="0" applyNumberFormat="1" applyFont="1" applyFill="1" applyBorder="1" applyAlignment="1">
      <alignment horizontal="center"/>
    </xf>
    <xf numFmtId="169" fontId="68" fillId="8" borderId="9" xfId="0" applyNumberFormat="1" applyFont="1" applyFill="1" applyBorder="1" applyAlignment="1">
      <alignment horizontal="right" vertical="center" wrapText="1"/>
    </xf>
    <xf numFmtId="169" fontId="68" fillId="8" borderId="10" xfId="0" applyNumberFormat="1" applyFont="1" applyFill="1" applyBorder="1" applyAlignment="1">
      <alignment horizontal="right" vertical="center" wrapText="1"/>
    </xf>
    <xf numFmtId="10" fontId="3" fillId="9" borderId="12" xfId="0" applyNumberFormat="1" applyFont="1" applyFill="1" applyBorder="1"/>
    <xf numFmtId="10" fontId="0" fillId="22" borderId="51" xfId="2" applyNumberFormat="1" applyFont="1" applyFill="1" applyBorder="1"/>
    <xf numFmtId="10" fontId="0" fillId="2" borderId="56" xfId="0" applyNumberFormat="1" applyFill="1" applyBorder="1"/>
    <xf numFmtId="10" fontId="0" fillId="2" borderId="13" xfId="0" applyNumberFormat="1" applyFill="1" applyBorder="1"/>
    <xf numFmtId="10" fontId="0" fillId="2" borderId="57" xfId="0" applyNumberFormat="1" applyFill="1" applyBorder="1"/>
    <xf numFmtId="0" fontId="2" fillId="3" borderId="27" xfId="0" applyFont="1" applyFill="1" applyBorder="1"/>
    <xf numFmtId="0" fontId="2" fillId="8" borderId="43" xfId="0" applyFont="1" applyFill="1" applyBorder="1"/>
    <xf numFmtId="0" fontId="2" fillId="8" borderId="60" xfId="0" applyFont="1" applyFill="1" applyBorder="1"/>
    <xf numFmtId="0" fontId="9" fillId="7" borderId="24" xfId="0" applyFont="1" applyFill="1" applyBorder="1"/>
    <xf numFmtId="41" fontId="0" fillId="2" borderId="0" xfId="2" applyNumberFormat="1" applyFont="1" applyFill="1"/>
    <xf numFmtId="0" fontId="42" fillId="27" borderId="28" xfId="0" applyFont="1" applyFill="1" applyBorder="1" applyAlignment="1">
      <alignment horizontal="center" vertical="center" wrapText="1"/>
    </xf>
    <xf numFmtId="167" fontId="58" fillId="2" borderId="9" xfId="2" applyNumberFormat="1" applyFont="1" applyFill="1" applyBorder="1"/>
    <xf numFmtId="176" fontId="43" fillId="5" borderId="9" xfId="0" applyNumberFormat="1" applyFont="1" applyFill="1" applyBorder="1" applyAlignment="1">
      <alignment horizontal="right"/>
    </xf>
    <xf numFmtId="0" fontId="2" fillId="5" borderId="9" xfId="0" applyFont="1" applyFill="1" applyBorder="1"/>
    <xf numFmtId="174" fontId="43" fillId="5" borderId="9" xfId="0" applyNumberFormat="1" applyFont="1" applyFill="1" applyBorder="1" applyAlignment="1">
      <alignment horizontal="center"/>
    </xf>
    <xf numFmtId="169" fontId="68" fillId="5" borderId="9" xfId="0" applyNumberFormat="1" applyFont="1" applyFill="1" applyBorder="1" applyAlignment="1">
      <alignment horizontal="right" vertical="center" wrapText="1"/>
    </xf>
    <xf numFmtId="169" fontId="68" fillId="5" borderId="10" xfId="0" applyNumberFormat="1" applyFont="1" applyFill="1" applyBorder="1" applyAlignment="1">
      <alignment horizontal="right" vertical="center" wrapText="1"/>
    </xf>
    <xf numFmtId="169" fontId="38" fillId="5" borderId="9" xfId="0" applyNumberFormat="1" applyFont="1" applyFill="1" applyBorder="1" applyAlignment="1">
      <alignment horizontal="right" vertical="center" wrapText="1"/>
    </xf>
    <xf numFmtId="0" fontId="2" fillId="5" borderId="9" xfId="0" applyFont="1" applyFill="1" applyBorder="1" applyAlignment="1">
      <alignment horizontal="center" vertical="center"/>
    </xf>
    <xf numFmtId="2" fontId="0" fillId="2" borderId="47" xfId="0" applyNumberFormat="1" applyFill="1" applyBorder="1"/>
    <xf numFmtId="176" fontId="3" fillId="2" borderId="0" xfId="0" applyNumberFormat="1" applyFont="1" applyFill="1"/>
    <xf numFmtId="181" fontId="47" fillId="17" borderId="1" xfId="3" applyNumberFormat="1" applyFont="1" applyFill="1" applyBorder="1" applyAlignment="1">
      <alignment vertical="center"/>
    </xf>
    <xf numFmtId="181" fontId="47" fillId="17" borderId="3" xfId="3" applyNumberFormat="1" applyFont="1" applyFill="1" applyBorder="1" applyAlignment="1">
      <alignment vertical="center"/>
    </xf>
    <xf numFmtId="181" fontId="47" fillId="17" borderId="8" xfId="3" applyNumberFormat="1" applyFont="1" applyFill="1" applyBorder="1" applyAlignment="1">
      <alignment vertical="center"/>
    </xf>
    <xf numFmtId="3" fontId="0" fillId="2" borderId="9" xfId="0" applyNumberFormat="1" applyFill="1" applyBorder="1"/>
    <xf numFmtId="166" fontId="0" fillId="2" borderId="12" xfId="0" applyNumberFormat="1" applyFill="1" applyBorder="1"/>
    <xf numFmtId="0" fontId="0" fillId="17" borderId="23" xfId="0" applyFill="1" applyBorder="1"/>
    <xf numFmtId="0" fontId="0" fillId="17" borderId="25" xfId="0" applyFill="1" applyBorder="1"/>
    <xf numFmtId="0" fontId="0" fillId="17" borderId="24" xfId="0" applyFill="1" applyBorder="1"/>
    <xf numFmtId="169" fontId="68" fillId="8" borderId="9" xfId="0" applyNumberFormat="1" applyFont="1" applyFill="1" applyBorder="1" applyAlignment="1">
      <alignment horizontal="center" vertical="center" wrapText="1"/>
    </xf>
    <xf numFmtId="176" fontId="0" fillId="2" borderId="9" xfId="0" applyNumberFormat="1" applyFill="1" applyBorder="1"/>
    <xf numFmtId="0" fontId="70" fillId="2" borderId="0" xfId="0" applyFont="1" applyFill="1"/>
    <xf numFmtId="182" fontId="0" fillId="2" borderId="9" xfId="0" applyNumberFormat="1" applyFill="1" applyBorder="1"/>
    <xf numFmtId="164" fontId="47" fillId="17" borderId="3" xfId="3" applyFont="1" applyFill="1" applyBorder="1" applyAlignment="1">
      <alignment vertical="center"/>
    </xf>
    <xf numFmtId="164" fontId="47" fillId="17" borderId="6" xfId="3" applyFont="1" applyFill="1" applyBorder="1" applyAlignment="1">
      <alignment vertical="center"/>
    </xf>
    <xf numFmtId="164" fontId="47" fillId="17" borderId="8" xfId="3" applyFont="1" applyFill="1" applyBorder="1" applyAlignment="1">
      <alignment vertical="center"/>
    </xf>
    <xf numFmtId="182" fontId="3" fillId="2" borderId="9" xfId="0" applyNumberFormat="1" applyFont="1" applyFill="1" applyBorder="1"/>
    <xf numFmtId="172" fontId="65" fillId="13" borderId="10" xfId="0" applyNumberFormat="1" applyFont="1" applyFill="1" applyBorder="1" applyAlignment="1">
      <alignment vertical="center"/>
    </xf>
    <xf numFmtId="169" fontId="2" fillId="8" borderId="9" xfId="0" applyNumberFormat="1" applyFont="1" applyFill="1" applyBorder="1"/>
    <xf numFmtId="41" fontId="0" fillId="2" borderId="62" xfId="0" applyNumberFormat="1" applyFill="1" applyBorder="1"/>
    <xf numFmtId="167" fontId="0" fillId="2" borderId="9" xfId="0" applyNumberFormat="1" applyFill="1" applyBorder="1"/>
    <xf numFmtId="0" fontId="3" fillId="2" borderId="31" xfId="0" applyFont="1" applyFill="1" applyBorder="1"/>
    <xf numFmtId="0" fontId="3" fillId="2" borderId="32" xfId="0" applyFont="1" applyFill="1" applyBorder="1"/>
    <xf numFmtId="10" fontId="0" fillId="2" borderId="46" xfId="0" applyNumberFormat="1" applyFill="1" applyBorder="1"/>
    <xf numFmtId="167" fontId="0" fillId="2" borderId="33" xfId="0" applyNumberFormat="1" applyFill="1" applyBorder="1"/>
    <xf numFmtId="167" fontId="0" fillId="2" borderId="47" xfId="0" applyNumberFormat="1" applyFill="1" applyBorder="1"/>
    <xf numFmtId="167" fontId="0" fillId="2" borderId="34" xfId="0" applyNumberFormat="1" applyFill="1" applyBorder="1"/>
    <xf numFmtId="10" fontId="3" fillId="2" borderId="32" xfId="0" applyNumberFormat="1" applyFont="1" applyFill="1" applyBorder="1"/>
    <xf numFmtId="10" fontId="3" fillId="17" borderId="32" xfId="0" applyNumberFormat="1" applyFont="1" applyFill="1" applyBorder="1"/>
    <xf numFmtId="169" fontId="2" fillId="5" borderId="9" xfId="0" applyNumberFormat="1" applyFont="1" applyFill="1" applyBorder="1"/>
    <xf numFmtId="10" fontId="71" fillId="2" borderId="9" xfId="0" applyNumberFormat="1" applyFont="1" applyFill="1" applyBorder="1"/>
    <xf numFmtId="10" fontId="71" fillId="2" borderId="46" xfId="0" applyNumberFormat="1" applyFont="1" applyFill="1" applyBorder="1"/>
    <xf numFmtId="167" fontId="72" fillId="2" borderId="30" xfId="0" applyNumberFormat="1" applyFont="1" applyFill="1" applyBorder="1"/>
    <xf numFmtId="3" fontId="6" fillId="15" borderId="12" xfId="0" applyNumberFormat="1" applyFont="1" applyFill="1" applyBorder="1" applyAlignment="1">
      <alignment horizontal="right" vertical="center" wrapText="1"/>
    </xf>
    <xf numFmtId="170" fontId="58" fillId="15" borderId="12" xfId="3" applyNumberFormat="1" applyFont="1" applyFill="1" applyBorder="1" applyAlignment="1">
      <alignment vertical="center"/>
    </xf>
    <xf numFmtId="170" fontId="58" fillId="15" borderId="41" xfId="3" applyNumberFormat="1" applyFont="1" applyFill="1" applyBorder="1" applyAlignment="1">
      <alignment vertical="center"/>
    </xf>
    <xf numFmtId="170" fontId="6" fillId="15" borderId="36" xfId="3" applyNumberFormat="1" applyFont="1" applyFill="1" applyBorder="1" applyAlignment="1">
      <alignment vertical="center"/>
    </xf>
    <xf numFmtId="0" fontId="58" fillId="2" borderId="0" xfId="0" applyFont="1" applyFill="1" applyAlignment="1">
      <alignment vertical="center"/>
    </xf>
    <xf numFmtId="170" fontId="58" fillId="15" borderId="33" xfId="3" applyNumberFormat="1" applyFont="1" applyFill="1" applyBorder="1" applyAlignment="1">
      <alignment vertical="center"/>
    </xf>
    <xf numFmtId="170" fontId="6" fillId="15" borderId="12" xfId="3" applyNumberFormat="1" applyFont="1" applyFill="1" applyBorder="1" applyAlignment="1">
      <alignment vertical="center"/>
    </xf>
    <xf numFmtId="170" fontId="6" fillId="15" borderId="9" xfId="3" applyNumberFormat="1" applyFont="1" applyFill="1" applyBorder="1" applyAlignment="1">
      <alignment vertical="center"/>
    </xf>
    <xf numFmtId="170" fontId="58" fillId="15" borderId="9" xfId="3" applyNumberFormat="1" applyFont="1" applyFill="1" applyBorder="1" applyAlignment="1">
      <alignment vertical="center"/>
    </xf>
    <xf numFmtId="170" fontId="6" fillId="15" borderId="43" xfId="3" applyNumberFormat="1" applyFont="1" applyFill="1" applyBorder="1" applyAlignment="1">
      <alignment vertical="center"/>
    </xf>
    <xf numFmtId="170" fontId="6" fillId="15" borderId="28" xfId="3" applyNumberFormat="1" applyFont="1" applyFill="1" applyBorder="1" applyAlignment="1">
      <alignment vertical="center"/>
    </xf>
    <xf numFmtId="0" fontId="58" fillId="2" borderId="0" xfId="0" applyFont="1" applyFill="1"/>
    <xf numFmtId="170" fontId="73" fillId="2" borderId="0" xfId="3" applyNumberFormat="1" applyFont="1" applyFill="1" applyBorder="1" applyAlignment="1">
      <alignment vertical="center"/>
    </xf>
    <xf numFmtId="164" fontId="47" fillId="17" borderId="1" xfId="3" applyFont="1" applyFill="1" applyBorder="1" applyAlignment="1">
      <alignment horizontal="left" vertical="center"/>
    </xf>
    <xf numFmtId="10" fontId="0" fillId="2" borderId="31" xfId="0" applyNumberFormat="1" applyFill="1" applyBorder="1"/>
    <xf numFmtId="10" fontId="0" fillId="2" borderId="50" xfId="0" applyNumberFormat="1" applyFill="1" applyBorder="1"/>
    <xf numFmtId="10" fontId="0" fillId="2" borderId="45" xfId="0" applyNumberFormat="1" applyFill="1" applyBorder="1"/>
    <xf numFmtId="0" fontId="3" fillId="2" borderId="30" xfId="0" applyFont="1" applyFill="1" applyBorder="1"/>
    <xf numFmtId="176" fontId="6" fillId="17" borderId="22" xfId="0" applyNumberFormat="1" applyFont="1" applyFill="1" applyBorder="1"/>
    <xf numFmtId="0" fontId="3" fillId="28" borderId="20" xfId="0" applyFont="1" applyFill="1" applyBorder="1"/>
    <xf numFmtId="0" fontId="3" fillId="28" borderId="21" xfId="0" applyFont="1" applyFill="1" applyBorder="1"/>
    <xf numFmtId="0" fontId="3" fillId="28" borderId="22" xfId="0" applyFont="1" applyFill="1" applyBorder="1"/>
    <xf numFmtId="0" fontId="0" fillId="2" borderId="13" xfId="0" applyFill="1" applyBorder="1"/>
    <xf numFmtId="181" fontId="0" fillId="2" borderId="9" xfId="3" applyNumberFormat="1" applyFont="1" applyFill="1" applyBorder="1"/>
    <xf numFmtId="0" fontId="2" fillId="5" borderId="36" xfId="0" applyFont="1" applyFill="1" applyBorder="1"/>
    <xf numFmtId="0" fontId="2" fillId="5" borderId="13" xfId="0" applyFont="1" applyFill="1" applyBorder="1"/>
    <xf numFmtId="0" fontId="2" fillId="5" borderId="57" xfId="0" applyFont="1" applyFill="1" applyBorder="1"/>
    <xf numFmtId="0" fontId="7" fillId="2" borderId="56" xfId="0" applyFont="1" applyFill="1" applyBorder="1"/>
    <xf numFmtId="0" fontId="7" fillId="2" borderId="34" xfId="0" applyFont="1" applyFill="1" applyBorder="1"/>
    <xf numFmtId="0" fontId="0" fillId="2" borderId="33" xfId="0" applyFill="1" applyBorder="1"/>
    <xf numFmtId="181" fontId="0" fillId="2" borderId="33" xfId="3" applyNumberFormat="1" applyFont="1" applyFill="1" applyBorder="1"/>
    <xf numFmtId="43" fontId="0" fillId="2" borderId="9" xfId="0" applyNumberFormat="1" applyFill="1" applyBorder="1"/>
    <xf numFmtId="0" fontId="25" fillId="2" borderId="0" xfId="0" applyFont="1" applyFill="1"/>
    <xf numFmtId="0" fontId="76" fillId="2" borderId="0" xfId="0" applyFont="1" applyFill="1"/>
    <xf numFmtId="0" fontId="3" fillId="29" borderId="0" xfId="0" applyFont="1" applyFill="1"/>
    <xf numFmtId="0" fontId="0" fillId="29" borderId="0" xfId="0" applyFill="1"/>
    <xf numFmtId="0" fontId="77" fillId="2" borderId="66" xfId="0" applyFont="1" applyFill="1" applyBorder="1"/>
    <xf numFmtId="0" fontId="75" fillId="29" borderId="0" xfId="0" quotePrefix="1" applyFont="1" applyFill="1" applyAlignment="1">
      <alignment vertical="center"/>
    </xf>
    <xf numFmtId="43" fontId="0" fillId="2" borderId="9" xfId="9" applyFont="1" applyFill="1" applyBorder="1"/>
    <xf numFmtId="10" fontId="0" fillId="2" borderId="31" xfId="2" applyNumberFormat="1" applyFont="1" applyFill="1" applyBorder="1"/>
    <xf numFmtId="10" fontId="0" fillId="2" borderId="50" xfId="2" applyNumberFormat="1" applyFont="1" applyFill="1" applyBorder="1"/>
    <xf numFmtId="10" fontId="0" fillId="2" borderId="45" xfId="2" applyNumberFormat="1" applyFont="1" applyFill="1" applyBorder="1"/>
    <xf numFmtId="10" fontId="0" fillId="2" borderId="34" xfId="2" applyNumberFormat="1" applyFont="1" applyFill="1" applyBorder="1"/>
    <xf numFmtId="10" fontId="0" fillId="2" borderId="33" xfId="2" applyNumberFormat="1" applyFont="1" applyFill="1" applyBorder="1"/>
    <xf numFmtId="10" fontId="0" fillId="2" borderId="47" xfId="2" applyNumberFormat="1" applyFont="1" applyFill="1" applyBorder="1"/>
    <xf numFmtId="166" fontId="0" fillId="2" borderId="31" xfId="0" applyNumberFormat="1" applyFill="1" applyBorder="1"/>
    <xf numFmtId="166" fontId="0" fillId="2" borderId="50" xfId="0" applyNumberFormat="1" applyFill="1" applyBorder="1"/>
    <xf numFmtId="166" fontId="0" fillId="2" borderId="45" xfId="0" applyNumberFormat="1" applyFill="1" applyBorder="1"/>
    <xf numFmtId="43" fontId="0" fillId="2" borderId="32" xfId="0" applyNumberFormat="1" applyFill="1" applyBorder="1"/>
    <xf numFmtId="43" fontId="0" fillId="2" borderId="46" xfId="0" applyNumberFormat="1" applyFill="1" applyBorder="1"/>
    <xf numFmtId="43" fontId="0" fillId="2" borderId="34" xfId="0" applyNumberFormat="1" applyFill="1" applyBorder="1"/>
    <xf numFmtId="43" fontId="0" fillId="2" borderId="33" xfId="0" applyNumberFormat="1" applyFill="1" applyBorder="1"/>
    <xf numFmtId="43" fontId="0" fillId="2" borderId="47" xfId="0" applyNumberFormat="1" applyFill="1" applyBorder="1"/>
    <xf numFmtId="2" fontId="0" fillId="2" borderId="31" xfId="0" applyNumberFormat="1" applyFill="1" applyBorder="1"/>
    <xf numFmtId="2" fontId="0" fillId="2" borderId="50" xfId="0" applyNumberFormat="1" applyFill="1" applyBorder="1"/>
    <xf numFmtId="2" fontId="0" fillId="2" borderId="34" xfId="0" applyNumberFormat="1" applyFill="1" applyBorder="1"/>
    <xf numFmtId="43" fontId="0" fillId="2" borderId="32" xfId="9" applyFont="1" applyFill="1" applyBorder="1"/>
    <xf numFmtId="43" fontId="0" fillId="2" borderId="46" xfId="9" applyFont="1" applyFill="1" applyBorder="1"/>
    <xf numFmtId="10" fontId="3" fillId="30" borderId="34" xfId="2" applyNumberFormat="1" applyFont="1" applyFill="1" applyBorder="1"/>
    <xf numFmtId="10" fontId="3" fillId="30" borderId="33" xfId="2" applyNumberFormat="1" applyFont="1" applyFill="1" applyBorder="1"/>
    <xf numFmtId="10" fontId="3" fillId="31" borderId="33" xfId="2" applyNumberFormat="1" applyFont="1" applyFill="1" applyBorder="1"/>
    <xf numFmtId="10" fontId="3" fillId="31" borderId="47" xfId="2" applyNumberFormat="1" applyFont="1" applyFill="1" applyBorder="1"/>
    <xf numFmtId="0" fontId="3" fillId="3" borderId="27" xfId="0" applyFont="1" applyFill="1" applyBorder="1"/>
    <xf numFmtId="0" fontId="0" fillId="8" borderId="0" xfId="0" applyFill="1"/>
    <xf numFmtId="0" fontId="79" fillId="2" borderId="0" xfId="0" applyFont="1" applyFill="1"/>
    <xf numFmtId="0" fontId="0" fillId="2" borderId="0" xfId="0" quotePrefix="1" applyFill="1"/>
    <xf numFmtId="0" fontId="80" fillId="32" borderId="67" xfId="0" applyFont="1" applyFill="1" applyBorder="1" applyAlignment="1">
      <alignment horizontal="center"/>
    </xf>
    <xf numFmtId="10" fontId="13" fillId="2" borderId="10" xfId="0" applyNumberFormat="1" applyFont="1" applyFill="1" applyBorder="1" applyAlignment="1">
      <alignment horizontal="center"/>
    </xf>
    <xf numFmtId="166" fontId="58" fillId="0" borderId="9" xfId="6" applyNumberFormat="1" applyFont="1" applyFill="1" applyBorder="1"/>
    <xf numFmtId="41" fontId="59" fillId="0" borderId="9" xfId="7" applyFont="1" applyFill="1" applyBorder="1"/>
    <xf numFmtId="10" fontId="0" fillId="0" borderId="9" xfId="2" applyNumberFormat="1" applyFont="1" applyFill="1" applyBorder="1"/>
    <xf numFmtId="10" fontId="3" fillId="0" borderId="9" xfId="2" applyNumberFormat="1" applyFont="1" applyFill="1" applyBorder="1"/>
    <xf numFmtId="10" fontId="0" fillId="0" borderId="12" xfId="2" applyNumberFormat="1" applyFont="1" applyFill="1" applyBorder="1"/>
    <xf numFmtId="10" fontId="0" fillId="33" borderId="12" xfId="2" applyNumberFormat="1" applyFont="1" applyFill="1" applyBorder="1"/>
    <xf numFmtId="10" fontId="0" fillId="33" borderId="9" xfId="2" applyNumberFormat="1" applyFont="1" applyFill="1" applyBorder="1"/>
    <xf numFmtId="10" fontId="3" fillId="33" borderId="12" xfId="2" applyNumberFormat="1" applyFont="1" applyFill="1" applyBorder="1"/>
    <xf numFmtId="10" fontId="3" fillId="33" borderId="9" xfId="2" applyNumberFormat="1" applyFont="1" applyFill="1" applyBorder="1"/>
    <xf numFmtId="166" fontId="0" fillId="2" borderId="0" xfId="9" applyNumberFormat="1" applyFont="1" applyFill="1"/>
    <xf numFmtId="41" fontId="79" fillId="34" borderId="9" xfId="1" applyFont="1" applyFill="1" applyBorder="1"/>
    <xf numFmtId="10" fontId="14" fillId="34" borderId="9" xfId="2" applyNumberFormat="1" applyFont="1" applyFill="1" applyBorder="1"/>
    <xf numFmtId="0" fontId="26" fillId="34" borderId="0" xfId="0" applyFont="1" applyFill="1"/>
    <xf numFmtId="0" fontId="86" fillId="2" borderId="0" xfId="11" applyFill="1"/>
    <xf numFmtId="10" fontId="72" fillId="34" borderId="9" xfId="0" applyNumberFormat="1" applyFont="1" applyFill="1" applyBorder="1"/>
    <xf numFmtId="41" fontId="14" fillId="0" borderId="9" xfId="1" applyFont="1" applyFill="1" applyBorder="1"/>
    <xf numFmtId="41" fontId="0" fillId="2" borderId="68" xfId="0" applyNumberFormat="1" applyFill="1" applyBorder="1"/>
    <xf numFmtId="0" fontId="89" fillId="2" borderId="0" xfId="0" applyFont="1" applyFill="1" applyAlignment="1">
      <alignment horizontal="left" vertical="center"/>
    </xf>
    <xf numFmtId="0" fontId="58" fillId="0" borderId="0" xfId="0" applyFont="1"/>
    <xf numFmtId="0" fontId="90" fillId="2" borderId="0" xfId="0" applyFont="1" applyFill="1"/>
    <xf numFmtId="0" fontId="91" fillId="0" borderId="0" xfId="0" applyFont="1"/>
    <xf numFmtId="0" fontId="92" fillId="0" borderId="0" xfId="0" applyFont="1"/>
    <xf numFmtId="0" fontId="93" fillId="21" borderId="0" xfId="0" applyFont="1" applyFill="1"/>
    <xf numFmtId="0" fontId="93" fillId="25" borderId="0" xfId="0" applyFont="1" applyFill="1"/>
    <xf numFmtId="0" fontId="94" fillId="0" borderId="0" xfId="0" applyFont="1"/>
    <xf numFmtId="0" fontId="67" fillId="21" borderId="9" xfId="0" applyFont="1" applyFill="1" applyBorder="1"/>
    <xf numFmtId="0" fontId="6" fillId="34" borderId="0" xfId="0" applyFont="1" applyFill="1"/>
    <xf numFmtId="166" fontId="92" fillId="2" borderId="9" xfId="12" applyNumberFormat="1" applyFont="1" applyFill="1" applyBorder="1"/>
    <xf numFmtId="0" fontId="58" fillId="21" borderId="0" xfId="0" applyFont="1" applyFill="1"/>
    <xf numFmtId="0" fontId="43" fillId="25" borderId="13" xfId="0" applyFont="1" applyFill="1" applyBorder="1"/>
    <xf numFmtId="0" fontId="43" fillId="21" borderId="13" xfId="0" applyFont="1" applyFill="1" applyBorder="1"/>
    <xf numFmtId="0" fontId="6" fillId="2" borderId="0" xfId="0" applyFont="1" applyFill="1"/>
    <xf numFmtId="183" fontId="92" fillId="2" borderId="9" xfId="12" applyNumberFormat="1" applyFont="1" applyFill="1" applyBorder="1"/>
    <xf numFmtId="0" fontId="58" fillId="2" borderId="9" xfId="0" applyFont="1" applyFill="1" applyBorder="1"/>
    <xf numFmtId="0" fontId="6" fillId="0" borderId="0" xfId="0" applyFont="1"/>
    <xf numFmtId="2" fontId="6" fillId="2" borderId="9" xfId="0" applyNumberFormat="1" applyFont="1" applyFill="1" applyBorder="1"/>
    <xf numFmtId="0" fontId="6" fillId="2" borderId="9" xfId="0" applyFont="1" applyFill="1" applyBorder="1" applyAlignment="1">
      <alignment horizontal="center"/>
    </xf>
    <xf numFmtId="2" fontId="95" fillId="25" borderId="9" xfId="1" applyNumberFormat="1" applyFont="1" applyFill="1" applyBorder="1"/>
    <xf numFmtId="0" fontId="95" fillId="25" borderId="9" xfId="0" applyFont="1" applyFill="1" applyBorder="1"/>
    <xf numFmtId="2" fontId="58" fillId="22" borderId="9" xfId="0" applyNumberFormat="1" applyFont="1" applyFill="1" applyBorder="1"/>
    <xf numFmtId="0" fontId="58" fillId="22" borderId="9" xfId="0" applyFont="1" applyFill="1" applyBorder="1"/>
    <xf numFmtId="2" fontId="95" fillId="8" borderId="9" xfId="0" applyNumberFormat="1" applyFont="1" applyFill="1" applyBorder="1"/>
    <xf numFmtId="0" fontId="95" fillId="8" borderId="9" xfId="0" applyFont="1" applyFill="1" applyBorder="1"/>
    <xf numFmtId="184" fontId="58" fillId="2" borderId="0" xfId="0" applyNumberFormat="1" applyFont="1" applyFill="1"/>
    <xf numFmtId="2" fontId="58" fillId="2" borderId="0" xfId="0" applyNumberFormat="1" applyFont="1" applyFill="1"/>
    <xf numFmtId="0" fontId="58" fillId="17" borderId="0" xfId="0" applyFont="1" applyFill="1"/>
    <xf numFmtId="0" fontId="53" fillId="35" borderId="9" xfId="0" applyFont="1" applyFill="1" applyBorder="1"/>
    <xf numFmtId="0" fontId="0" fillId="35" borderId="0" xfId="0" applyFill="1"/>
    <xf numFmtId="0" fontId="67" fillId="3" borderId="9" xfId="0" applyFont="1" applyFill="1" applyBorder="1"/>
    <xf numFmtId="0" fontId="67" fillId="35" borderId="9" xfId="0" applyFont="1" applyFill="1" applyBorder="1"/>
    <xf numFmtId="0" fontId="83" fillId="2" borderId="0" xfId="0" applyFont="1" applyFill="1"/>
    <xf numFmtId="43" fontId="92" fillId="2" borderId="9" xfId="12" applyFont="1" applyFill="1" applyBorder="1"/>
    <xf numFmtId="0" fontId="47" fillId="0" borderId="0" xfId="0" applyFont="1"/>
    <xf numFmtId="2" fontId="83" fillId="2" borderId="9" xfId="0" applyNumberFormat="1" applyFont="1" applyFill="1" applyBorder="1"/>
    <xf numFmtId="0" fontId="3" fillId="2" borderId="9" xfId="0" applyFont="1" applyFill="1" applyBorder="1" applyAlignment="1">
      <alignment horizontal="right"/>
    </xf>
    <xf numFmtId="2" fontId="4" fillId="25" borderId="9" xfId="1" applyNumberFormat="1" applyFont="1" applyFill="1" applyBorder="1"/>
    <xf numFmtId="0" fontId="4" fillId="25" borderId="9" xfId="0" applyFont="1" applyFill="1" applyBorder="1"/>
    <xf numFmtId="2" fontId="0" fillId="22" borderId="9" xfId="0" applyNumberFormat="1" applyFill="1" applyBorder="1"/>
    <xf numFmtId="0" fontId="0" fillId="22" borderId="9" xfId="0" applyFill="1" applyBorder="1"/>
    <xf numFmtId="2" fontId="4" fillId="8" borderId="9" xfId="0" applyNumberFormat="1" applyFont="1" applyFill="1" applyBorder="1"/>
    <xf numFmtId="0" fontId="4" fillId="8" borderId="9" xfId="0" applyFont="1" applyFill="1" applyBorder="1"/>
    <xf numFmtId="166" fontId="58" fillId="2" borderId="9" xfId="9" applyNumberFormat="1" applyFont="1" applyFill="1" applyBorder="1"/>
    <xf numFmtId="166" fontId="59" fillId="2" borderId="9" xfId="9" applyNumberFormat="1" applyFont="1" applyFill="1" applyBorder="1"/>
    <xf numFmtId="166" fontId="6" fillId="2" borderId="9" xfId="9" applyNumberFormat="1" applyFont="1" applyFill="1" applyBorder="1"/>
    <xf numFmtId="0" fontId="97" fillId="36" borderId="31" xfId="13" applyFont="1" applyFill="1" applyBorder="1" applyAlignment="1">
      <alignment horizontal="left"/>
    </xf>
    <xf numFmtId="0" fontId="58" fillId="0" borderId="0" xfId="13"/>
    <xf numFmtId="0" fontId="97" fillId="36" borderId="56" xfId="13" applyFont="1" applyFill="1" applyBorder="1" applyAlignment="1">
      <alignment horizontal="left"/>
    </xf>
    <xf numFmtId="0" fontId="100" fillId="0" borderId="0" xfId="13" applyFont="1"/>
    <xf numFmtId="0" fontId="6" fillId="0" borderId="0" xfId="13" applyFont="1"/>
    <xf numFmtId="0" fontId="97" fillId="36" borderId="74" xfId="13" applyFont="1" applyFill="1" applyBorder="1" applyAlignment="1">
      <alignment horizontal="left"/>
    </xf>
    <xf numFmtId="0" fontId="58" fillId="0" borderId="0" xfId="13" applyAlignment="1">
      <alignment horizontal="center"/>
    </xf>
    <xf numFmtId="2" fontId="58" fillId="0" borderId="0" xfId="13" applyNumberFormat="1" applyAlignment="1">
      <alignment horizontal="center"/>
    </xf>
    <xf numFmtId="0" fontId="58" fillId="34" borderId="9" xfId="13" applyFill="1" applyBorder="1" applyAlignment="1">
      <alignment horizontal="center"/>
    </xf>
    <xf numFmtId="10" fontId="58" fillId="0" borderId="0" xfId="15" applyNumberFormat="1" applyFont="1" applyAlignment="1">
      <alignment horizontal="center"/>
    </xf>
    <xf numFmtId="10" fontId="58" fillId="34" borderId="9" xfId="13" applyNumberFormat="1" applyFill="1" applyBorder="1" applyAlignment="1">
      <alignment horizontal="center"/>
    </xf>
    <xf numFmtId="0" fontId="96" fillId="0" borderId="36" xfId="13" applyFont="1" applyBorder="1" applyAlignment="1">
      <alignment wrapText="1"/>
    </xf>
    <xf numFmtId="0" fontId="96" fillId="0" borderId="13" xfId="13" applyFont="1" applyBorder="1" applyAlignment="1">
      <alignment horizontal="center" wrapText="1"/>
    </xf>
    <xf numFmtId="2" fontId="96" fillId="0" borderId="13" xfId="13" applyNumberFormat="1" applyFont="1" applyBorder="1" applyAlignment="1">
      <alignment horizontal="center" wrapText="1"/>
    </xf>
    <xf numFmtId="10" fontId="96" fillId="0" borderId="15" xfId="15" applyNumberFormat="1" applyFont="1" applyBorder="1" applyAlignment="1">
      <alignment horizontal="center" wrapText="1"/>
    </xf>
    <xf numFmtId="0" fontId="96" fillId="0" borderId="9" xfId="13" applyFont="1" applyBorder="1" applyAlignment="1">
      <alignment horizontal="center" wrapText="1"/>
    </xf>
    <xf numFmtId="0" fontId="58" fillId="0" borderId="12" xfId="13" applyBorder="1"/>
    <xf numFmtId="0" fontId="58" fillId="0" borderId="9" xfId="13" applyBorder="1" applyAlignment="1">
      <alignment horizontal="center"/>
    </xf>
    <xf numFmtId="2" fontId="58" fillId="0" borderId="9" xfId="13" applyNumberFormat="1" applyBorder="1" applyAlignment="1">
      <alignment horizontal="center"/>
    </xf>
    <xf numFmtId="10" fontId="58" fillId="0" borderId="9" xfId="13" applyNumberFormat="1" applyBorder="1" applyAlignment="1">
      <alignment horizontal="center"/>
    </xf>
    <xf numFmtId="185" fontId="58" fillId="0" borderId="9" xfId="13" applyNumberFormat="1" applyBorder="1" applyAlignment="1">
      <alignment horizontal="center"/>
    </xf>
    <xf numFmtId="10" fontId="58" fillId="0" borderId="10" xfId="15" applyNumberFormat="1" applyFont="1" applyBorder="1" applyAlignment="1">
      <alignment horizontal="center"/>
    </xf>
    <xf numFmtId="2" fontId="58" fillId="0" borderId="9" xfId="13" applyNumberFormat="1" applyBorder="1"/>
    <xf numFmtId="2" fontId="6" fillId="0" borderId="9" xfId="13" applyNumberFormat="1" applyFont="1" applyBorder="1" applyAlignment="1">
      <alignment horizontal="center"/>
    </xf>
    <xf numFmtId="2" fontId="6" fillId="0" borderId="9" xfId="13" applyNumberFormat="1" applyFont="1" applyBorder="1"/>
    <xf numFmtId="0" fontId="58" fillId="0" borderId="40" xfId="13" applyBorder="1"/>
    <xf numFmtId="0" fontId="58" fillId="0" borderId="55" xfId="13" applyBorder="1" applyAlignment="1">
      <alignment horizontal="center"/>
    </xf>
    <xf numFmtId="2" fontId="58" fillId="0" borderId="55" xfId="13" applyNumberFormat="1" applyBorder="1" applyAlignment="1">
      <alignment horizontal="center"/>
    </xf>
    <xf numFmtId="10" fontId="58" fillId="0" borderId="55" xfId="13" applyNumberFormat="1" applyBorder="1" applyAlignment="1">
      <alignment horizontal="center"/>
    </xf>
    <xf numFmtId="185" fontId="58" fillId="0" borderId="55" xfId="13" applyNumberFormat="1" applyBorder="1" applyAlignment="1">
      <alignment horizontal="center"/>
    </xf>
    <xf numFmtId="10" fontId="58" fillId="0" borderId="54" xfId="15" applyNumberFormat="1" applyFont="1" applyBorder="1" applyAlignment="1">
      <alignment horizontal="center"/>
    </xf>
    <xf numFmtId="0" fontId="58" fillId="0" borderId="0" xfId="13" applyAlignment="1">
      <alignment horizontal="left"/>
    </xf>
    <xf numFmtId="2" fontId="3" fillId="34" borderId="9" xfId="0" applyNumberFormat="1" applyFont="1" applyFill="1" applyBorder="1"/>
    <xf numFmtId="10" fontId="24" fillId="6" borderId="12" xfId="2" applyNumberFormat="1" applyFont="1" applyFill="1" applyBorder="1" applyAlignment="1">
      <alignment horizontal="right" vertical="center" wrapText="1"/>
    </xf>
    <xf numFmtId="167" fontId="0" fillId="2" borderId="9" xfId="2" applyNumberFormat="1" applyFont="1" applyFill="1" applyBorder="1"/>
    <xf numFmtId="0" fontId="69" fillId="37" borderId="0" xfId="0" applyFont="1" applyFill="1"/>
    <xf numFmtId="0" fontId="14" fillId="2" borderId="0" xfId="0" applyFont="1" applyFill="1"/>
    <xf numFmtId="0" fontId="72" fillId="2" borderId="0" xfId="0" applyFont="1" applyFill="1"/>
    <xf numFmtId="41" fontId="3" fillId="2" borderId="0" xfId="1" applyFont="1" applyFill="1" applyBorder="1"/>
    <xf numFmtId="0" fontId="85" fillId="2" borderId="0" xfId="0" quotePrefix="1" applyFont="1" applyFill="1" applyAlignment="1">
      <alignment horizontal="left" vertical="center"/>
    </xf>
    <xf numFmtId="166" fontId="0" fillId="2" borderId="9" xfId="9" applyNumberFormat="1" applyFont="1" applyFill="1" applyBorder="1"/>
    <xf numFmtId="0" fontId="4" fillId="33" borderId="11" xfId="0" applyFont="1" applyFill="1" applyBorder="1"/>
    <xf numFmtId="0" fontId="101" fillId="11" borderId="13" xfId="0" applyFont="1" applyFill="1" applyBorder="1"/>
    <xf numFmtId="0" fontId="101" fillId="11" borderId="15" xfId="0" applyFont="1" applyFill="1" applyBorder="1"/>
    <xf numFmtId="0" fontId="14" fillId="33" borderId="11" xfId="0" applyFont="1" applyFill="1" applyBorder="1"/>
    <xf numFmtId="0" fontId="4" fillId="33" borderId="12" xfId="0" applyFont="1" applyFill="1" applyBorder="1"/>
    <xf numFmtId="0" fontId="14" fillId="33" borderId="12" xfId="0" applyFont="1" applyFill="1" applyBorder="1"/>
    <xf numFmtId="41" fontId="3" fillId="11" borderId="9" xfId="1" applyFont="1" applyFill="1" applyBorder="1"/>
    <xf numFmtId="0" fontId="0" fillId="33" borderId="0" xfId="0" applyFill="1"/>
    <xf numFmtId="0" fontId="3" fillId="11" borderId="13" xfId="0" applyFont="1" applyFill="1" applyBorder="1"/>
    <xf numFmtId="0" fontId="3" fillId="11" borderId="15" xfId="0" applyFont="1" applyFill="1" applyBorder="1"/>
    <xf numFmtId="0" fontId="3" fillId="33" borderId="28" xfId="0" applyFont="1" applyFill="1" applyBorder="1"/>
    <xf numFmtId="0" fontId="3" fillId="33" borderId="29" xfId="0" applyFont="1" applyFill="1" applyBorder="1"/>
    <xf numFmtId="0" fontId="13" fillId="2" borderId="0" xfId="0" applyFont="1" applyFill="1"/>
    <xf numFmtId="0" fontId="3" fillId="2" borderId="50" xfId="0" applyFont="1" applyFill="1" applyBorder="1"/>
    <xf numFmtId="0" fontId="3" fillId="2" borderId="45" xfId="0" applyFont="1" applyFill="1" applyBorder="1"/>
    <xf numFmtId="0" fontId="2" fillId="2" borderId="31" xfId="0" applyFont="1" applyFill="1" applyBorder="1"/>
    <xf numFmtId="0" fontId="2" fillId="2" borderId="50" xfId="0" applyFont="1" applyFill="1" applyBorder="1"/>
    <xf numFmtId="0" fontId="2" fillId="2" borderId="45" xfId="0" applyFont="1" applyFill="1" applyBorder="1"/>
    <xf numFmtId="10" fontId="14" fillId="0" borderId="32" xfId="0" applyNumberFormat="1" applyFont="1" applyBorder="1"/>
    <xf numFmtId="10" fontId="14" fillId="0" borderId="9" xfId="0" applyNumberFormat="1" applyFont="1" applyBorder="1"/>
    <xf numFmtId="10" fontId="14" fillId="0" borderId="46" xfId="0" applyNumberFormat="1" applyFont="1" applyBorder="1"/>
    <xf numFmtId="10" fontId="14" fillId="0" borderId="57" xfId="0" applyNumberFormat="1" applyFont="1" applyBorder="1"/>
    <xf numFmtId="0" fontId="13" fillId="33" borderId="27" xfId="0" applyFont="1" applyFill="1" applyBorder="1"/>
    <xf numFmtId="0" fontId="13" fillId="33" borderId="28" xfId="0" applyFont="1" applyFill="1" applyBorder="1"/>
    <xf numFmtId="0" fontId="13" fillId="33" borderId="29" xfId="0" applyFont="1" applyFill="1" applyBorder="1"/>
    <xf numFmtId="0" fontId="2" fillId="5" borderId="43" xfId="0" applyFont="1" applyFill="1" applyBorder="1"/>
    <xf numFmtId="0" fontId="2" fillId="5" borderId="28" xfId="0" applyFont="1" applyFill="1" applyBorder="1"/>
    <xf numFmtId="0" fontId="2" fillId="5" borderId="60" xfId="0" applyFont="1" applyFill="1" applyBorder="1"/>
    <xf numFmtId="0" fontId="13" fillId="5" borderId="16" xfId="0" applyFont="1" applyFill="1" applyBorder="1"/>
    <xf numFmtId="0" fontId="13" fillId="5" borderId="17" xfId="0" applyFont="1" applyFill="1" applyBorder="1"/>
    <xf numFmtId="0" fontId="13" fillId="5" borderId="19" xfId="0" applyFont="1" applyFill="1" applyBorder="1"/>
    <xf numFmtId="0" fontId="13" fillId="5" borderId="26" xfId="0" applyFont="1" applyFill="1" applyBorder="1"/>
    <xf numFmtId="0" fontId="14" fillId="5" borderId="24" xfId="0" applyFont="1" applyFill="1" applyBorder="1"/>
    <xf numFmtId="0" fontId="4" fillId="5" borderId="11" xfId="0" applyFont="1" applyFill="1" applyBorder="1"/>
    <xf numFmtId="0" fontId="4" fillId="5" borderId="12" xfId="0" applyFont="1" applyFill="1" applyBorder="1"/>
    <xf numFmtId="10" fontId="0" fillId="5" borderId="9" xfId="0" applyNumberFormat="1" applyFill="1" applyBorder="1"/>
    <xf numFmtId="0" fontId="0" fillId="5" borderId="0" xfId="0" applyFill="1"/>
    <xf numFmtId="0" fontId="56" fillId="5" borderId="27" xfId="0" applyFont="1" applyFill="1" applyBorder="1"/>
    <xf numFmtId="0" fontId="56" fillId="5" borderId="28" xfId="0" applyFont="1" applyFill="1" applyBorder="1"/>
    <xf numFmtId="0" fontId="56" fillId="5" borderId="29" xfId="0" applyFont="1" applyFill="1" applyBorder="1"/>
    <xf numFmtId="0" fontId="2" fillId="11" borderId="13" xfId="0" applyFont="1" applyFill="1" applyBorder="1"/>
    <xf numFmtId="0" fontId="2" fillId="11" borderId="15" xfId="0" applyFont="1" applyFill="1" applyBorder="1"/>
    <xf numFmtId="41" fontId="102" fillId="0" borderId="9" xfId="1" applyFont="1" applyFill="1" applyBorder="1"/>
    <xf numFmtId="166" fontId="102" fillId="0" borderId="9" xfId="6" applyNumberFormat="1" applyFont="1" applyFill="1" applyBorder="1"/>
    <xf numFmtId="41" fontId="6" fillId="0" borderId="9" xfId="1" applyFont="1" applyFill="1" applyBorder="1"/>
    <xf numFmtId="41" fontId="6" fillId="11" borderId="9" xfId="1" applyFont="1" applyFill="1" applyBorder="1"/>
    <xf numFmtId="0" fontId="14" fillId="11" borderId="11" xfId="0" applyFont="1" applyFill="1" applyBorder="1"/>
    <xf numFmtId="0" fontId="14" fillId="11" borderId="12" xfId="0" applyFont="1" applyFill="1" applyBorder="1"/>
    <xf numFmtId="0" fontId="14" fillId="33" borderId="38" xfId="0" applyFont="1" applyFill="1" applyBorder="1"/>
    <xf numFmtId="0" fontId="13" fillId="11" borderId="28" xfId="0" applyFont="1" applyFill="1" applyBorder="1"/>
    <xf numFmtId="0" fontId="13" fillId="11" borderId="29" xfId="0" applyFont="1" applyFill="1" applyBorder="1"/>
    <xf numFmtId="166" fontId="59" fillId="0" borderId="9" xfId="6" applyNumberFormat="1" applyFont="1" applyFill="1" applyBorder="1"/>
    <xf numFmtId="166" fontId="59" fillId="0" borderId="9" xfId="9" applyNumberFormat="1" applyFont="1" applyFill="1" applyBorder="1"/>
    <xf numFmtId="9" fontId="14" fillId="0" borderId="0" xfId="2" applyFont="1" applyFill="1"/>
    <xf numFmtId="0" fontId="14" fillId="2" borderId="7" xfId="0" applyFont="1" applyFill="1" applyBorder="1"/>
    <xf numFmtId="166" fontId="59" fillId="2" borderId="9" xfId="6" applyNumberFormat="1" applyFont="1" applyFill="1" applyBorder="1"/>
    <xf numFmtId="166" fontId="14" fillId="2" borderId="9" xfId="0" applyNumberFormat="1" applyFont="1" applyFill="1" applyBorder="1"/>
    <xf numFmtId="0" fontId="3" fillId="11" borderId="17" xfId="0" applyFont="1" applyFill="1" applyBorder="1"/>
    <xf numFmtId="0" fontId="3" fillId="11" borderId="48" xfId="0" applyFont="1" applyFill="1" applyBorder="1"/>
    <xf numFmtId="10" fontId="14" fillId="2" borderId="32" xfId="2" applyNumberFormat="1" applyFont="1" applyFill="1" applyBorder="1"/>
    <xf numFmtId="0" fontId="3" fillId="11" borderId="31" xfId="0" applyFont="1" applyFill="1" applyBorder="1"/>
    <xf numFmtId="0" fontId="3" fillId="11" borderId="50" xfId="0" applyFont="1" applyFill="1" applyBorder="1"/>
    <xf numFmtId="0" fontId="3" fillId="11" borderId="27" xfId="0" applyFont="1" applyFill="1" applyBorder="1"/>
    <xf numFmtId="0" fontId="3" fillId="11" borderId="28" xfId="0" applyFont="1" applyFill="1" applyBorder="1"/>
    <xf numFmtId="0" fontId="2" fillId="5" borderId="27" xfId="0" applyFont="1" applyFill="1" applyBorder="1"/>
    <xf numFmtId="0" fontId="2" fillId="5" borderId="29" xfId="0" applyFont="1" applyFill="1" applyBorder="1"/>
    <xf numFmtId="0" fontId="2" fillId="5" borderId="16" xfId="0" applyFont="1" applyFill="1" applyBorder="1"/>
    <xf numFmtId="0" fontId="2" fillId="5" borderId="17" xfId="0" applyFont="1" applyFill="1" applyBorder="1"/>
    <xf numFmtId="0" fontId="2" fillId="5" borderId="48" xfId="0" applyFont="1" applyFill="1" applyBorder="1"/>
    <xf numFmtId="0" fontId="2" fillId="5" borderId="50" xfId="0" applyFont="1" applyFill="1" applyBorder="1"/>
    <xf numFmtId="0" fontId="2" fillId="5" borderId="45" xfId="0" applyFont="1" applyFill="1" applyBorder="1"/>
    <xf numFmtId="169" fontId="64" fillId="11" borderId="9" xfId="0" applyNumberFormat="1" applyFont="1" applyFill="1" applyBorder="1" applyAlignment="1">
      <alignment horizontal="right" vertical="center" wrapText="1"/>
    </xf>
    <xf numFmtId="169" fontId="38" fillId="11" borderId="9" xfId="0" applyNumberFormat="1" applyFont="1" applyFill="1" applyBorder="1" applyAlignment="1">
      <alignment horizontal="right" vertical="center" wrapText="1"/>
    </xf>
    <xf numFmtId="0" fontId="2" fillId="11" borderId="14" xfId="0" applyFont="1" applyFill="1" applyBorder="1"/>
    <xf numFmtId="0" fontId="2" fillId="11" borderId="9" xfId="0" applyFont="1" applyFill="1" applyBorder="1" applyAlignment="1">
      <alignment horizontal="center" vertical="center"/>
    </xf>
    <xf numFmtId="169" fontId="84" fillId="11" borderId="9" xfId="0" applyNumberFormat="1" applyFont="1" applyFill="1" applyBorder="1" applyAlignment="1">
      <alignment horizontal="right" vertical="center" wrapText="1"/>
    </xf>
    <xf numFmtId="186" fontId="0" fillId="2" borderId="0" xfId="9" applyNumberFormat="1" applyFont="1" applyFill="1"/>
    <xf numFmtId="166" fontId="0" fillId="0" borderId="9" xfId="9" applyNumberFormat="1" applyFont="1" applyFill="1" applyBorder="1"/>
    <xf numFmtId="166" fontId="0" fillId="2" borderId="0" xfId="0" applyNumberFormat="1" applyFill="1"/>
    <xf numFmtId="0" fontId="2" fillId="11" borderId="20" xfId="0" applyFont="1" applyFill="1" applyBorder="1"/>
    <xf numFmtId="0" fontId="2" fillId="11" borderId="21" xfId="0" applyFont="1" applyFill="1" applyBorder="1"/>
    <xf numFmtId="0" fontId="2" fillId="11" borderId="22" xfId="0" applyFont="1" applyFill="1" applyBorder="1"/>
    <xf numFmtId="0" fontId="2" fillId="11" borderId="6" xfId="0" applyFont="1" applyFill="1" applyBorder="1"/>
    <xf numFmtId="0" fontId="2" fillId="11" borderId="7" xfId="0" applyFont="1" applyFill="1" applyBorder="1"/>
    <xf numFmtId="0" fontId="2" fillId="11" borderId="8" xfId="0" applyFont="1" applyFill="1" applyBorder="1"/>
    <xf numFmtId="0" fontId="3" fillId="13" borderId="28" xfId="0" applyFont="1" applyFill="1" applyBorder="1" applyAlignment="1">
      <alignment horizontal="center" vertical="center" wrapText="1"/>
    </xf>
    <xf numFmtId="0" fontId="3" fillId="13" borderId="28" xfId="0" applyFont="1" applyFill="1" applyBorder="1" applyAlignment="1">
      <alignment horizontal="center" vertical="center"/>
    </xf>
    <xf numFmtId="0" fontId="3" fillId="13" borderId="29" xfId="0" applyFont="1" applyFill="1" applyBorder="1" applyAlignment="1">
      <alignment horizontal="center" vertical="center" wrapText="1"/>
    </xf>
    <xf numFmtId="0" fontId="67" fillId="11" borderId="27" xfId="0" applyFont="1" applyFill="1" applyBorder="1" applyAlignment="1">
      <alignment horizontal="center" vertical="center" wrapText="1"/>
    </xf>
    <xf numFmtId="0" fontId="67" fillId="11" borderId="29" xfId="0" applyFont="1" applyFill="1" applyBorder="1" applyAlignment="1">
      <alignment horizontal="center" vertical="center" wrapText="1"/>
    </xf>
    <xf numFmtId="181" fontId="47" fillId="15" borderId="1" xfId="3" applyNumberFormat="1" applyFont="1" applyFill="1" applyBorder="1" applyAlignment="1">
      <alignment vertical="center"/>
    </xf>
    <xf numFmtId="181" fontId="47" fillId="15" borderId="3" xfId="3" applyNumberFormat="1" applyFont="1" applyFill="1" applyBorder="1" applyAlignment="1">
      <alignment vertical="center"/>
    </xf>
    <xf numFmtId="176" fontId="6" fillId="15" borderId="30" xfId="0" applyNumberFormat="1" applyFont="1" applyFill="1" applyBorder="1"/>
    <xf numFmtId="181" fontId="47" fillId="15" borderId="6" xfId="3" applyNumberFormat="1" applyFont="1" applyFill="1" applyBorder="1" applyAlignment="1">
      <alignment vertical="center"/>
    </xf>
    <xf numFmtId="181" fontId="47" fillId="15" borderId="8" xfId="3" applyNumberFormat="1" applyFont="1" applyFill="1" applyBorder="1" applyAlignment="1">
      <alignment vertical="center"/>
    </xf>
    <xf numFmtId="0" fontId="3" fillId="15" borderId="30" xfId="0" applyFont="1" applyFill="1" applyBorder="1" applyAlignment="1">
      <alignment horizontal="center"/>
    </xf>
    <xf numFmtId="164" fontId="47" fillId="15" borderId="1" xfId="3" applyFont="1" applyFill="1" applyBorder="1" applyAlignment="1">
      <alignment horizontal="left" vertical="center"/>
    </xf>
    <xf numFmtId="164" fontId="47" fillId="15" borderId="3" xfId="3" applyFont="1" applyFill="1" applyBorder="1" applyAlignment="1">
      <alignment vertical="center"/>
    </xf>
    <xf numFmtId="164" fontId="47" fillId="15" borderId="6" xfId="3" applyFont="1" applyFill="1" applyBorder="1" applyAlignment="1">
      <alignment vertical="center"/>
    </xf>
    <xf numFmtId="164" fontId="47" fillId="15" borderId="8" xfId="3" applyFont="1" applyFill="1" applyBorder="1" applyAlignment="1">
      <alignment vertical="center"/>
    </xf>
    <xf numFmtId="0" fontId="13" fillId="13" borderId="1" xfId="0" applyFont="1" applyFill="1" applyBorder="1"/>
    <xf numFmtId="0" fontId="13" fillId="13" borderId="2" xfId="0" applyFont="1" applyFill="1" applyBorder="1"/>
    <xf numFmtId="0" fontId="13" fillId="13" borderId="3" xfId="0" applyFont="1" applyFill="1" applyBorder="1"/>
    <xf numFmtId="0" fontId="13" fillId="13" borderId="20" xfId="0" applyFont="1" applyFill="1" applyBorder="1"/>
    <xf numFmtId="0" fontId="13" fillId="13" borderId="21" xfId="0" applyFont="1" applyFill="1" applyBorder="1"/>
    <xf numFmtId="0" fontId="13" fillId="13" borderId="22" xfId="0" applyFont="1" applyFill="1" applyBorder="1"/>
    <xf numFmtId="0" fontId="13" fillId="13" borderId="28" xfId="0" applyFont="1" applyFill="1" applyBorder="1" applyAlignment="1">
      <alignment horizontal="center" vertical="center" wrapText="1"/>
    </xf>
    <xf numFmtId="0" fontId="13" fillId="13" borderId="28" xfId="0" applyFont="1" applyFill="1" applyBorder="1" applyAlignment="1">
      <alignment horizontal="center" vertical="center"/>
    </xf>
    <xf numFmtId="0" fontId="13" fillId="13" borderId="29" xfId="0" applyFont="1" applyFill="1" applyBorder="1" applyAlignment="1">
      <alignment horizontal="center" vertical="center" wrapText="1"/>
    </xf>
    <xf numFmtId="165" fontId="14" fillId="2" borderId="62" xfId="0" applyNumberFormat="1" applyFont="1" applyFill="1" applyBorder="1"/>
    <xf numFmtId="0" fontId="3" fillId="2" borderId="13" xfId="0" applyFont="1" applyFill="1" applyBorder="1"/>
    <xf numFmtId="0" fontId="2" fillId="11" borderId="0" xfId="0" applyFont="1" applyFill="1" applyAlignment="1">
      <alignment horizontal="center"/>
    </xf>
    <xf numFmtId="169" fontId="68" fillId="11" borderId="9" xfId="0" applyNumberFormat="1" applyFont="1" applyFill="1" applyBorder="1" applyAlignment="1">
      <alignment horizontal="center" vertical="center" wrapText="1"/>
    </xf>
    <xf numFmtId="3" fontId="3" fillId="15" borderId="12" xfId="0" applyNumberFormat="1" applyFont="1" applyFill="1" applyBorder="1" applyAlignment="1">
      <alignment horizontal="right" vertical="center" wrapText="1"/>
    </xf>
    <xf numFmtId="170" fontId="0" fillId="15" borderId="12" xfId="3" applyNumberFormat="1" applyFont="1" applyFill="1" applyBorder="1" applyAlignment="1">
      <alignment vertical="center"/>
    </xf>
    <xf numFmtId="170" fontId="0" fillId="15" borderId="41" xfId="3" applyNumberFormat="1" applyFont="1" applyFill="1" applyBorder="1" applyAlignment="1">
      <alignment vertical="center"/>
    </xf>
    <xf numFmtId="170" fontId="3" fillId="15" borderId="36" xfId="3" applyNumberFormat="1" applyFont="1" applyFill="1" applyBorder="1" applyAlignment="1">
      <alignment vertical="center"/>
    </xf>
    <xf numFmtId="170" fontId="3" fillId="15" borderId="12" xfId="3" applyNumberFormat="1" applyFont="1" applyFill="1" applyBorder="1" applyAlignment="1">
      <alignment vertical="center"/>
    </xf>
    <xf numFmtId="170" fontId="0" fillId="15" borderId="9" xfId="3" applyNumberFormat="1" applyFont="1" applyFill="1" applyBorder="1" applyAlignment="1">
      <alignment vertical="center"/>
    </xf>
    <xf numFmtId="170" fontId="3" fillId="15" borderId="43" xfId="3" applyNumberFormat="1" applyFont="1" applyFill="1" applyBorder="1" applyAlignment="1">
      <alignment vertical="center"/>
    </xf>
    <xf numFmtId="166" fontId="79" fillId="0" borderId="9" xfId="9" applyNumberFormat="1" applyFont="1" applyFill="1" applyBorder="1"/>
    <xf numFmtId="166" fontId="79" fillId="2" borderId="9" xfId="9" applyNumberFormat="1" applyFont="1" applyFill="1" applyBorder="1"/>
    <xf numFmtId="0" fontId="0" fillId="13" borderId="0" xfId="0" applyFill="1"/>
    <xf numFmtId="166" fontId="3" fillId="2" borderId="9" xfId="9" applyNumberFormat="1" applyFont="1" applyFill="1" applyBorder="1"/>
    <xf numFmtId="166" fontId="3" fillId="2" borderId="0" xfId="9" applyNumberFormat="1" applyFont="1" applyFill="1"/>
    <xf numFmtId="0" fontId="3" fillId="34" borderId="0" xfId="0" applyFont="1" applyFill="1"/>
    <xf numFmtId="167" fontId="0" fillId="34" borderId="9" xfId="2" applyNumberFormat="1" applyFont="1" applyFill="1" applyBorder="1"/>
    <xf numFmtId="166" fontId="0" fillId="34" borderId="9" xfId="9" applyNumberFormat="1" applyFont="1" applyFill="1" applyBorder="1"/>
    <xf numFmtId="166" fontId="79" fillId="34" borderId="9" xfId="9" applyNumberFormat="1" applyFont="1" applyFill="1" applyBorder="1"/>
    <xf numFmtId="169" fontId="84" fillId="0" borderId="9" xfId="0" applyNumberFormat="1" applyFont="1" applyBorder="1" applyAlignment="1">
      <alignment horizontal="right" vertical="center" wrapText="1"/>
    </xf>
    <xf numFmtId="41" fontId="1" fillId="0" borderId="9" xfId="1" applyFont="1" applyFill="1" applyBorder="1"/>
    <xf numFmtId="41" fontId="3" fillId="0" borderId="9" xfId="1" applyFont="1" applyFill="1" applyBorder="1"/>
    <xf numFmtId="41" fontId="79" fillId="0" borderId="9" xfId="1" applyFont="1" applyFill="1" applyBorder="1"/>
    <xf numFmtId="41" fontId="0" fillId="0" borderId="9" xfId="0" applyNumberFormat="1" applyBorder="1"/>
    <xf numFmtId="0" fontId="0" fillId="38" borderId="0" xfId="0" applyFill="1"/>
    <xf numFmtId="0" fontId="0" fillId="2" borderId="9" xfId="0" applyFill="1" applyBorder="1" applyAlignment="1">
      <alignment horizontal="left"/>
    </xf>
    <xf numFmtId="0" fontId="2" fillId="4" borderId="44" xfId="0" applyFont="1" applyFill="1" applyBorder="1" applyAlignment="1">
      <alignment horizontal="center"/>
    </xf>
    <xf numFmtId="0" fontId="2" fillId="4" borderId="49" xfId="0" applyFont="1" applyFill="1" applyBorder="1" applyAlignment="1">
      <alignment horizontal="center"/>
    </xf>
    <xf numFmtId="0" fontId="3" fillId="2" borderId="9" xfId="0" applyFont="1" applyFill="1" applyBorder="1" applyAlignment="1">
      <alignment horizontal="center"/>
    </xf>
    <xf numFmtId="0" fontId="3" fillId="2" borderId="9" xfId="0" applyFont="1" applyFill="1" applyBorder="1" applyAlignment="1">
      <alignment horizontal="left"/>
    </xf>
    <xf numFmtId="0" fontId="3" fillId="11" borderId="9" xfId="0" applyFont="1" applyFill="1" applyBorder="1" applyAlignment="1">
      <alignment horizontal="left"/>
    </xf>
    <xf numFmtId="0" fontId="2" fillId="11" borderId="0" xfId="0" applyFont="1" applyFill="1" applyAlignment="1">
      <alignment horizontal="center"/>
    </xf>
    <xf numFmtId="0" fontId="13" fillId="5" borderId="1" xfId="0" applyFont="1" applyFill="1" applyBorder="1" applyAlignment="1">
      <alignment horizontal="center"/>
    </xf>
    <xf numFmtId="0" fontId="13" fillId="5" borderId="2" xfId="0" applyFont="1" applyFill="1" applyBorder="1" applyAlignment="1">
      <alignment horizontal="center"/>
    </xf>
    <xf numFmtId="0" fontId="6" fillId="7" borderId="10" xfId="0" applyFont="1" applyFill="1" applyBorder="1" applyAlignment="1">
      <alignment horizontal="left"/>
    </xf>
    <xf numFmtId="0" fontId="6" fillId="7" borderId="11" xfId="0" applyFont="1" applyFill="1" applyBorder="1" applyAlignment="1">
      <alignment horizontal="left"/>
    </xf>
    <xf numFmtId="0" fontId="6" fillId="7" borderId="12" xfId="0" applyFont="1" applyFill="1" applyBorder="1" applyAlignment="1">
      <alignment horizontal="left"/>
    </xf>
    <xf numFmtId="0" fontId="8" fillId="2" borderId="1" xfId="0" applyFont="1" applyFill="1" applyBorder="1" applyAlignment="1">
      <alignment horizontal="center"/>
    </xf>
    <xf numFmtId="0" fontId="8" fillId="2" borderId="2" xfId="0"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Alignment="1">
      <alignment horizontal="center"/>
    </xf>
    <xf numFmtId="0" fontId="7" fillId="2" borderId="6" xfId="0" applyFont="1" applyFill="1" applyBorder="1" applyAlignment="1">
      <alignment horizontal="center"/>
    </xf>
    <xf numFmtId="0" fontId="7" fillId="2" borderId="7" xfId="0" applyFont="1" applyFill="1" applyBorder="1" applyAlignment="1">
      <alignment horizontal="center"/>
    </xf>
    <xf numFmtId="0" fontId="13" fillId="33" borderId="10" xfId="0" applyFont="1" applyFill="1" applyBorder="1" applyAlignment="1">
      <alignment horizontal="left"/>
    </xf>
    <xf numFmtId="0" fontId="13" fillId="33" borderId="11" xfId="0" applyFont="1" applyFill="1" applyBorder="1" applyAlignment="1">
      <alignment horizontal="left"/>
    </xf>
    <xf numFmtId="0" fontId="0" fillId="2" borderId="10" xfId="0" applyFill="1" applyBorder="1" applyAlignment="1">
      <alignment horizontal="left"/>
    </xf>
    <xf numFmtId="0" fontId="0" fillId="2" borderId="11" xfId="0" applyFill="1" applyBorder="1" applyAlignment="1">
      <alignment horizontal="left"/>
    </xf>
    <xf numFmtId="0" fontId="0" fillId="2" borderId="12" xfId="0" applyFill="1" applyBorder="1" applyAlignment="1">
      <alignment horizontal="left"/>
    </xf>
    <xf numFmtId="0" fontId="3" fillId="11" borderId="13" xfId="0" applyFont="1" applyFill="1" applyBorder="1" applyAlignment="1">
      <alignment horizontal="left"/>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13" fillId="11" borderId="13" xfId="0" applyFont="1" applyFill="1" applyBorder="1" applyAlignment="1">
      <alignment horizontal="left"/>
    </xf>
    <xf numFmtId="0" fontId="49" fillId="7" borderId="1" xfId="0" applyFont="1" applyFill="1" applyBorder="1" applyAlignment="1">
      <alignment horizontal="center" vertical="center"/>
    </xf>
    <xf numFmtId="0" fontId="49" fillId="7" borderId="2" xfId="0" applyFont="1" applyFill="1" applyBorder="1" applyAlignment="1">
      <alignment horizontal="center" vertical="center"/>
    </xf>
    <xf numFmtId="0" fontId="49" fillId="7" borderId="3" xfId="0" applyFont="1" applyFill="1" applyBorder="1" applyAlignment="1">
      <alignment horizontal="center" vertical="center"/>
    </xf>
    <xf numFmtId="0" fontId="49" fillId="7" borderId="4" xfId="0" applyFont="1" applyFill="1" applyBorder="1" applyAlignment="1">
      <alignment horizontal="center" vertical="center"/>
    </xf>
    <xf numFmtId="0" fontId="49" fillId="7" borderId="0" xfId="0" applyFont="1" applyFill="1" applyAlignment="1">
      <alignment horizontal="center" vertical="center"/>
    </xf>
    <xf numFmtId="0" fontId="49" fillId="7" borderId="5" xfId="0" applyFont="1" applyFill="1" applyBorder="1" applyAlignment="1">
      <alignment horizontal="center" vertical="center"/>
    </xf>
    <xf numFmtId="0" fontId="49" fillId="7" borderId="6" xfId="0" applyFont="1" applyFill="1" applyBorder="1" applyAlignment="1">
      <alignment horizontal="center" vertical="center"/>
    </xf>
    <xf numFmtId="0" fontId="49" fillId="7" borderId="7" xfId="0" applyFont="1" applyFill="1" applyBorder="1" applyAlignment="1">
      <alignment horizontal="center" vertical="center"/>
    </xf>
    <xf numFmtId="0" fontId="49" fillId="7" borderId="8" xfId="0" applyFont="1" applyFill="1" applyBorder="1" applyAlignment="1">
      <alignment horizontal="center" vertical="center"/>
    </xf>
    <xf numFmtId="0" fontId="50" fillId="7" borderId="1" xfId="0" applyFont="1" applyFill="1" applyBorder="1" applyAlignment="1">
      <alignment horizontal="center"/>
    </xf>
    <xf numFmtId="0" fontId="50" fillId="7" borderId="2" xfId="0" applyFont="1" applyFill="1" applyBorder="1" applyAlignment="1">
      <alignment horizontal="center"/>
    </xf>
    <xf numFmtId="0" fontId="50" fillId="7" borderId="3" xfId="0" applyFont="1" applyFill="1" applyBorder="1" applyAlignment="1">
      <alignment horizontal="center"/>
    </xf>
    <xf numFmtId="0" fontId="51" fillId="7" borderId="4" xfId="0" applyFont="1" applyFill="1" applyBorder="1" applyAlignment="1">
      <alignment horizontal="center" vertical="center"/>
    </xf>
    <xf numFmtId="0" fontId="51" fillId="7" borderId="0" xfId="0" applyFont="1" applyFill="1" applyAlignment="1">
      <alignment horizontal="center" vertical="center"/>
    </xf>
    <xf numFmtId="0" fontId="51" fillId="7" borderId="5" xfId="0" applyFont="1" applyFill="1" applyBorder="1" applyAlignment="1">
      <alignment horizontal="center" vertical="center"/>
    </xf>
    <xf numFmtId="0" fontId="51" fillId="7" borderId="6" xfId="0" applyFont="1" applyFill="1" applyBorder="1" applyAlignment="1">
      <alignment horizontal="center" vertical="center"/>
    </xf>
    <xf numFmtId="0" fontId="51" fillId="7" borderId="7" xfId="0" applyFont="1" applyFill="1" applyBorder="1" applyAlignment="1">
      <alignment horizontal="center" vertical="center"/>
    </xf>
    <xf numFmtId="0" fontId="51" fillId="7" borderId="8" xfId="0" applyFont="1" applyFill="1" applyBorder="1" applyAlignment="1">
      <alignment horizontal="center" vertical="center"/>
    </xf>
    <xf numFmtId="0" fontId="8" fillId="2" borderId="4" xfId="0" applyFont="1" applyFill="1" applyBorder="1" applyAlignment="1">
      <alignment horizontal="center"/>
    </xf>
    <xf numFmtId="0" fontId="8" fillId="2" borderId="0" xfId="0" applyFont="1" applyFill="1" applyAlignment="1">
      <alignment horizontal="center"/>
    </xf>
    <xf numFmtId="0" fontId="60" fillId="2" borderId="0" xfId="0" applyFont="1" applyFill="1" applyAlignment="1">
      <alignment horizontal="center"/>
    </xf>
    <xf numFmtId="0" fontId="13" fillId="33" borderId="0" xfId="0" applyFont="1" applyFill="1" applyAlignment="1">
      <alignment horizontal="center"/>
    </xf>
    <xf numFmtId="0" fontId="52" fillId="2" borderId="0" xfId="0" applyFont="1" applyFill="1" applyAlignment="1">
      <alignment horizontal="left"/>
    </xf>
    <xf numFmtId="0" fontId="5" fillId="11" borderId="1" xfId="0" applyFont="1" applyFill="1" applyBorder="1" applyAlignment="1">
      <alignment horizontal="center" vertical="center"/>
    </xf>
    <xf numFmtId="0" fontId="5" fillId="11" borderId="2" xfId="0" applyFont="1" applyFill="1" applyBorder="1" applyAlignment="1">
      <alignment horizontal="center" vertical="center"/>
    </xf>
    <xf numFmtId="0" fontId="5" fillId="11" borderId="3" xfId="0" applyFont="1" applyFill="1" applyBorder="1" applyAlignment="1">
      <alignment horizontal="center" vertical="center"/>
    </xf>
    <xf numFmtId="0" fontId="5" fillId="11" borderId="6" xfId="0" applyFont="1" applyFill="1" applyBorder="1" applyAlignment="1">
      <alignment horizontal="center" vertical="center"/>
    </xf>
    <xf numFmtId="0" fontId="5" fillId="11" borderId="7" xfId="0" applyFont="1" applyFill="1" applyBorder="1" applyAlignment="1">
      <alignment horizontal="center" vertical="center"/>
    </xf>
    <xf numFmtId="0" fontId="5" fillId="11" borderId="8" xfId="0" applyFont="1" applyFill="1" applyBorder="1" applyAlignment="1">
      <alignment horizontal="center" vertical="center"/>
    </xf>
    <xf numFmtId="0" fontId="60" fillId="2" borderId="1" xfId="0" applyFont="1" applyFill="1" applyBorder="1" applyAlignment="1">
      <alignment horizontal="center"/>
    </xf>
    <xf numFmtId="0" fontId="60" fillId="2" borderId="2" xfId="0" applyFont="1" applyFill="1" applyBorder="1" applyAlignment="1">
      <alignment horizontal="center"/>
    </xf>
    <xf numFmtId="0" fontId="60" fillId="2" borderId="3"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36" fillId="2" borderId="0" xfId="0" applyFont="1" applyFill="1" applyAlignment="1">
      <alignment horizontal="center"/>
    </xf>
    <xf numFmtId="0" fontId="3" fillId="33" borderId="10" xfId="0" applyFont="1" applyFill="1" applyBorder="1" applyAlignment="1">
      <alignment horizontal="left"/>
    </xf>
    <xf numFmtId="0" fontId="3" fillId="33" borderId="11" xfId="0" applyFont="1" applyFill="1" applyBorder="1" applyAlignment="1">
      <alignment horizontal="left"/>
    </xf>
    <xf numFmtId="0" fontId="3" fillId="0" borderId="9" xfId="0" applyFont="1" applyBorder="1" applyAlignment="1">
      <alignment horizontal="left"/>
    </xf>
    <xf numFmtId="0" fontId="14" fillId="5" borderId="1" xfId="0" applyFont="1" applyFill="1" applyBorder="1" applyAlignment="1">
      <alignment horizontal="center"/>
    </xf>
    <xf numFmtId="0" fontId="14" fillId="5" borderId="2" xfId="0" applyFont="1" applyFill="1" applyBorder="1" applyAlignment="1">
      <alignment horizontal="center"/>
    </xf>
    <xf numFmtId="0" fontId="14" fillId="5" borderId="3" xfId="0" applyFont="1" applyFill="1" applyBorder="1" applyAlignment="1">
      <alignment horizontal="center"/>
    </xf>
    <xf numFmtId="0" fontId="13" fillId="11" borderId="10" xfId="0" applyFont="1" applyFill="1" applyBorder="1" applyAlignment="1">
      <alignment horizontal="left"/>
    </xf>
    <xf numFmtId="0" fontId="13" fillId="11" borderId="11" xfId="0" applyFont="1" applyFill="1" applyBorder="1" applyAlignment="1">
      <alignment horizontal="left"/>
    </xf>
    <xf numFmtId="0" fontId="55" fillId="11" borderId="1" xfId="0" applyFont="1" applyFill="1" applyBorder="1" applyAlignment="1">
      <alignment horizontal="center" vertical="center"/>
    </xf>
    <xf numFmtId="0" fontId="55" fillId="11" borderId="2" xfId="0" applyFont="1" applyFill="1" applyBorder="1" applyAlignment="1">
      <alignment horizontal="center" vertical="center"/>
    </xf>
    <xf numFmtId="0" fontId="55" fillId="11" borderId="3" xfId="0" applyFont="1" applyFill="1" applyBorder="1" applyAlignment="1">
      <alignment horizontal="center" vertical="center"/>
    </xf>
    <xf numFmtId="0" fontId="55" fillId="11" borderId="6" xfId="0" applyFont="1" applyFill="1" applyBorder="1" applyAlignment="1">
      <alignment horizontal="center" vertical="center"/>
    </xf>
    <xf numFmtId="0" fontId="55" fillId="11" borderId="7" xfId="0" applyFont="1" applyFill="1" applyBorder="1" applyAlignment="1">
      <alignment horizontal="center" vertical="center"/>
    </xf>
    <xf numFmtId="0" fontId="55" fillId="11" borderId="8" xfId="0" applyFont="1" applyFill="1" applyBorder="1" applyAlignment="1">
      <alignment horizontal="center" vertical="center"/>
    </xf>
    <xf numFmtId="0" fontId="3" fillId="2" borderId="32" xfId="0" applyFont="1" applyFill="1" applyBorder="1" applyAlignment="1">
      <alignment horizontal="left"/>
    </xf>
    <xf numFmtId="0" fontId="3" fillId="2" borderId="10" xfId="0" applyFont="1" applyFill="1" applyBorder="1" applyAlignment="1">
      <alignment horizontal="left"/>
    </xf>
    <xf numFmtId="0" fontId="3" fillId="17" borderId="52" xfId="0" applyFont="1" applyFill="1" applyBorder="1" applyAlignment="1">
      <alignment horizontal="center"/>
    </xf>
    <xf numFmtId="0" fontId="3" fillId="17" borderId="53" xfId="0" applyFont="1" applyFill="1" applyBorder="1" applyAlignment="1">
      <alignment horizontal="center"/>
    </xf>
    <xf numFmtId="10" fontId="3" fillId="9" borderId="41" xfId="2" applyNumberFormat="1" applyFont="1" applyFill="1" applyBorder="1" applyAlignment="1">
      <alignment horizontal="center"/>
    </xf>
    <xf numFmtId="10" fontId="3" fillId="9" borderId="33" xfId="2" applyNumberFormat="1" applyFont="1" applyFill="1" applyBorder="1" applyAlignment="1">
      <alignment horizontal="center"/>
    </xf>
    <xf numFmtId="10" fontId="3" fillId="9" borderId="59" xfId="2" applyNumberFormat="1" applyFont="1" applyFill="1" applyBorder="1" applyAlignment="1">
      <alignment horizontal="center"/>
    </xf>
    <xf numFmtId="0" fontId="47" fillId="2" borderId="0" xfId="0" applyFont="1" applyFill="1" applyAlignment="1">
      <alignment horizontal="left"/>
    </xf>
    <xf numFmtId="0" fontId="3" fillId="11" borderId="27" xfId="0" applyFont="1" applyFill="1" applyBorder="1" applyAlignment="1">
      <alignment horizontal="left"/>
    </xf>
    <xf numFmtId="0" fontId="3" fillId="11" borderId="28" xfId="0" applyFont="1" applyFill="1" applyBorder="1" applyAlignment="1">
      <alignment horizontal="left"/>
    </xf>
    <xf numFmtId="0" fontId="9" fillId="11" borderId="20" xfId="0" applyFont="1" applyFill="1" applyBorder="1" applyAlignment="1">
      <alignment horizontal="center"/>
    </xf>
    <xf numFmtId="0" fontId="9" fillId="11" borderId="21" xfId="0" applyFont="1" applyFill="1" applyBorder="1" applyAlignment="1">
      <alignment horizontal="center"/>
    </xf>
    <xf numFmtId="0" fontId="9" fillId="11" borderId="22" xfId="0" applyFont="1" applyFill="1" applyBorder="1" applyAlignment="1">
      <alignment horizontal="center"/>
    </xf>
    <xf numFmtId="0" fontId="0" fillId="2" borderId="32" xfId="0" applyFill="1" applyBorder="1" applyAlignment="1">
      <alignment horizontal="left"/>
    </xf>
    <xf numFmtId="0" fontId="14" fillId="33" borderId="9" xfId="0" applyFont="1" applyFill="1" applyBorder="1" applyAlignment="1">
      <alignment horizontal="left"/>
    </xf>
    <xf numFmtId="0" fontId="14" fillId="33" borderId="10" xfId="0" applyFont="1" applyFill="1" applyBorder="1" applyAlignment="1">
      <alignment horizontal="left"/>
    </xf>
    <xf numFmtId="0" fontId="35" fillId="11" borderId="20" xfId="0" applyFont="1" applyFill="1" applyBorder="1" applyAlignment="1">
      <alignment horizontal="center"/>
    </xf>
    <xf numFmtId="0" fontId="35" fillId="11" borderId="21" xfId="0" applyFont="1" applyFill="1" applyBorder="1" applyAlignment="1">
      <alignment horizontal="center"/>
    </xf>
    <xf numFmtId="0" fontId="35" fillId="11" borderId="22" xfId="0" applyFont="1" applyFill="1" applyBorder="1" applyAlignment="1">
      <alignment horizontal="center"/>
    </xf>
    <xf numFmtId="0" fontId="13" fillId="0" borderId="9" xfId="0" applyFont="1" applyBorder="1" applyAlignment="1">
      <alignment horizontal="left"/>
    </xf>
    <xf numFmtId="0" fontId="8" fillId="2" borderId="3" xfId="0" applyFont="1" applyFill="1" applyBorder="1" applyAlignment="1">
      <alignment horizontal="center"/>
    </xf>
    <xf numFmtId="0" fontId="11" fillId="2" borderId="27" xfId="0" applyFont="1" applyFill="1" applyBorder="1" applyAlignment="1">
      <alignment horizontal="center"/>
    </xf>
    <xf numFmtId="0" fontId="11" fillId="2" borderId="28" xfId="0" applyFont="1" applyFill="1" applyBorder="1" applyAlignment="1">
      <alignment horizontal="center"/>
    </xf>
    <xf numFmtId="0" fontId="11" fillId="2" borderId="29" xfId="0" applyFont="1" applyFill="1" applyBorder="1" applyAlignment="1">
      <alignment horizontal="center"/>
    </xf>
    <xf numFmtId="0" fontId="11" fillId="2" borderId="0" xfId="0" applyFont="1" applyFill="1" applyAlignment="1">
      <alignment horizontal="center"/>
    </xf>
    <xf numFmtId="0" fontId="7" fillId="2" borderId="8" xfId="0" applyFont="1" applyFill="1" applyBorder="1" applyAlignment="1">
      <alignment horizontal="center"/>
    </xf>
    <xf numFmtId="0" fontId="2" fillId="2" borderId="0" xfId="0" applyFont="1" applyFill="1" applyAlignment="1">
      <alignment horizontal="left"/>
    </xf>
    <xf numFmtId="0" fontId="13" fillId="2" borderId="0" xfId="0" applyFont="1" applyFill="1" applyAlignment="1">
      <alignment horizontal="left"/>
    </xf>
    <xf numFmtId="0" fontId="3" fillId="2" borderId="31" xfId="0" applyFont="1" applyFill="1" applyBorder="1" applyAlignment="1">
      <alignment horizontal="left"/>
    </xf>
    <xf numFmtId="0" fontId="3" fillId="2" borderId="50" xfId="0" applyFont="1" applyFill="1" applyBorder="1" applyAlignment="1">
      <alignment horizontal="left"/>
    </xf>
    <xf numFmtId="0" fontId="3" fillId="2" borderId="58" xfId="0" applyFont="1" applyFill="1" applyBorder="1" applyAlignment="1">
      <alignment horizontal="left"/>
    </xf>
    <xf numFmtId="0" fontId="11" fillId="2" borderId="1" xfId="0" applyFont="1" applyFill="1" applyBorder="1" applyAlignment="1">
      <alignment horizontal="center"/>
    </xf>
    <xf numFmtId="0" fontId="11" fillId="2" borderId="2" xfId="0" applyFont="1" applyFill="1" applyBorder="1" applyAlignment="1">
      <alignment horizontal="center"/>
    </xf>
    <xf numFmtId="0" fontId="6" fillId="2" borderId="0" xfId="0" applyFont="1" applyFill="1" applyAlignment="1">
      <alignment horizontal="center"/>
    </xf>
    <xf numFmtId="0" fontId="13" fillId="33" borderId="15" xfId="0" applyFont="1" applyFill="1" applyBorder="1" applyAlignment="1">
      <alignment horizontal="left"/>
    </xf>
    <xf numFmtId="0" fontId="13" fillId="33" borderId="38" xfId="0" applyFont="1" applyFill="1" applyBorder="1" applyAlignment="1">
      <alignment horizontal="left"/>
    </xf>
    <xf numFmtId="0" fontId="0" fillId="0" borderId="10" xfId="0" applyBorder="1" applyAlignment="1">
      <alignment horizontal="left"/>
    </xf>
    <xf numFmtId="0" fontId="14" fillId="0" borderId="11" xfId="0" applyFont="1" applyBorder="1" applyAlignment="1">
      <alignment horizontal="left"/>
    </xf>
    <xf numFmtId="0" fontId="14" fillId="0" borderId="12" xfId="0" applyFont="1" applyBorder="1" applyAlignment="1">
      <alignment horizontal="left"/>
    </xf>
    <xf numFmtId="0" fontId="3" fillId="13" borderId="9" xfId="0" applyFont="1" applyFill="1" applyBorder="1" applyAlignment="1">
      <alignment horizontal="left"/>
    </xf>
    <xf numFmtId="0" fontId="3" fillId="17" borderId="23" xfId="0" applyFont="1" applyFill="1" applyBorder="1" applyAlignment="1">
      <alignment horizontal="center" wrapText="1"/>
    </xf>
    <xf numFmtId="0" fontId="3" fillId="17" borderId="24" xfId="0" applyFont="1" applyFill="1" applyBorder="1" applyAlignment="1">
      <alignment horizontal="center" wrapText="1"/>
    </xf>
    <xf numFmtId="0" fontId="46" fillId="12" borderId="23" xfId="0" applyFont="1" applyFill="1" applyBorder="1" applyAlignment="1">
      <alignment horizontal="center" vertical="center" textRotation="180"/>
    </xf>
    <xf numFmtId="0" fontId="46" fillId="12" borderId="25" xfId="0" applyFont="1" applyFill="1" applyBorder="1" applyAlignment="1">
      <alignment horizontal="center" vertical="center" textRotation="180"/>
    </xf>
    <xf numFmtId="0" fontId="46" fillId="12" borderId="24" xfId="0" applyFont="1" applyFill="1" applyBorder="1" applyAlignment="1">
      <alignment horizontal="center" vertical="center" textRotation="180"/>
    </xf>
    <xf numFmtId="0" fontId="54" fillId="11" borderId="16" xfId="0" applyFont="1" applyFill="1" applyBorder="1" applyAlignment="1">
      <alignment horizontal="center" vertical="center"/>
    </xf>
    <xf numFmtId="0" fontId="54" fillId="11" borderId="17" xfId="0" applyFont="1" applyFill="1" applyBorder="1" applyAlignment="1">
      <alignment horizontal="center" vertical="center"/>
    </xf>
    <xf numFmtId="0" fontId="3" fillId="12" borderId="9" xfId="0" applyFont="1" applyFill="1" applyBorder="1" applyAlignment="1">
      <alignment horizontal="left"/>
    </xf>
    <xf numFmtId="0" fontId="3" fillId="8" borderId="10" xfId="0" applyFont="1" applyFill="1" applyBorder="1" applyAlignment="1">
      <alignment horizontal="left"/>
    </xf>
    <xf numFmtId="0" fontId="3" fillId="8" borderId="11" xfId="0" applyFont="1" applyFill="1" applyBorder="1" applyAlignment="1">
      <alignment horizontal="left"/>
    </xf>
    <xf numFmtId="0" fontId="3" fillId="8" borderId="12" xfId="0" applyFont="1" applyFill="1" applyBorder="1" applyAlignment="1">
      <alignment horizontal="left"/>
    </xf>
    <xf numFmtId="0" fontId="3" fillId="12" borderId="55" xfId="0" applyFont="1" applyFill="1" applyBorder="1" applyAlignment="1">
      <alignment horizontal="left"/>
    </xf>
    <xf numFmtId="0" fontId="63" fillId="8" borderId="9" xfId="0" applyFont="1" applyFill="1" applyBorder="1" applyAlignment="1">
      <alignment horizontal="center"/>
    </xf>
    <xf numFmtId="0" fontId="63" fillId="8" borderId="10" xfId="0" applyFont="1" applyFill="1" applyBorder="1" applyAlignment="1">
      <alignment horizontal="center"/>
    </xf>
    <xf numFmtId="0" fontId="29" fillId="19" borderId="9" xfId="0" quotePrefix="1" applyFont="1" applyFill="1" applyBorder="1" applyAlignment="1">
      <alignment horizontal="left" vertical="center"/>
    </xf>
    <xf numFmtId="0" fontId="0" fillId="12" borderId="9" xfId="0" applyFill="1" applyBorder="1" applyAlignment="1">
      <alignment horizontal="left"/>
    </xf>
    <xf numFmtId="0" fontId="2" fillId="8" borderId="9" xfId="0" applyFont="1" applyFill="1" applyBorder="1" applyAlignment="1">
      <alignment horizontal="left"/>
    </xf>
    <xf numFmtId="0" fontId="43" fillId="8" borderId="9" xfId="0" applyFont="1" applyFill="1" applyBorder="1" applyAlignment="1">
      <alignment horizontal="left"/>
    </xf>
    <xf numFmtId="0" fontId="63" fillId="11" borderId="9" xfId="0" applyFont="1" applyFill="1" applyBorder="1" applyAlignment="1">
      <alignment horizontal="center" vertical="center"/>
    </xf>
    <xf numFmtId="0" fontId="14" fillId="14" borderId="9" xfId="0" quotePrefix="1" applyFont="1" applyFill="1" applyBorder="1" applyAlignment="1">
      <alignment horizontal="left"/>
    </xf>
    <xf numFmtId="0" fontId="3" fillId="16" borderId="10" xfId="0" applyFont="1" applyFill="1" applyBorder="1" applyAlignment="1">
      <alignment horizontal="left"/>
    </xf>
    <xf numFmtId="0" fontId="3" fillId="16" borderId="11" xfId="0" applyFont="1" applyFill="1" applyBorder="1" applyAlignment="1">
      <alignment horizontal="left"/>
    </xf>
    <xf numFmtId="0" fontId="3" fillId="16" borderId="12" xfId="0" applyFont="1" applyFill="1" applyBorder="1" applyAlignment="1">
      <alignment horizontal="left"/>
    </xf>
    <xf numFmtId="0" fontId="0" fillId="16" borderId="9" xfId="0" applyFill="1" applyBorder="1" applyAlignment="1">
      <alignment horizontal="left"/>
    </xf>
    <xf numFmtId="0" fontId="33" fillId="15" borderId="42" xfId="0" quotePrefix="1" applyFont="1" applyFill="1" applyBorder="1" applyAlignment="1">
      <alignment horizontal="left" vertical="center"/>
    </xf>
    <xf numFmtId="0" fontId="33" fillId="15" borderId="38" xfId="0" quotePrefix="1" applyFont="1" applyFill="1" applyBorder="1" applyAlignment="1">
      <alignment horizontal="left" vertical="center"/>
    </xf>
    <xf numFmtId="0" fontId="33" fillId="15" borderId="36" xfId="0" quotePrefix="1" applyFont="1" applyFill="1" applyBorder="1" applyAlignment="1">
      <alignment horizontal="left" vertical="center"/>
    </xf>
    <xf numFmtId="0" fontId="33" fillId="11" borderId="39" xfId="0" applyFont="1" applyFill="1" applyBorder="1" applyAlignment="1">
      <alignment horizontal="center" vertical="center"/>
    </xf>
    <xf numFmtId="0" fontId="33" fillId="11" borderId="11" xfId="0" applyFont="1" applyFill="1" applyBorder="1" applyAlignment="1">
      <alignment horizontal="center" vertical="center"/>
    </xf>
    <xf numFmtId="0" fontId="33" fillId="11" borderId="12" xfId="0" applyFont="1" applyFill="1" applyBorder="1" applyAlignment="1">
      <alignment horizontal="center" vertical="center"/>
    </xf>
    <xf numFmtId="0" fontId="34" fillId="15" borderId="44" xfId="0" quotePrefix="1" applyFont="1" applyFill="1" applyBorder="1" applyAlignment="1">
      <alignment horizontal="left" vertical="center" wrapText="1"/>
    </xf>
    <xf numFmtId="0" fontId="34" fillId="15" borderId="37" xfId="0" quotePrefix="1" applyFont="1" applyFill="1" applyBorder="1" applyAlignment="1">
      <alignment horizontal="left" vertical="center" wrapText="1"/>
    </xf>
    <xf numFmtId="0" fontId="34" fillId="15" borderId="40" xfId="0" quotePrefix="1" applyFont="1" applyFill="1" applyBorder="1" applyAlignment="1">
      <alignment horizontal="left" vertical="center" wrapText="1"/>
    </xf>
    <xf numFmtId="0" fontId="34" fillId="15" borderId="4" xfId="0" quotePrefix="1" applyFont="1" applyFill="1" applyBorder="1" applyAlignment="1">
      <alignment horizontal="left" vertical="center"/>
    </xf>
    <xf numFmtId="0" fontId="34" fillId="15" borderId="0" xfId="0" quotePrefix="1" applyFont="1" applyFill="1" applyAlignment="1">
      <alignment horizontal="left" vertical="center"/>
    </xf>
    <xf numFmtId="0" fontId="34" fillId="15" borderId="35" xfId="0" quotePrefix="1" applyFont="1" applyFill="1" applyBorder="1" applyAlignment="1">
      <alignment horizontal="left" vertical="center"/>
    </xf>
    <xf numFmtId="0" fontId="37" fillId="11" borderId="20" xfId="0" quotePrefix="1" applyFont="1" applyFill="1" applyBorder="1" applyAlignment="1">
      <alignment horizontal="center" vertical="center"/>
    </xf>
    <xf numFmtId="0" fontId="37" fillId="11" borderId="21" xfId="0" quotePrefix="1" applyFont="1" applyFill="1" applyBorder="1" applyAlignment="1">
      <alignment horizontal="center" vertical="center"/>
    </xf>
    <xf numFmtId="0" fontId="37" fillId="11" borderId="22" xfId="0" quotePrefix="1" applyFont="1" applyFill="1" applyBorder="1" applyAlignment="1">
      <alignment horizontal="center" vertical="center"/>
    </xf>
    <xf numFmtId="0" fontId="33" fillId="15" borderId="15" xfId="0" quotePrefix="1" applyFont="1" applyFill="1" applyBorder="1" applyAlignment="1">
      <alignment horizontal="left" vertical="center"/>
    </xf>
    <xf numFmtId="0" fontId="31" fillId="15" borderId="39" xfId="0" quotePrefix="1" applyFont="1" applyFill="1" applyBorder="1" applyAlignment="1">
      <alignment horizontal="left" vertical="center"/>
    </xf>
    <xf numFmtId="0" fontId="31" fillId="15" borderId="11" xfId="0" quotePrefix="1" applyFont="1" applyFill="1" applyBorder="1" applyAlignment="1">
      <alignment horizontal="left" vertical="center"/>
    </xf>
    <xf numFmtId="0" fontId="31" fillId="15" borderId="12" xfId="0" quotePrefix="1" applyFont="1" applyFill="1" applyBorder="1" applyAlignment="1">
      <alignment horizontal="left" vertical="center"/>
    </xf>
    <xf numFmtId="0" fontId="14" fillId="16" borderId="9" xfId="0" quotePrefix="1" applyFont="1" applyFill="1" applyBorder="1" applyAlignment="1">
      <alignment horizontal="left"/>
    </xf>
    <xf numFmtId="0" fontId="0" fillId="16" borderId="10" xfId="0" applyFill="1" applyBorder="1" applyAlignment="1">
      <alignment horizontal="left"/>
    </xf>
    <xf numFmtId="0" fontId="0" fillId="16" borderId="11" xfId="0" applyFill="1" applyBorder="1" applyAlignment="1">
      <alignment horizontal="left"/>
    </xf>
    <xf numFmtId="0" fontId="0" fillId="16" borderId="12" xfId="0" applyFill="1" applyBorder="1" applyAlignment="1">
      <alignment horizontal="left"/>
    </xf>
    <xf numFmtId="0" fontId="34" fillId="15" borderId="44" xfId="0" quotePrefix="1" applyFont="1" applyFill="1" applyBorder="1" applyAlignment="1">
      <alignment horizontal="left" vertical="center"/>
    </xf>
    <xf numFmtId="0" fontId="34" fillId="15" borderId="37" xfId="0" quotePrefix="1" applyFont="1" applyFill="1" applyBorder="1" applyAlignment="1">
      <alignment horizontal="left" vertical="center"/>
    </xf>
    <xf numFmtId="0" fontId="34" fillId="15" borderId="40" xfId="0" quotePrefix="1" applyFont="1" applyFill="1" applyBorder="1" applyAlignment="1">
      <alignment horizontal="left" vertical="center"/>
    </xf>
    <xf numFmtId="0" fontId="34" fillId="15" borderId="18" xfId="0" quotePrefix="1" applyFont="1" applyFill="1" applyBorder="1" applyAlignment="1">
      <alignment horizontal="left" vertical="center"/>
    </xf>
    <xf numFmtId="0" fontId="33" fillId="15" borderId="42" xfId="0" quotePrefix="1" applyFont="1" applyFill="1" applyBorder="1" applyAlignment="1">
      <alignment horizontal="left" vertical="center" wrapText="1"/>
    </xf>
    <xf numFmtId="0" fontId="33" fillId="15" borderId="38" xfId="0" quotePrefix="1" applyFont="1" applyFill="1" applyBorder="1" applyAlignment="1">
      <alignment horizontal="left" vertical="center" wrapText="1"/>
    </xf>
    <xf numFmtId="0" fontId="33" fillId="15" borderId="36" xfId="0" quotePrefix="1" applyFont="1" applyFill="1" applyBorder="1" applyAlignment="1">
      <alignment horizontal="left" vertical="center" wrapText="1"/>
    </xf>
    <xf numFmtId="0" fontId="34" fillId="15" borderId="54" xfId="0" quotePrefix="1" applyFont="1" applyFill="1" applyBorder="1" applyAlignment="1">
      <alignment horizontal="left" vertical="center"/>
    </xf>
    <xf numFmtId="0" fontId="3" fillId="12" borderId="13" xfId="0" applyFont="1" applyFill="1" applyBorder="1" applyAlignment="1">
      <alignment horizontal="left"/>
    </xf>
    <xf numFmtId="0" fontId="42" fillId="8" borderId="9" xfId="0" applyFont="1" applyFill="1" applyBorder="1" applyAlignment="1">
      <alignment horizontal="left"/>
    </xf>
    <xf numFmtId="0" fontId="36" fillId="8" borderId="9" xfId="0" applyFont="1" applyFill="1" applyBorder="1" applyAlignment="1">
      <alignment horizontal="center"/>
    </xf>
    <xf numFmtId="0" fontId="30" fillId="19" borderId="15" xfId="0" quotePrefix="1" applyFont="1" applyFill="1" applyBorder="1" applyAlignment="1">
      <alignment horizontal="left" vertical="center"/>
    </xf>
    <xf numFmtId="0" fontId="30" fillId="19" borderId="38" xfId="0" quotePrefix="1" applyFont="1" applyFill="1" applyBorder="1" applyAlignment="1">
      <alignment horizontal="left" vertical="center"/>
    </xf>
    <xf numFmtId="0" fontId="30" fillId="19" borderId="36" xfId="0" quotePrefix="1" applyFont="1" applyFill="1" applyBorder="1" applyAlignment="1">
      <alignment horizontal="left" vertical="center"/>
    </xf>
    <xf numFmtId="0" fontId="30" fillId="19" borderId="10" xfId="0" quotePrefix="1" applyFont="1" applyFill="1" applyBorder="1" applyAlignment="1">
      <alignment horizontal="left" vertical="center"/>
    </xf>
    <xf numFmtId="0" fontId="30" fillId="19" borderId="11" xfId="0" quotePrefix="1" applyFont="1" applyFill="1" applyBorder="1" applyAlignment="1">
      <alignment horizontal="left" vertical="center"/>
    </xf>
    <xf numFmtId="0" fontId="30" fillId="19" borderId="12" xfId="0" quotePrefix="1" applyFont="1" applyFill="1" applyBorder="1" applyAlignment="1">
      <alignment horizontal="left" vertical="center"/>
    </xf>
    <xf numFmtId="0" fontId="3" fillId="12" borderId="54" xfId="0" applyFont="1" applyFill="1" applyBorder="1" applyAlignment="1">
      <alignment horizontal="left"/>
    </xf>
    <xf numFmtId="0" fontId="35" fillId="8" borderId="1" xfId="0" applyFont="1" applyFill="1" applyBorder="1" applyAlignment="1">
      <alignment horizontal="center"/>
    </xf>
    <xf numFmtId="0" fontId="35" fillId="8" borderId="2" xfId="0" applyFont="1" applyFill="1" applyBorder="1" applyAlignment="1">
      <alignment horizontal="center"/>
    </xf>
    <xf numFmtId="0" fontId="35" fillId="8" borderId="3" xfId="0" applyFont="1" applyFill="1" applyBorder="1" applyAlignment="1">
      <alignment horizontal="center"/>
    </xf>
    <xf numFmtId="0" fontId="14" fillId="2" borderId="9" xfId="0" quotePrefix="1" applyFont="1" applyFill="1" applyBorder="1" applyAlignment="1">
      <alignment horizontal="left"/>
    </xf>
    <xf numFmtId="0" fontId="14" fillId="10" borderId="9" xfId="0" quotePrefix="1" applyFont="1" applyFill="1" applyBorder="1" applyAlignment="1">
      <alignment horizontal="left" vertical="center"/>
    </xf>
    <xf numFmtId="0" fontId="14" fillId="10" borderId="9" xfId="0" applyFont="1" applyFill="1" applyBorder="1" applyAlignment="1">
      <alignment horizontal="left"/>
    </xf>
    <xf numFmtId="0" fontId="14" fillId="10" borderId="9" xfId="0" quotePrefix="1" applyFont="1" applyFill="1" applyBorder="1" applyAlignment="1">
      <alignment horizontal="left"/>
    </xf>
    <xf numFmtId="0" fontId="3" fillId="14" borderId="9" xfId="0" applyFont="1" applyFill="1" applyBorder="1" applyAlignment="1">
      <alignment horizontal="center" vertical="center"/>
    </xf>
    <xf numFmtId="0" fontId="3" fillId="16" borderId="9" xfId="0" applyFont="1" applyFill="1" applyBorder="1" applyAlignment="1">
      <alignment horizontal="center" vertical="center"/>
    </xf>
    <xf numFmtId="0" fontId="3" fillId="10" borderId="9" xfId="0" applyFont="1" applyFill="1" applyBorder="1" applyAlignment="1">
      <alignment horizontal="center" vertical="center"/>
    </xf>
    <xf numFmtId="0" fontId="13" fillId="16" borderId="10" xfId="0" quotePrefix="1" applyFont="1" applyFill="1" applyBorder="1" applyAlignment="1">
      <alignment horizontal="center"/>
    </xf>
    <xf numFmtId="0" fontId="13" fillId="16" borderId="11" xfId="0" quotePrefix="1" applyFont="1" applyFill="1" applyBorder="1" applyAlignment="1">
      <alignment horizontal="center"/>
    </xf>
    <xf numFmtId="0" fontId="13" fillId="16" borderId="12" xfId="0" quotePrefix="1" applyFont="1" applyFill="1" applyBorder="1" applyAlignment="1">
      <alignment horizontal="center"/>
    </xf>
    <xf numFmtId="0" fontId="14" fillId="16" borderId="9" xfId="0" applyFont="1" applyFill="1" applyBorder="1" applyAlignment="1">
      <alignment horizontal="left"/>
    </xf>
    <xf numFmtId="0" fontId="35" fillId="11" borderId="9" xfId="0" applyFont="1" applyFill="1" applyBorder="1" applyAlignment="1">
      <alignment horizontal="left" vertical="center"/>
    </xf>
    <xf numFmtId="0" fontId="14" fillId="14" borderId="9" xfId="0" applyFont="1" applyFill="1" applyBorder="1" applyAlignment="1">
      <alignment horizontal="left"/>
    </xf>
    <xf numFmtId="0" fontId="35" fillId="11" borderId="1" xfId="0" applyFont="1" applyFill="1" applyBorder="1" applyAlignment="1">
      <alignment horizontal="center"/>
    </xf>
    <xf numFmtId="0" fontId="35" fillId="11" borderId="2" xfId="0" applyFont="1" applyFill="1" applyBorder="1" applyAlignment="1">
      <alignment horizontal="center"/>
    </xf>
    <xf numFmtId="0" fontId="35" fillId="11" borderId="3" xfId="0" applyFont="1" applyFill="1" applyBorder="1" applyAlignment="1">
      <alignment horizontal="center"/>
    </xf>
    <xf numFmtId="0" fontId="15" fillId="2" borderId="4" xfId="0" applyFont="1" applyFill="1" applyBorder="1" applyAlignment="1">
      <alignment horizontal="center"/>
    </xf>
    <xf numFmtId="0" fontId="15" fillId="2" borderId="0" xfId="0" applyFont="1" applyFill="1" applyAlignment="1">
      <alignment horizontal="center"/>
    </xf>
    <xf numFmtId="0" fontId="15" fillId="2" borderId="5" xfId="0" applyFont="1" applyFill="1" applyBorder="1" applyAlignment="1">
      <alignment horizontal="center"/>
    </xf>
    <xf numFmtId="0" fontId="3" fillId="2" borderId="20" xfId="0" applyFont="1" applyFill="1" applyBorder="1" applyAlignment="1">
      <alignment horizontal="center"/>
    </xf>
    <xf numFmtId="0" fontId="3" fillId="2" borderId="21" xfId="0" applyFont="1" applyFill="1" applyBorder="1" applyAlignment="1">
      <alignment horizontal="center"/>
    </xf>
    <xf numFmtId="0" fontId="3" fillId="2" borderId="22" xfId="0" applyFont="1" applyFill="1" applyBorder="1" applyAlignment="1">
      <alignment horizontal="center"/>
    </xf>
    <xf numFmtId="0" fontId="63" fillId="8" borderId="20" xfId="0" quotePrefix="1" applyFont="1" applyFill="1" applyBorder="1" applyAlignment="1">
      <alignment horizontal="center" vertical="center"/>
    </xf>
    <xf numFmtId="0" fontId="63" fillId="8" borderId="21" xfId="0" quotePrefix="1" applyFont="1" applyFill="1" applyBorder="1" applyAlignment="1">
      <alignment horizontal="center" vertical="center"/>
    </xf>
    <xf numFmtId="0" fontId="63" fillId="8" borderId="22" xfId="0" quotePrefix="1" applyFont="1" applyFill="1" applyBorder="1" applyAlignment="1">
      <alignment horizontal="center" vertical="center"/>
    </xf>
    <xf numFmtId="0" fontId="31" fillId="2" borderId="0" xfId="0" quotePrefix="1" applyFont="1" applyFill="1" applyAlignment="1">
      <alignment horizontal="right" vertical="center"/>
    </xf>
    <xf numFmtId="0" fontId="45" fillId="20" borderId="23" xfId="0" applyFont="1" applyFill="1" applyBorder="1" applyAlignment="1">
      <alignment horizontal="center" vertical="center" textRotation="180"/>
    </xf>
    <xf numFmtId="0" fontId="45" fillId="20" borderId="25" xfId="0" applyFont="1" applyFill="1" applyBorder="1" applyAlignment="1">
      <alignment horizontal="center" vertical="center" textRotation="180"/>
    </xf>
    <xf numFmtId="0" fontId="45" fillId="20" borderId="24" xfId="0" applyFont="1" applyFill="1" applyBorder="1" applyAlignment="1">
      <alignment horizontal="center" vertical="center" textRotation="180"/>
    </xf>
    <xf numFmtId="0" fontId="44" fillId="13" borderId="31" xfId="0" applyFont="1" applyFill="1" applyBorder="1" applyAlignment="1">
      <alignment horizontal="center" vertical="center" wrapText="1"/>
    </xf>
    <xf numFmtId="0" fontId="44" fillId="13" borderId="45" xfId="0" applyFont="1" applyFill="1" applyBorder="1" applyAlignment="1">
      <alignment horizontal="center" vertical="center" wrapText="1"/>
    </xf>
    <xf numFmtId="0" fontId="44" fillId="13" borderId="32" xfId="0" applyFont="1" applyFill="1" applyBorder="1" applyAlignment="1">
      <alignment horizontal="center" vertical="center" wrapText="1"/>
    </xf>
    <xf numFmtId="0" fontId="44" fillId="13" borderId="46" xfId="0" applyFont="1" applyFill="1" applyBorder="1" applyAlignment="1">
      <alignment horizontal="center" vertical="center" wrapText="1"/>
    </xf>
    <xf numFmtId="0" fontId="44" fillId="13" borderId="34" xfId="0" applyFont="1" applyFill="1" applyBorder="1" applyAlignment="1">
      <alignment horizontal="center" vertical="center" wrapText="1"/>
    </xf>
    <xf numFmtId="0" fontId="44" fillId="13" borderId="47" xfId="0" applyFont="1" applyFill="1" applyBorder="1" applyAlignment="1">
      <alignment horizontal="center" vertical="center" wrapText="1"/>
    </xf>
    <xf numFmtId="0" fontId="31" fillId="15" borderId="9" xfId="5" quotePrefix="1" applyFont="1" applyFill="1" applyBorder="1" applyAlignment="1">
      <alignment horizontal="left" vertical="center"/>
    </xf>
    <xf numFmtId="0" fontId="31" fillId="15" borderId="9" xfId="5" applyFont="1" applyFill="1" applyBorder="1" applyAlignment="1">
      <alignment horizontal="left" vertical="center"/>
    </xf>
    <xf numFmtId="0" fontId="44" fillId="19" borderId="1" xfId="0" applyFont="1" applyFill="1" applyBorder="1" applyAlignment="1">
      <alignment horizontal="center" vertical="center" wrapText="1"/>
    </xf>
    <xf numFmtId="0" fontId="44" fillId="19" borderId="3" xfId="0" applyFont="1" applyFill="1" applyBorder="1" applyAlignment="1">
      <alignment horizontal="center" vertical="center" wrapText="1"/>
    </xf>
    <xf numFmtId="0" fontId="44" fillId="19" borderId="4" xfId="0" applyFont="1" applyFill="1" applyBorder="1" applyAlignment="1">
      <alignment horizontal="center" vertical="center" wrapText="1"/>
    </xf>
    <xf numFmtId="0" fontId="44" fillId="19" borderId="5" xfId="0" applyFont="1" applyFill="1" applyBorder="1" applyAlignment="1">
      <alignment horizontal="center" vertical="center" wrapText="1"/>
    </xf>
    <xf numFmtId="0" fontId="44" fillId="19" borderId="6" xfId="0" applyFont="1" applyFill="1" applyBorder="1" applyAlignment="1">
      <alignment horizontal="center" vertical="center" wrapText="1"/>
    </xf>
    <xf numFmtId="0" fontId="44" fillId="19" borderId="8" xfId="0" applyFont="1" applyFill="1" applyBorder="1" applyAlignment="1">
      <alignment horizontal="center" vertical="center" wrapText="1"/>
    </xf>
    <xf numFmtId="0" fontId="3" fillId="12" borderId="10" xfId="0" applyFont="1" applyFill="1" applyBorder="1" applyAlignment="1">
      <alignment horizontal="left"/>
    </xf>
    <xf numFmtId="0" fontId="29" fillId="13" borderId="9" xfId="0" quotePrefix="1" applyFont="1" applyFill="1" applyBorder="1" applyAlignment="1">
      <alignment horizontal="left" vertical="center"/>
    </xf>
    <xf numFmtId="0" fontId="30" fillId="13" borderId="13" xfId="0" quotePrefix="1" applyFont="1" applyFill="1" applyBorder="1" applyAlignment="1">
      <alignment horizontal="left" vertical="center"/>
    </xf>
    <xf numFmtId="0" fontId="30" fillId="13" borderId="10" xfId="0" quotePrefix="1" applyFont="1" applyFill="1" applyBorder="1" applyAlignment="1">
      <alignment horizontal="left" vertical="center"/>
    </xf>
    <xf numFmtId="0" fontId="30" fillId="13" borderId="11" xfId="0" quotePrefix="1" applyFont="1" applyFill="1" applyBorder="1" applyAlignment="1">
      <alignment horizontal="left" vertical="center"/>
    </xf>
    <xf numFmtId="0" fontId="30" fillId="13" borderId="12" xfId="0" quotePrefix="1" applyFont="1" applyFill="1" applyBorder="1" applyAlignment="1">
      <alignment horizontal="left" vertical="center"/>
    </xf>
    <xf numFmtId="0" fontId="74" fillId="2" borderId="20" xfId="0" applyFont="1" applyFill="1" applyBorder="1" applyAlignment="1">
      <alignment horizontal="center"/>
    </xf>
    <xf numFmtId="0" fontId="74" fillId="2" borderId="21" xfId="0" applyFont="1" applyFill="1" applyBorder="1" applyAlignment="1">
      <alignment horizontal="center"/>
    </xf>
    <xf numFmtId="0" fontId="74" fillId="2" borderId="22" xfId="0" applyFont="1" applyFill="1" applyBorder="1" applyAlignment="1">
      <alignment horizontal="center"/>
    </xf>
    <xf numFmtId="0" fontId="25" fillId="15" borderId="9" xfId="0" quotePrefix="1" applyFont="1" applyFill="1" applyBorder="1" applyAlignment="1">
      <alignment horizontal="left" vertical="center"/>
    </xf>
    <xf numFmtId="0" fontId="25" fillId="15" borderId="10" xfId="0" quotePrefix="1" applyFont="1" applyFill="1" applyBorder="1" applyAlignment="1">
      <alignment horizontal="left" vertical="center"/>
    </xf>
    <xf numFmtId="0" fontId="25" fillId="15" borderId="11" xfId="0" quotePrefix="1" applyFont="1" applyFill="1" applyBorder="1" applyAlignment="1">
      <alignment horizontal="left" vertical="center"/>
    </xf>
    <xf numFmtId="0" fontId="25" fillId="15" borderId="12" xfId="0" quotePrefix="1" applyFont="1" applyFill="1" applyBorder="1" applyAlignment="1">
      <alignment horizontal="left" vertical="center"/>
    </xf>
    <xf numFmtId="0" fontId="25" fillId="11" borderId="9" xfId="0" quotePrefix="1" applyFont="1" applyFill="1" applyBorder="1" applyAlignment="1">
      <alignment horizontal="left" vertical="center"/>
    </xf>
    <xf numFmtId="0" fontId="85" fillId="13" borderId="9" xfId="0" quotePrefix="1" applyFont="1" applyFill="1" applyBorder="1" applyAlignment="1">
      <alignment horizontal="left" vertical="center"/>
    </xf>
    <xf numFmtId="0" fontId="25" fillId="11" borderId="10" xfId="0" quotePrefix="1" applyFont="1" applyFill="1" applyBorder="1" applyAlignment="1">
      <alignment horizontal="left" vertical="center"/>
    </xf>
    <xf numFmtId="0" fontId="25" fillId="11" borderId="11" xfId="0" quotePrefix="1" applyFont="1" applyFill="1" applyBorder="1" applyAlignment="1">
      <alignment horizontal="left" vertical="center"/>
    </xf>
    <xf numFmtId="0" fontId="25" fillId="11" borderId="12" xfId="0" quotePrefix="1" applyFont="1" applyFill="1" applyBorder="1" applyAlignment="1">
      <alignment horizontal="left" vertical="center"/>
    </xf>
    <xf numFmtId="0" fontId="85" fillId="15" borderId="9" xfId="0" quotePrefix="1" applyFont="1" applyFill="1" applyBorder="1" applyAlignment="1">
      <alignment horizontal="left" vertical="center"/>
    </xf>
    <xf numFmtId="0" fontId="83" fillId="11" borderId="20" xfId="0" applyFont="1" applyFill="1" applyBorder="1" applyAlignment="1">
      <alignment horizontal="center"/>
    </xf>
    <xf numFmtId="0" fontId="83" fillId="11" borderId="21" xfId="0" applyFont="1" applyFill="1" applyBorder="1" applyAlignment="1">
      <alignment horizontal="center"/>
    </xf>
    <xf numFmtId="0" fontId="83" fillId="11" borderId="22" xfId="0" applyFont="1" applyFill="1" applyBorder="1" applyAlignment="1">
      <alignment horizontal="center"/>
    </xf>
    <xf numFmtId="0" fontId="24" fillId="24" borderId="39" xfId="0" applyFont="1" applyFill="1" applyBorder="1" applyAlignment="1">
      <alignment horizontal="center" vertical="center"/>
    </xf>
    <xf numFmtId="0" fontId="24" fillId="24" borderId="11" xfId="0" applyFont="1" applyFill="1" applyBorder="1" applyAlignment="1">
      <alignment horizontal="center" vertical="center"/>
    </xf>
    <xf numFmtId="0" fontId="24" fillId="24" borderId="12" xfId="0" applyFont="1" applyFill="1" applyBorder="1" applyAlignment="1">
      <alignment horizontal="center" vertical="center"/>
    </xf>
    <xf numFmtId="0" fontId="54" fillId="11" borderId="1" xfId="0" applyFont="1" applyFill="1" applyBorder="1" applyAlignment="1">
      <alignment horizontal="center" vertical="center"/>
    </xf>
    <xf numFmtId="0" fontId="54" fillId="11" borderId="2" xfId="0" applyFont="1" applyFill="1" applyBorder="1" applyAlignment="1">
      <alignment horizontal="center" vertical="center"/>
    </xf>
    <xf numFmtId="0" fontId="54" fillId="11" borderId="3" xfId="0" applyFont="1" applyFill="1" applyBorder="1" applyAlignment="1">
      <alignment horizontal="center" vertical="center"/>
    </xf>
    <xf numFmtId="0" fontId="54" fillId="11" borderId="6" xfId="0" applyFont="1" applyFill="1" applyBorder="1" applyAlignment="1">
      <alignment horizontal="center" vertical="center"/>
    </xf>
    <xf numFmtId="0" fontId="54" fillId="11" borderId="7" xfId="0" applyFont="1" applyFill="1" applyBorder="1" applyAlignment="1">
      <alignment horizontal="center" vertical="center"/>
    </xf>
    <xf numFmtId="0" fontId="54" fillId="11" borderId="8" xfId="0" applyFont="1" applyFill="1" applyBorder="1" applyAlignment="1">
      <alignment horizontal="center" vertical="center"/>
    </xf>
    <xf numFmtId="0" fontId="81" fillId="2" borderId="1" xfId="0" applyFont="1" applyFill="1" applyBorder="1" applyAlignment="1">
      <alignment horizontal="center"/>
    </xf>
    <xf numFmtId="0" fontId="81" fillId="2" borderId="2" xfId="0" applyFont="1" applyFill="1" applyBorder="1" applyAlignment="1">
      <alignment horizontal="center"/>
    </xf>
    <xf numFmtId="0" fontId="81" fillId="2" borderId="3" xfId="0" applyFont="1" applyFill="1" applyBorder="1" applyAlignment="1">
      <alignment horizontal="center"/>
    </xf>
    <xf numFmtId="0" fontId="82" fillId="11" borderId="1" xfId="0" applyFont="1" applyFill="1" applyBorder="1" applyAlignment="1">
      <alignment horizontal="center" vertical="center"/>
    </xf>
    <xf numFmtId="0" fontId="82" fillId="11" borderId="2" xfId="0" applyFont="1" applyFill="1" applyBorder="1" applyAlignment="1">
      <alignment horizontal="center" vertical="center"/>
    </xf>
    <xf numFmtId="0" fontId="82" fillId="11" borderId="3" xfId="0" applyFont="1" applyFill="1" applyBorder="1" applyAlignment="1">
      <alignment horizontal="center" vertical="center"/>
    </xf>
    <xf numFmtId="0" fontId="82" fillId="11" borderId="6" xfId="0" applyFont="1" applyFill="1" applyBorder="1" applyAlignment="1">
      <alignment horizontal="center" vertical="center"/>
    </xf>
    <xf numFmtId="0" fontId="82" fillId="11" borderId="7" xfId="0" applyFont="1" applyFill="1" applyBorder="1" applyAlignment="1">
      <alignment horizontal="center" vertical="center"/>
    </xf>
    <xf numFmtId="0" fontId="82" fillId="11" borderId="8" xfId="0" applyFont="1" applyFill="1" applyBorder="1" applyAlignment="1">
      <alignment horizontal="center" vertical="center"/>
    </xf>
    <xf numFmtId="0" fontId="83" fillId="0" borderId="20" xfId="0" applyFont="1" applyBorder="1" applyAlignment="1">
      <alignment horizontal="center"/>
    </xf>
    <xf numFmtId="0" fontId="83" fillId="0" borderId="21" xfId="0" applyFont="1" applyBorder="1" applyAlignment="1">
      <alignment horizontal="center"/>
    </xf>
    <xf numFmtId="0" fontId="83" fillId="0" borderId="22" xfId="0" applyFont="1" applyBorder="1" applyAlignment="1">
      <alignment horizontal="center"/>
    </xf>
    <xf numFmtId="0" fontId="85" fillId="0" borderId="58" xfId="0" quotePrefix="1" applyFont="1" applyBorder="1" applyAlignment="1">
      <alignment horizontal="left" vertical="center"/>
    </xf>
    <xf numFmtId="0" fontId="85" fillId="0" borderId="69" xfId="0" quotePrefix="1" applyFont="1" applyBorder="1" applyAlignment="1">
      <alignment horizontal="left" vertical="center"/>
    </xf>
    <xf numFmtId="0" fontId="85" fillId="0" borderId="62" xfId="0" quotePrefix="1" applyFont="1" applyBorder="1" applyAlignment="1">
      <alignment horizontal="left" vertical="center"/>
    </xf>
    <xf numFmtId="0" fontId="85" fillId="0" borderId="10" xfId="0" quotePrefix="1" applyFont="1" applyBorder="1" applyAlignment="1">
      <alignment horizontal="left" vertical="center"/>
    </xf>
    <xf numFmtId="0" fontId="85" fillId="0" borderId="11" xfId="0" quotePrefix="1" applyFont="1" applyBorder="1" applyAlignment="1">
      <alignment horizontal="left" vertical="center"/>
    </xf>
    <xf numFmtId="0" fontId="85" fillId="0" borderId="12" xfId="0" quotePrefix="1" applyFont="1" applyBorder="1" applyAlignment="1">
      <alignment horizontal="left" vertical="center"/>
    </xf>
    <xf numFmtId="0" fontId="34" fillId="13" borderId="9" xfId="0" quotePrefix="1" applyFont="1" applyFill="1" applyBorder="1" applyAlignment="1">
      <alignment horizontal="left" vertical="center"/>
    </xf>
    <xf numFmtId="0" fontId="25" fillId="0" borderId="10" xfId="0" quotePrefix="1" applyFont="1" applyBorder="1" applyAlignment="1">
      <alignment horizontal="left" vertical="center"/>
    </xf>
    <xf numFmtId="0" fontId="25" fillId="0" borderId="11" xfId="0" quotePrefix="1" applyFont="1" applyBorder="1" applyAlignment="1">
      <alignment horizontal="left" vertical="center"/>
    </xf>
    <xf numFmtId="0" fontId="25" fillId="0" borderId="12" xfId="0" quotePrefix="1" applyFont="1" applyBorder="1" applyAlignment="1">
      <alignment horizontal="left" vertical="center"/>
    </xf>
    <xf numFmtId="0" fontId="3" fillId="2" borderId="11" xfId="0" applyFont="1" applyFill="1" applyBorder="1" applyAlignment="1">
      <alignment horizontal="left"/>
    </xf>
    <xf numFmtId="0" fontId="3" fillId="2" borderId="12" xfId="0" applyFont="1" applyFill="1" applyBorder="1" applyAlignment="1">
      <alignment horizontal="left"/>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xf>
    <xf numFmtId="0" fontId="3" fillId="3" borderId="13" xfId="0" applyFont="1" applyFill="1" applyBorder="1" applyAlignment="1">
      <alignment horizontal="left"/>
    </xf>
    <xf numFmtId="0" fontId="2" fillId="6" borderId="10" xfId="0" applyFont="1" applyFill="1" applyBorder="1" applyAlignment="1">
      <alignment horizontal="left"/>
    </xf>
    <xf numFmtId="0" fontId="2" fillId="6" borderId="11" xfId="0" applyFont="1" applyFill="1" applyBorder="1" applyAlignment="1">
      <alignment horizontal="left"/>
    </xf>
    <xf numFmtId="0" fontId="3" fillId="5" borderId="9" xfId="0" applyFont="1" applyFill="1" applyBorder="1" applyAlignment="1">
      <alignment horizontal="left"/>
    </xf>
    <xf numFmtId="0" fontId="3" fillId="3" borderId="27" xfId="0" applyFont="1" applyFill="1" applyBorder="1" applyAlignment="1">
      <alignment horizontal="left"/>
    </xf>
    <xf numFmtId="0" fontId="3" fillId="3" borderId="28" xfId="0" applyFont="1" applyFill="1" applyBorder="1" applyAlignment="1">
      <alignment horizontal="left"/>
    </xf>
    <xf numFmtId="0" fontId="2" fillId="6" borderId="15" xfId="0" applyFont="1" applyFill="1" applyBorder="1" applyAlignment="1">
      <alignment horizontal="left"/>
    </xf>
    <xf numFmtId="0" fontId="2" fillId="6" borderId="38" xfId="0" applyFont="1" applyFill="1" applyBorder="1" applyAlignment="1">
      <alignment horizontal="left"/>
    </xf>
    <xf numFmtId="0" fontId="0" fillId="8" borderId="1" xfId="0" applyFill="1" applyBorder="1" applyAlignment="1">
      <alignment horizontal="center"/>
    </xf>
    <xf numFmtId="0" fontId="0" fillId="8" borderId="2" xfId="0" applyFill="1" applyBorder="1" applyAlignment="1">
      <alignment horizontal="center"/>
    </xf>
    <xf numFmtId="0" fontId="0" fillId="8" borderId="3" xfId="0" applyFill="1" applyBorder="1" applyAlignment="1">
      <alignment horizontal="center"/>
    </xf>
    <xf numFmtId="0" fontId="3" fillId="6" borderId="10" xfId="0" applyFont="1" applyFill="1" applyBorder="1" applyAlignment="1">
      <alignment horizontal="left"/>
    </xf>
    <xf numFmtId="0" fontId="3" fillId="6" borderId="11" xfId="0" applyFont="1" applyFill="1" applyBorder="1" applyAlignment="1">
      <alignment horizontal="left"/>
    </xf>
    <xf numFmtId="0" fontId="35" fillId="5" borderId="20" xfId="0" applyFont="1" applyFill="1" applyBorder="1" applyAlignment="1">
      <alignment horizontal="center"/>
    </xf>
    <xf numFmtId="0" fontId="35" fillId="5" borderId="21" xfId="0" applyFont="1" applyFill="1" applyBorder="1" applyAlignment="1">
      <alignment horizontal="center"/>
    </xf>
    <xf numFmtId="0" fontId="35" fillId="5" borderId="22" xfId="0" applyFont="1" applyFill="1" applyBorder="1" applyAlignment="1">
      <alignment horizontal="center"/>
    </xf>
    <xf numFmtId="0" fontId="9" fillId="5" borderId="20" xfId="0" applyFont="1" applyFill="1" applyBorder="1" applyAlignment="1">
      <alignment horizontal="center"/>
    </xf>
    <xf numFmtId="0" fontId="9" fillId="5" borderId="21" xfId="0" applyFont="1" applyFill="1" applyBorder="1" applyAlignment="1">
      <alignment horizontal="center"/>
    </xf>
    <xf numFmtId="0" fontId="9" fillId="5" borderId="22" xfId="0" applyFont="1" applyFill="1" applyBorder="1" applyAlignment="1">
      <alignment horizontal="center"/>
    </xf>
    <xf numFmtId="0" fontId="13" fillId="5" borderId="0" xfId="0" applyFont="1" applyFill="1" applyAlignment="1">
      <alignment horizontal="center" vertical="center"/>
    </xf>
    <xf numFmtId="0" fontId="13" fillId="5" borderId="38" xfId="0" applyFont="1" applyFill="1" applyBorder="1" applyAlignment="1">
      <alignment horizontal="center" vertical="center"/>
    </xf>
    <xf numFmtId="10" fontId="69" fillId="0" borderId="2" xfId="0" applyNumberFormat="1" applyFont="1" applyBorder="1" applyAlignment="1">
      <alignment horizontal="center" vertical="center"/>
    </xf>
    <xf numFmtId="10" fontId="69" fillId="0" borderId="3" xfId="0" applyNumberFormat="1" applyFont="1" applyBorder="1" applyAlignment="1">
      <alignment horizontal="center" vertical="center"/>
    </xf>
    <xf numFmtId="10" fontId="69" fillId="0" borderId="38" xfId="0" applyNumberFormat="1" applyFont="1" applyBorder="1" applyAlignment="1">
      <alignment horizontal="center" vertical="center"/>
    </xf>
    <xf numFmtId="10" fontId="69" fillId="0" borderId="61" xfId="0" applyNumberFormat="1" applyFont="1" applyBorder="1" applyAlignment="1">
      <alignment horizontal="center" vertical="center"/>
    </xf>
    <xf numFmtId="0" fontId="3" fillId="17" borderId="63" xfId="0" applyFont="1" applyFill="1" applyBorder="1" applyAlignment="1">
      <alignment horizontal="center"/>
    </xf>
    <xf numFmtId="0" fontId="3" fillId="17" borderId="64" xfId="0" applyFont="1" applyFill="1" applyBorder="1" applyAlignment="1">
      <alignment horizontal="center"/>
    </xf>
    <xf numFmtId="0" fontId="3" fillId="17" borderId="65" xfId="0" applyFont="1" applyFill="1" applyBorder="1" applyAlignment="1">
      <alignment horizontal="center"/>
    </xf>
    <xf numFmtId="0" fontId="3" fillId="5" borderId="10" xfId="0" applyFont="1" applyFill="1" applyBorder="1" applyAlignment="1">
      <alignment horizontal="left"/>
    </xf>
    <xf numFmtId="0" fontId="3" fillId="5" borderId="11" xfId="0" applyFont="1" applyFill="1" applyBorder="1" applyAlignment="1">
      <alignment horizontal="left"/>
    </xf>
    <xf numFmtId="0" fontId="63" fillId="5" borderId="9" xfId="0" applyFont="1" applyFill="1" applyBorder="1" applyAlignment="1">
      <alignment horizontal="center"/>
    </xf>
    <xf numFmtId="0" fontId="3" fillId="28" borderId="9" xfId="0" applyFont="1" applyFill="1" applyBorder="1" applyAlignment="1">
      <alignment horizontal="left"/>
    </xf>
    <xf numFmtId="0" fontId="3" fillId="15" borderId="9" xfId="0" applyFont="1" applyFill="1" applyBorder="1" applyAlignment="1">
      <alignment horizontal="left"/>
    </xf>
    <xf numFmtId="0" fontId="103" fillId="13" borderId="16" xfId="0" applyFont="1" applyFill="1" applyBorder="1" applyAlignment="1">
      <alignment horizontal="center" vertical="center"/>
    </xf>
    <xf numFmtId="0" fontId="103" fillId="13" borderId="17" xfId="0" applyFont="1" applyFill="1" applyBorder="1" applyAlignment="1">
      <alignment horizontal="center" vertical="center"/>
    </xf>
    <xf numFmtId="0" fontId="3" fillId="5" borderId="12" xfId="0" applyFont="1" applyFill="1" applyBorder="1" applyAlignment="1">
      <alignment horizontal="left"/>
    </xf>
    <xf numFmtId="0" fontId="37" fillId="5" borderId="20" xfId="0" quotePrefix="1" applyFont="1" applyFill="1" applyBorder="1" applyAlignment="1">
      <alignment horizontal="center" vertical="center"/>
    </xf>
    <xf numFmtId="0" fontId="37" fillId="5" borderId="21" xfId="0" quotePrefix="1" applyFont="1" applyFill="1" applyBorder="1" applyAlignment="1">
      <alignment horizontal="center" vertical="center"/>
    </xf>
    <xf numFmtId="0" fontId="37" fillId="5" borderId="22" xfId="0" quotePrefix="1" applyFont="1" applyFill="1" applyBorder="1" applyAlignment="1">
      <alignment horizontal="center" vertical="center"/>
    </xf>
    <xf numFmtId="0" fontId="36" fillId="5" borderId="9" xfId="0" applyFont="1" applyFill="1" applyBorder="1" applyAlignment="1">
      <alignment horizontal="center"/>
    </xf>
    <xf numFmtId="0" fontId="46" fillId="23" borderId="23" xfId="0" applyFont="1" applyFill="1" applyBorder="1" applyAlignment="1">
      <alignment horizontal="center" vertical="center" textRotation="180"/>
    </xf>
    <xf numFmtId="0" fontId="46" fillId="23" borderId="25" xfId="0" applyFont="1" applyFill="1" applyBorder="1" applyAlignment="1">
      <alignment horizontal="center" vertical="center" textRotation="180"/>
    </xf>
    <xf numFmtId="0" fontId="46" fillId="23" borderId="24" xfId="0" applyFont="1" applyFill="1" applyBorder="1" applyAlignment="1">
      <alignment horizontal="center" vertical="center" textRotation="180"/>
    </xf>
    <xf numFmtId="0" fontId="3" fillId="23" borderId="9" xfId="0" applyFont="1" applyFill="1" applyBorder="1" applyAlignment="1">
      <alignment horizontal="left"/>
    </xf>
    <xf numFmtId="0" fontId="3" fillId="23" borderId="55" xfId="0" applyFont="1" applyFill="1" applyBorder="1" applyAlignment="1">
      <alignment horizontal="left"/>
    </xf>
    <xf numFmtId="0" fontId="3" fillId="23" borderId="13" xfId="0" applyFont="1" applyFill="1" applyBorder="1" applyAlignment="1">
      <alignment horizontal="left"/>
    </xf>
    <xf numFmtId="0" fontId="3" fillId="23" borderId="54" xfId="0" applyFont="1" applyFill="1" applyBorder="1" applyAlignment="1">
      <alignment horizontal="left"/>
    </xf>
    <xf numFmtId="0" fontId="43" fillId="5" borderId="9" xfId="0" applyFont="1" applyFill="1" applyBorder="1" applyAlignment="1">
      <alignment horizontal="left"/>
    </xf>
    <xf numFmtId="0" fontId="42" fillId="5" borderId="9" xfId="0" applyFont="1" applyFill="1" applyBorder="1" applyAlignment="1">
      <alignment horizontal="left"/>
    </xf>
    <xf numFmtId="0" fontId="0" fillId="23" borderId="9" xfId="0" applyFill="1" applyBorder="1" applyAlignment="1">
      <alignment horizontal="left"/>
    </xf>
    <xf numFmtId="0" fontId="5" fillId="5" borderId="0" xfId="0" applyFont="1" applyFill="1" applyAlignment="1">
      <alignment horizontal="center" vertical="center"/>
    </xf>
    <xf numFmtId="0" fontId="5" fillId="5" borderId="5" xfId="0" applyFont="1" applyFill="1" applyBorder="1" applyAlignment="1">
      <alignment horizontal="center" vertical="center"/>
    </xf>
    <xf numFmtId="0" fontId="3" fillId="11" borderId="10" xfId="0" applyFont="1" applyFill="1" applyBorder="1" applyAlignment="1">
      <alignment horizontal="left"/>
    </xf>
    <xf numFmtId="0" fontId="3" fillId="11" borderId="11" xfId="0" applyFont="1" applyFill="1" applyBorder="1" applyAlignment="1">
      <alignment horizontal="left"/>
    </xf>
    <xf numFmtId="0" fontId="3" fillId="11" borderId="37" xfId="0" applyFont="1" applyFill="1" applyBorder="1" applyAlignment="1">
      <alignment horizontal="left"/>
    </xf>
    <xf numFmtId="0" fontId="3" fillId="11" borderId="40" xfId="0" applyFont="1" applyFill="1" applyBorder="1" applyAlignment="1">
      <alignment horizontal="left"/>
    </xf>
    <xf numFmtId="0" fontId="14" fillId="23" borderId="9" xfId="0" quotePrefix="1" applyFont="1" applyFill="1" applyBorder="1" applyAlignment="1">
      <alignment horizontal="left"/>
    </xf>
    <xf numFmtId="0" fontId="0" fillId="23" borderId="10" xfId="0" applyFill="1" applyBorder="1" applyAlignment="1">
      <alignment horizontal="left"/>
    </xf>
    <xf numFmtId="0" fontId="0" fillId="23" borderId="11" xfId="0" applyFill="1" applyBorder="1" applyAlignment="1">
      <alignment horizontal="left"/>
    </xf>
    <xf numFmtId="0" fontId="0" fillId="23" borderId="12" xfId="0" applyFill="1" applyBorder="1" applyAlignment="1">
      <alignment horizontal="left"/>
    </xf>
    <xf numFmtId="0" fontId="3" fillId="23" borderId="10" xfId="0" applyFont="1" applyFill="1" applyBorder="1" applyAlignment="1">
      <alignment horizontal="left"/>
    </xf>
    <xf numFmtId="0" fontId="3" fillId="23" borderId="11" xfId="0" applyFont="1" applyFill="1" applyBorder="1" applyAlignment="1">
      <alignment horizontal="left"/>
    </xf>
    <xf numFmtId="0" fontId="3" fillId="23" borderId="12" xfId="0" applyFont="1" applyFill="1" applyBorder="1" applyAlignment="1">
      <alignment horizontal="left"/>
    </xf>
    <xf numFmtId="0" fontId="35" fillId="5" borderId="1" xfId="0" applyFont="1" applyFill="1" applyBorder="1" applyAlignment="1">
      <alignment horizontal="center"/>
    </xf>
    <xf numFmtId="0" fontId="35" fillId="5" borderId="2" xfId="0" applyFont="1" applyFill="1" applyBorder="1" applyAlignment="1">
      <alignment horizontal="center"/>
    </xf>
    <xf numFmtId="0" fontId="35" fillId="5" borderId="3" xfId="0" applyFont="1" applyFill="1" applyBorder="1" applyAlignment="1">
      <alignment horizontal="center"/>
    </xf>
    <xf numFmtId="0" fontId="35" fillId="5" borderId="15" xfId="0" applyFont="1" applyFill="1" applyBorder="1" applyAlignment="1">
      <alignment horizontal="left" vertical="center"/>
    </xf>
    <xf numFmtId="0" fontId="35" fillId="5" borderId="38" xfId="0" applyFont="1" applyFill="1" applyBorder="1" applyAlignment="1">
      <alignment horizontal="left" vertical="center"/>
    </xf>
    <xf numFmtId="0" fontId="35" fillId="5" borderId="36" xfId="0" applyFont="1" applyFill="1" applyBorder="1" applyAlignment="1">
      <alignment horizontal="left" vertical="center"/>
    </xf>
    <xf numFmtId="0" fontId="2" fillId="5" borderId="56" xfId="0" applyFont="1" applyFill="1" applyBorder="1" applyAlignment="1">
      <alignment horizontal="center"/>
    </xf>
    <xf numFmtId="0" fontId="2" fillId="5" borderId="13" xfId="0" applyFont="1" applyFill="1" applyBorder="1" applyAlignment="1">
      <alignment horizontal="center"/>
    </xf>
    <xf numFmtId="0" fontId="63" fillId="5" borderId="20" xfId="0" applyFont="1" applyFill="1" applyBorder="1" applyAlignment="1">
      <alignment horizontal="center" vertical="center"/>
    </xf>
    <xf numFmtId="0" fontId="63" fillId="5" borderId="21" xfId="0" applyFont="1" applyFill="1" applyBorder="1" applyAlignment="1">
      <alignment horizontal="center" vertical="center"/>
    </xf>
    <xf numFmtId="0" fontId="63" fillId="5" borderId="22" xfId="0" applyFont="1" applyFill="1" applyBorder="1" applyAlignment="1">
      <alignment horizontal="center"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15" borderId="23" xfId="0" applyFont="1" applyFill="1" applyBorder="1" applyAlignment="1">
      <alignment horizontal="center" wrapText="1"/>
    </xf>
    <xf numFmtId="0" fontId="3" fillId="15" borderId="24" xfId="0" applyFont="1" applyFill="1" applyBorder="1" applyAlignment="1">
      <alignment horizontal="center" wrapText="1"/>
    </xf>
    <xf numFmtId="0" fontId="2" fillId="5" borderId="9" xfId="0" applyFont="1" applyFill="1" applyBorder="1" applyAlignment="1">
      <alignment horizontal="left"/>
    </xf>
    <xf numFmtId="0" fontId="63" fillId="5" borderId="10" xfId="0" applyFont="1" applyFill="1" applyBorder="1" applyAlignment="1">
      <alignment horizontal="center"/>
    </xf>
    <xf numFmtId="0" fontId="3" fillId="28" borderId="10" xfId="0" applyFont="1" applyFill="1" applyBorder="1" applyAlignment="1">
      <alignment horizontal="left"/>
    </xf>
    <xf numFmtId="0" fontId="67" fillId="35" borderId="10" xfId="0" applyFont="1" applyFill="1" applyBorder="1" applyAlignment="1">
      <alignment horizontal="center"/>
    </xf>
    <xf numFmtId="0" fontId="67" fillId="35" borderId="12" xfId="0" applyFont="1" applyFill="1" applyBorder="1" applyAlignment="1">
      <alignment horizontal="center"/>
    </xf>
    <xf numFmtId="0" fontId="57" fillId="3" borderId="9" xfId="0" applyFont="1" applyFill="1" applyBorder="1" applyAlignment="1">
      <alignment horizontal="left"/>
    </xf>
    <xf numFmtId="0" fontId="93" fillId="25" borderId="9" xfId="0" applyFont="1" applyFill="1" applyBorder="1" applyAlignment="1">
      <alignment horizontal="left"/>
    </xf>
    <xf numFmtId="0" fontId="6" fillId="2" borderId="34" xfId="0" applyFont="1" applyFill="1" applyBorder="1" applyAlignment="1">
      <alignment horizontal="left"/>
    </xf>
    <xf numFmtId="0" fontId="6" fillId="2" borderId="33" xfId="0" applyFont="1" applyFill="1" applyBorder="1" applyAlignment="1">
      <alignment horizontal="left"/>
    </xf>
    <xf numFmtId="0" fontId="58" fillId="2" borderId="33" xfId="0" applyFont="1" applyFill="1" applyBorder="1" applyAlignment="1">
      <alignment horizontal="left"/>
    </xf>
    <xf numFmtId="0" fontId="58" fillId="2" borderId="47" xfId="0" applyFont="1" applyFill="1" applyBorder="1" applyAlignment="1">
      <alignment horizontal="left"/>
    </xf>
    <xf numFmtId="0" fontId="43" fillId="21" borderId="10" xfId="0" applyFont="1" applyFill="1" applyBorder="1" applyAlignment="1">
      <alignment horizontal="center"/>
    </xf>
    <xf numFmtId="0" fontId="43" fillId="21" borderId="12" xfId="0" applyFont="1" applyFill="1" applyBorder="1" applyAlignment="1">
      <alignment horizontal="center"/>
    </xf>
    <xf numFmtId="0" fontId="82" fillId="35" borderId="9" xfId="0" applyFont="1" applyFill="1" applyBorder="1" applyAlignment="1">
      <alignment horizontal="center"/>
    </xf>
    <xf numFmtId="0" fontId="6" fillId="2" borderId="32" xfId="0" applyFont="1" applyFill="1" applyBorder="1" applyAlignment="1">
      <alignment horizontal="left"/>
    </xf>
    <xf numFmtId="0" fontId="6" fillId="2" borderId="9" xfId="0" applyFont="1" applyFill="1" applyBorder="1" applyAlignment="1">
      <alignment horizontal="left"/>
    </xf>
    <xf numFmtId="0" fontId="58" fillId="2" borderId="9" xfId="0" applyFont="1" applyFill="1" applyBorder="1" applyAlignment="1">
      <alignment horizontal="left"/>
    </xf>
    <xf numFmtId="0" fontId="58" fillId="2" borderId="46" xfId="0" applyFont="1" applyFill="1" applyBorder="1" applyAlignment="1">
      <alignment horizontal="left"/>
    </xf>
    <xf numFmtId="0" fontId="43" fillId="21" borderId="20" xfId="0" applyFont="1" applyFill="1" applyBorder="1" applyAlignment="1">
      <alignment horizontal="center"/>
    </xf>
    <xf numFmtId="0" fontId="43" fillId="21" borderId="21" xfId="0" applyFont="1" applyFill="1" applyBorder="1" applyAlignment="1">
      <alignment horizontal="center"/>
    </xf>
    <xf numFmtId="0" fontId="43" fillId="21" borderId="22" xfId="0" applyFont="1" applyFill="1" applyBorder="1" applyAlignment="1">
      <alignment horizontal="center"/>
    </xf>
    <xf numFmtId="0" fontId="6" fillId="2" borderId="31" xfId="0" applyFont="1" applyFill="1" applyBorder="1" applyAlignment="1">
      <alignment horizontal="left"/>
    </xf>
    <xf numFmtId="0" fontId="6" fillId="2" borderId="50" xfId="0" applyFont="1" applyFill="1" applyBorder="1" applyAlignment="1">
      <alignment horizontal="left"/>
    </xf>
    <xf numFmtId="0" fontId="58" fillId="2" borderId="50" xfId="0" applyFont="1" applyFill="1" applyBorder="1" applyAlignment="1">
      <alignment horizontal="left"/>
    </xf>
    <xf numFmtId="0" fontId="58" fillId="2" borderId="45" xfId="0" applyFont="1" applyFill="1" applyBorder="1" applyAlignment="1">
      <alignment horizontal="left"/>
    </xf>
    <xf numFmtId="0" fontId="43" fillId="21" borderId="9" xfId="0" applyFont="1" applyFill="1" applyBorder="1" applyAlignment="1">
      <alignment horizontal="center"/>
    </xf>
    <xf numFmtId="0" fontId="92" fillId="0" borderId="32" xfId="0" applyFont="1" applyBorder="1" applyAlignment="1">
      <alignment horizontal="left"/>
    </xf>
    <xf numFmtId="0" fontId="92" fillId="0" borderId="9" xfId="0" applyFont="1" applyBorder="1" applyAlignment="1">
      <alignment horizontal="left"/>
    </xf>
    <xf numFmtId="0" fontId="92" fillId="0" borderId="10" xfId="0" applyFont="1" applyBorder="1" applyAlignment="1">
      <alignment horizontal="left"/>
    </xf>
    <xf numFmtId="0" fontId="92" fillId="0" borderId="46" xfId="0" applyFont="1" applyBorder="1" applyAlignment="1">
      <alignment horizontal="left"/>
    </xf>
    <xf numFmtId="0" fontId="92" fillId="0" borderId="34" xfId="0" applyFont="1" applyBorder="1" applyAlignment="1">
      <alignment horizontal="left"/>
    </xf>
    <xf numFmtId="0" fontId="92" fillId="0" borderId="33" xfId="0" applyFont="1" applyBorder="1" applyAlignment="1">
      <alignment horizontal="left"/>
    </xf>
    <xf numFmtId="0" fontId="92" fillId="0" borderId="59" xfId="0" applyFont="1" applyBorder="1" applyAlignment="1">
      <alignment horizontal="left"/>
    </xf>
    <xf numFmtId="0" fontId="92" fillId="0" borderId="47" xfId="0" applyFont="1" applyBorder="1" applyAlignment="1">
      <alignment horizontal="left"/>
    </xf>
    <xf numFmtId="0" fontId="67" fillId="21" borderId="9" xfId="0" applyFont="1" applyFill="1" applyBorder="1" applyAlignment="1">
      <alignment horizontal="center"/>
    </xf>
    <xf numFmtId="0" fontId="92" fillId="0" borderId="31" xfId="0" applyFont="1" applyBorder="1" applyAlignment="1">
      <alignment horizontal="left"/>
    </xf>
    <xf numFmtId="0" fontId="92" fillId="0" borderId="50" xfId="0" applyFont="1" applyBorder="1" applyAlignment="1">
      <alignment horizontal="left"/>
    </xf>
    <xf numFmtId="0" fontId="92" fillId="0" borderId="58" xfId="0" applyFont="1" applyBorder="1" applyAlignment="1">
      <alignment horizontal="left"/>
    </xf>
    <xf numFmtId="0" fontId="92" fillId="0" borderId="45" xfId="0" applyFont="1" applyBorder="1" applyAlignment="1">
      <alignment horizontal="left"/>
    </xf>
    <xf numFmtId="0" fontId="6" fillId="0" borderId="1" xfId="13" applyFont="1" applyBorder="1" applyAlignment="1">
      <alignment horizontal="center"/>
    </xf>
    <xf numFmtId="0" fontId="6" fillId="0" borderId="2" xfId="13" applyFont="1" applyBorder="1" applyAlignment="1">
      <alignment horizontal="center"/>
    </xf>
    <xf numFmtId="0" fontId="6" fillId="0" borderId="3" xfId="13" applyFont="1" applyBorder="1" applyAlignment="1">
      <alignment horizontal="center"/>
    </xf>
    <xf numFmtId="15" fontId="98" fillId="36" borderId="58" xfId="13" applyNumberFormat="1" applyFont="1" applyFill="1" applyBorder="1" applyAlignment="1">
      <alignment horizontal="left"/>
    </xf>
    <xf numFmtId="15" fontId="98" fillId="36" borderId="69" xfId="13" applyNumberFormat="1" applyFont="1" applyFill="1" applyBorder="1" applyAlignment="1">
      <alignment horizontal="left"/>
    </xf>
    <xf numFmtId="15" fontId="98" fillId="36" borderId="70" xfId="13" applyNumberFormat="1" applyFont="1" applyFill="1" applyBorder="1" applyAlignment="1">
      <alignment horizontal="left"/>
    </xf>
    <xf numFmtId="0" fontId="99" fillId="17" borderId="71" xfId="14" applyFill="1" applyBorder="1" applyAlignment="1">
      <alignment horizontal="left" vertical="top" wrapText="1"/>
    </xf>
    <xf numFmtId="0" fontId="99" fillId="17" borderId="73" xfId="14" applyFill="1" applyBorder="1" applyAlignment="1">
      <alignment horizontal="left" vertical="top" wrapText="1"/>
    </xf>
    <xf numFmtId="0" fontId="99" fillId="17" borderId="76" xfId="14" applyFill="1" applyBorder="1" applyAlignment="1">
      <alignment horizontal="left" vertical="top" wrapText="1"/>
    </xf>
    <xf numFmtId="0" fontId="99" fillId="36" borderId="10" xfId="14" applyFill="1" applyBorder="1" applyAlignment="1">
      <alignment horizontal="left"/>
    </xf>
    <xf numFmtId="0" fontId="99" fillId="36" borderId="11" xfId="14" applyFill="1" applyBorder="1" applyAlignment="1">
      <alignment horizontal="left"/>
    </xf>
    <xf numFmtId="0" fontId="99" fillId="36" borderId="72" xfId="14" applyFill="1" applyBorder="1" applyAlignment="1">
      <alignment horizontal="left"/>
    </xf>
    <xf numFmtId="0" fontId="59" fillId="36" borderId="10" xfId="13" applyFont="1" applyFill="1" applyBorder="1" applyAlignment="1">
      <alignment horizontal="left"/>
    </xf>
    <xf numFmtId="0" fontId="59" fillId="36" borderId="11" xfId="13" applyFont="1" applyFill="1" applyBorder="1" applyAlignment="1">
      <alignment horizontal="left"/>
    </xf>
    <xf numFmtId="0" fontId="59" fillId="36" borderId="12" xfId="13" applyFont="1" applyFill="1" applyBorder="1" applyAlignment="1">
      <alignment horizontal="left"/>
    </xf>
    <xf numFmtId="0" fontId="59" fillId="36" borderId="72" xfId="13" applyFont="1" applyFill="1" applyBorder="1" applyAlignment="1">
      <alignment horizontal="left"/>
    </xf>
    <xf numFmtId="15" fontId="99" fillId="36" borderId="10" xfId="14" applyNumberFormat="1" applyFill="1" applyBorder="1" applyAlignment="1">
      <alignment horizontal="left"/>
    </xf>
    <xf numFmtId="15" fontId="99" fillId="36" borderId="11" xfId="14" applyNumberFormat="1" applyFill="1" applyBorder="1" applyAlignment="1">
      <alignment horizontal="left"/>
    </xf>
    <xf numFmtId="15" fontId="99" fillId="36" borderId="72" xfId="14" applyNumberFormat="1" applyFill="1" applyBorder="1" applyAlignment="1">
      <alignment horizontal="left"/>
    </xf>
    <xf numFmtId="0" fontId="99" fillId="36" borderId="10" xfId="14" applyFill="1" applyBorder="1"/>
    <xf numFmtId="0" fontId="99" fillId="36" borderId="11" xfId="14" applyFill="1" applyBorder="1"/>
    <xf numFmtId="0" fontId="99" fillId="36" borderId="72" xfId="14" applyFill="1" applyBorder="1"/>
    <xf numFmtId="0" fontId="99" fillId="36" borderId="54" xfId="14" applyFill="1" applyBorder="1" applyAlignment="1">
      <alignment horizontal="left"/>
    </xf>
    <xf numFmtId="0" fontId="99" fillId="36" borderId="37" xfId="14" applyFill="1" applyBorder="1" applyAlignment="1">
      <alignment horizontal="left"/>
    </xf>
    <xf numFmtId="0" fontId="99" fillId="36" borderId="75" xfId="14" applyFill="1" applyBorder="1" applyAlignment="1">
      <alignment horizontal="left"/>
    </xf>
  </cellXfs>
  <cellStyles count="21">
    <cellStyle name="Hipervínculo" xfId="11" builtinId="8"/>
    <cellStyle name="Hipervínculo 2" xfId="14" xr:uid="{A949DC08-34DD-4C64-A01B-C7918C14D001}"/>
    <cellStyle name="Millares" xfId="9" builtinId="3"/>
    <cellStyle name="Millares [0]" xfId="1" builtinId="6"/>
    <cellStyle name="Millares [0] 2" xfId="7" xr:uid="{00000000-0005-0000-0000-000001000000}"/>
    <cellStyle name="Millares [0] 2 2" xfId="8" xr:uid="{00000000-0005-0000-0000-000002000000}"/>
    <cellStyle name="Millares [0] 2 2 2" xfId="19" xr:uid="{00000000-0005-0000-0000-000002000000}"/>
    <cellStyle name="Millares [0] 2 3" xfId="18" xr:uid="{00000000-0005-0000-0000-000001000000}"/>
    <cellStyle name="Millares [0] 3" xfId="16" xr:uid="{00000000-0005-0000-0000-00003C000000}"/>
    <cellStyle name="Millares 2" xfId="6" xr:uid="{00000000-0005-0000-0000-000003000000}"/>
    <cellStyle name="Millares 2 2" xfId="12" xr:uid="{BF743013-DCE6-49D3-A8B9-2E044D9AA7F7}"/>
    <cellStyle name="Millares 2 3" xfId="17" xr:uid="{00000000-0005-0000-0000-000003000000}"/>
    <cellStyle name="Millares 3" xfId="20" xr:uid="{00000000-0005-0000-0000-00003B000000}"/>
    <cellStyle name="Moneda" xfId="3" builtinId="4"/>
    <cellStyle name="Normal" xfId="0" builtinId="0"/>
    <cellStyle name="Normal 2" xfId="13" xr:uid="{36B35CF0-51E2-4AA1-BF4C-1951ABF31501}"/>
    <cellStyle name="Normal 2 2" xfId="4" xr:uid="{00000000-0005-0000-0000-000006000000}"/>
    <cellStyle name="Normal_TALLER No 7 MODELOS VT_FCLO" xfId="5" xr:uid="{00000000-0005-0000-0000-000007000000}"/>
    <cellStyle name="Porcentaje" xfId="2" builtinId="5"/>
    <cellStyle name="Porcentaje 2" xfId="10" xr:uid="{6B111ABC-5AF1-42CD-8F00-EAE69F1EACDD}"/>
    <cellStyle name="Porcentaje 3" xfId="15" xr:uid="{CBC83AF4-D415-4176-89E1-7C635F6DF24C}"/>
  </cellStyles>
  <dxfs count="26">
    <dxf>
      <font>
        <color theme="0"/>
      </font>
      <fill>
        <patternFill>
          <bgColor rgb="FF00B050"/>
        </patternFill>
      </fill>
    </dxf>
    <dxf>
      <font>
        <color theme="0"/>
      </font>
      <fill>
        <patternFill>
          <bgColor theme="1" tint="0.499984740745262"/>
        </patternFill>
      </fill>
    </dxf>
    <dxf>
      <font>
        <color theme="0"/>
      </font>
      <fill>
        <patternFill>
          <bgColor rgb="FFFF0000"/>
        </patternFill>
      </fill>
    </dxf>
    <dxf>
      <font>
        <color theme="0"/>
      </font>
      <fill>
        <patternFill>
          <bgColor rgb="FF00B050"/>
        </patternFill>
      </fill>
    </dxf>
    <dxf>
      <font>
        <color theme="0"/>
      </font>
      <fill>
        <patternFill>
          <bgColor theme="1" tint="0.499984740745262"/>
        </patternFill>
      </fill>
    </dxf>
    <dxf>
      <font>
        <color theme="0"/>
      </font>
      <fill>
        <patternFill>
          <bgColor rgb="FFFF0000"/>
        </patternFill>
      </fill>
    </dxf>
    <dxf>
      <numFmt numFmtId="2" formatCode="0.00"/>
      <border diagonalUp="0" diagonalDown="0">
        <left style="thin">
          <color indexed="64"/>
        </left>
        <right style="thin">
          <color indexed="64"/>
        </right>
        <top style="thin">
          <color indexed="64"/>
        </top>
        <bottom style="thin">
          <color indexed="64"/>
        </bottom>
      </border>
    </dxf>
    <dxf>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numFmt numFmtId="14"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Verdana"/>
        <family val="2"/>
        <scheme val="none"/>
      </font>
      <numFmt numFmtId="1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family val="2"/>
        <scheme val="none"/>
      </font>
      <numFmt numFmtId="185" formatCode="0.0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scheme val="none"/>
      </font>
      <numFmt numFmtId="1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scheme val="none"/>
      </font>
      <numFmt numFmtId="1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scheme val="none"/>
      </font>
      <numFmt numFmtId="1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strike val="0"/>
        <condense val="0"/>
        <extend val="0"/>
        <outline val="0"/>
        <shadow val="0"/>
        <u val="none"/>
        <vertAlign val="baseline"/>
        <sz val="10"/>
        <color auto="1"/>
        <name val="Verdana"/>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6600"/>
      <color rgb="FFED9391"/>
      <color rgb="FFEFFE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PROYECCIÓN ACTIVO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cat>
            <c:numRef>
              <c:f>Proyecciones!$F$38:$O$38</c:f>
              <c:numCache>
                <c:formatCode>General</c:formatCode>
                <c:ptCount val="10"/>
                <c:pt idx="0">
                  <c:v>2018</c:v>
                </c:pt>
                <c:pt idx="1">
                  <c:v>2019</c:v>
                </c:pt>
                <c:pt idx="2">
                  <c:v>2020</c:v>
                </c:pt>
                <c:pt idx="3">
                  <c:v>2021</c:v>
                </c:pt>
                <c:pt idx="4">
                  <c:v>2022</c:v>
                </c:pt>
                <c:pt idx="5">
                  <c:v>2023</c:v>
                </c:pt>
                <c:pt idx="6">
                  <c:v>2024</c:v>
                </c:pt>
                <c:pt idx="7">
                  <c:v>2025</c:v>
                </c:pt>
                <c:pt idx="8">
                  <c:v>2026</c:v>
                </c:pt>
                <c:pt idx="9">
                  <c:v>2027</c:v>
                </c:pt>
              </c:numCache>
            </c:numRef>
          </c:cat>
          <c:val>
            <c:numRef>
              <c:f>Proyecciones!$F$47:$O$47</c:f>
              <c:numCache>
                <c:formatCode>_(* #,##0_);_(* \(#,##0\);_(* "-"_);_(@_)</c:formatCode>
                <c:ptCount val="10"/>
                <c:pt idx="0">
                  <c:v>1172264.5150000001</c:v>
                </c:pt>
                <c:pt idx="1">
                  <c:v>1384963.1740000001</c:v>
                </c:pt>
                <c:pt idx="2">
                  <c:v>1098404.183</c:v>
                </c:pt>
                <c:pt idx="3">
                  <c:v>1358052.1520000002</c:v>
                </c:pt>
                <c:pt idx="4">
                  <c:v>1685927.0279999999</c:v>
                </c:pt>
                <c:pt idx="5">
                  <c:v>1736504.8388399999</c:v>
                </c:pt>
                <c:pt idx="6">
                  <c:v>1788599.9840052</c:v>
                </c:pt>
                <c:pt idx="7">
                  <c:v>1842257.983525356</c:v>
                </c:pt>
                <c:pt idx="8">
                  <c:v>1897525.7230311169</c:v>
                </c:pt>
                <c:pt idx="9">
                  <c:v>1954451.4947220504</c:v>
                </c:pt>
              </c:numCache>
            </c:numRef>
          </c:val>
          <c:smooth val="0"/>
          <c:extLst>
            <c:ext xmlns:c16="http://schemas.microsoft.com/office/drawing/2014/chart" uri="{C3380CC4-5D6E-409C-BE32-E72D297353CC}">
              <c16:uniqueId val="{00000000-55D2-4A52-BC6D-A7FE62EDFE8C}"/>
            </c:ext>
          </c:extLst>
        </c:ser>
        <c:dLbls>
          <c:showLegendKey val="0"/>
          <c:showVal val="0"/>
          <c:showCatName val="0"/>
          <c:showSerName val="0"/>
          <c:showPercent val="0"/>
          <c:showBubbleSize val="0"/>
        </c:dLbls>
        <c:smooth val="0"/>
        <c:axId val="1380935184"/>
        <c:axId val="1014988464"/>
      </c:lineChart>
      <c:catAx>
        <c:axId val="1380935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14988464"/>
        <c:crosses val="autoZero"/>
        <c:auto val="1"/>
        <c:lblAlgn val="ctr"/>
        <c:lblOffset val="100"/>
        <c:noMultiLvlLbl val="0"/>
      </c:catAx>
      <c:valAx>
        <c:axId val="1014988464"/>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80935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PROYECCIÓN PATRIMONIO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cat>
            <c:numRef>
              <c:f>'Proyecciones + Estrategia'!$F$66:$O$66</c:f>
              <c:numCache>
                <c:formatCode>General</c:formatCode>
                <c:ptCount val="10"/>
                <c:pt idx="0">
                  <c:v>2018</c:v>
                </c:pt>
                <c:pt idx="1">
                  <c:v>2019</c:v>
                </c:pt>
                <c:pt idx="2">
                  <c:v>2020</c:v>
                </c:pt>
                <c:pt idx="3">
                  <c:v>2021</c:v>
                </c:pt>
                <c:pt idx="4">
                  <c:v>2022</c:v>
                </c:pt>
                <c:pt idx="5">
                  <c:v>2023</c:v>
                </c:pt>
                <c:pt idx="6">
                  <c:v>2024</c:v>
                </c:pt>
                <c:pt idx="7">
                  <c:v>2025</c:v>
                </c:pt>
                <c:pt idx="8">
                  <c:v>2026</c:v>
                </c:pt>
                <c:pt idx="9">
                  <c:v>2027</c:v>
                </c:pt>
              </c:numCache>
            </c:numRef>
          </c:cat>
          <c:val>
            <c:numRef>
              <c:f>'Proyecciones + Estrategia'!$F$60:$O$60</c:f>
              <c:numCache>
                <c:formatCode>_(* #,##0_);_(* \(#,##0\);_(* "-"_);_(@_)</c:formatCode>
                <c:ptCount val="10"/>
                <c:pt idx="0">
                  <c:v>252392.95600000001</c:v>
                </c:pt>
                <c:pt idx="1">
                  <c:v>375020.69900000002</c:v>
                </c:pt>
                <c:pt idx="2">
                  <c:v>483208.02499999997</c:v>
                </c:pt>
                <c:pt idx="3">
                  <c:v>508640.81999999995</c:v>
                </c:pt>
                <c:pt idx="4">
                  <c:v>475630.01199999993</c:v>
                </c:pt>
                <c:pt idx="5" formatCode="_-* #,##0_-;\-* #,##0_-;_-* &quot;-&quot;??_-;_-@_-">
                  <c:v>489532.89646530221</c:v>
                </c:pt>
                <c:pt idx="6" formatCode="_-* #,##0_-;\-* #,##0_-;_-* &quot;-&quot;??_-;_-@_-">
                  <c:v>529118.30311252794</c:v>
                </c:pt>
                <c:pt idx="7" formatCode="_-* #,##0_-;\-* #,##0_-;_-* &quot;-&quot;??_-;_-@_-">
                  <c:v>571258.35606650042</c:v>
                </c:pt>
                <c:pt idx="8" formatCode="_-* #,##0_-;\-* #,##0_-;_-* &quot;-&quot;??_-;_-@_-">
                  <c:v>614500.84370094258</c:v>
                </c:pt>
                <c:pt idx="9" formatCode="_-* #,##0_-;\-* #,##0_-;_-* &quot;-&quot;??_-;_-@_-">
                  <c:v>658189.13773126784</c:v>
                </c:pt>
              </c:numCache>
            </c:numRef>
          </c:val>
          <c:smooth val="0"/>
          <c:extLst>
            <c:ext xmlns:c16="http://schemas.microsoft.com/office/drawing/2014/chart" uri="{C3380CC4-5D6E-409C-BE32-E72D297353CC}">
              <c16:uniqueId val="{00000000-5C94-484A-9386-5C96054DDE35}"/>
            </c:ext>
          </c:extLst>
        </c:ser>
        <c:dLbls>
          <c:showLegendKey val="0"/>
          <c:showVal val="0"/>
          <c:showCatName val="0"/>
          <c:showSerName val="0"/>
          <c:showPercent val="0"/>
          <c:showBubbleSize val="0"/>
        </c:dLbls>
        <c:smooth val="0"/>
        <c:axId val="2076900432"/>
        <c:axId val="2076895440"/>
      </c:lineChart>
      <c:catAx>
        <c:axId val="207690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76895440"/>
        <c:crosses val="autoZero"/>
        <c:auto val="1"/>
        <c:lblAlgn val="ctr"/>
        <c:lblOffset val="100"/>
        <c:noMultiLvlLbl val="0"/>
      </c:catAx>
      <c:valAx>
        <c:axId val="2076895440"/>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769004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PROYECCIÓN VENTAS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cat>
            <c:numRef>
              <c:f>'Proyecciones + Estrategia'!$F$66:$O$66</c:f>
              <c:numCache>
                <c:formatCode>General</c:formatCode>
                <c:ptCount val="10"/>
                <c:pt idx="0">
                  <c:v>2018</c:v>
                </c:pt>
                <c:pt idx="1">
                  <c:v>2019</c:v>
                </c:pt>
                <c:pt idx="2">
                  <c:v>2020</c:v>
                </c:pt>
                <c:pt idx="3">
                  <c:v>2021</c:v>
                </c:pt>
                <c:pt idx="4">
                  <c:v>2022</c:v>
                </c:pt>
                <c:pt idx="5">
                  <c:v>2023</c:v>
                </c:pt>
                <c:pt idx="6">
                  <c:v>2024</c:v>
                </c:pt>
                <c:pt idx="7">
                  <c:v>2025</c:v>
                </c:pt>
                <c:pt idx="8">
                  <c:v>2026</c:v>
                </c:pt>
                <c:pt idx="9">
                  <c:v>2027</c:v>
                </c:pt>
              </c:numCache>
            </c:numRef>
          </c:cat>
          <c:val>
            <c:numRef>
              <c:f>'Proyecciones + Estrategia'!$F$68:$O$68</c:f>
              <c:numCache>
                <c:formatCode>_-* #,##0_-;\-* #,##0_-;_-* "-"??_-;_-@_-</c:formatCode>
                <c:ptCount val="10"/>
                <c:pt idx="0">
                  <c:v>5437074.3200000003</c:v>
                </c:pt>
                <c:pt idx="1">
                  <c:v>5760384.8439999996</c:v>
                </c:pt>
                <c:pt idx="2">
                  <c:v>5973143.3619999997</c:v>
                </c:pt>
                <c:pt idx="3">
                  <c:v>4665256.33</c:v>
                </c:pt>
                <c:pt idx="4">
                  <c:v>6088081.801</c:v>
                </c:pt>
                <c:pt idx="5">
                  <c:v>6271114.9830300007</c:v>
                </c:pt>
                <c:pt idx="6">
                  <c:v>6523909.1017289013</c:v>
                </c:pt>
                <c:pt idx="7">
                  <c:v>6730271.2591818878</c:v>
                </c:pt>
                <c:pt idx="8">
                  <c:v>6942801.1783308471</c:v>
                </c:pt>
                <c:pt idx="9">
                  <c:v>7161651.3665522644</c:v>
                </c:pt>
              </c:numCache>
            </c:numRef>
          </c:val>
          <c:smooth val="0"/>
          <c:extLst>
            <c:ext xmlns:c16="http://schemas.microsoft.com/office/drawing/2014/chart" uri="{C3380CC4-5D6E-409C-BE32-E72D297353CC}">
              <c16:uniqueId val="{00000000-8BCE-4A26-B052-18CBCDDF14C9}"/>
            </c:ext>
          </c:extLst>
        </c:ser>
        <c:dLbls>
          <c:showLegendKey val="0"/>
          <c:showVal val="0"/>
          <c:showCatName val="0"/>
          <c:showSerName val="0"/>
          <c:showPercent val="0"/>
          <c:showBubbleSize val="0"/>
        </c:dLbls>
        <c:smooth val="0"/>
        <c:axId val="2077550256"/>
        <c:axId val="2077552752"/>
      </c:lineChart>
      <c:catAx>
        <c:axId val="2077550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77552752"/>
        <c:crosses val="autoZero"/>
        <c:auto val="1"/>
        <c:lblAlgn val="ctr"/>
        <c:lblOffset val="100"/>
        <c:noMultiLvlLbl val="0"/>
      </c:catAx>
      <c:valAx>
        <c:axId val="2077552752"/>
        <c:scaling>
          <c:orientation val="minMax"/>
        </c:scaling>
        <c:delete val="0"/>
        <c:axPos val="l"/>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775502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Altman index</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lineChart>
        <c:grouping val="standard"/>
        <c:varyColors val="0"/>
        <c:ser>
          <c:idx val="0"/>
          <c:order val="0"/>
          <c:spPr>
            <a:ln w="34925" cap="rnd">
              <a:solidFill>
                <a:schemeClr val="accent1"/>
              </a:solidFill>
              <a:round/>
            </a:ln>
            <a:effectLst>
              <a:outerShdw blurRad="57150" dist="19050" dir="5400000" algn="ctr" rotWithShape="0">
                <a:srgbClr val="000000">
                  <a:alpha val="63000"/>
                </a:srgbClr>
              </a:outerShdw>
            </a:effectLst>
          </c:spPr>
          <c:marker>
            <c:symbol val="none"/>
          </c:marker>
          <c:val>
            <c:numRef>
              <c:f>'[1]Predictor de Quiebra Altman'!$D$63:$H$63</c:f>
              <c:numCache>
                <c:formatCode>General</c:formatCode>
                <c:ptCount val="5"/>
                <c:pt idx="0">
                  <c:v>0</c:v>
                </c:pt>
                <c:pt idx="1">
                  <c:v>0</c:v>
                </c:pt>
                <c:pt idx="2">
                  <c:v>0</c:v>
                </c:pt>
                <c:pt idx="3">
                  <c:v>0</c:v>
                </c:pt>
                <c:pt idx="4">
                  <c:v>0</c:v>
                </c:pt>
              </c:numCache>
            </c:numRef>
          </c:val>
          <c:smooth val="0"/>
          <c:extLst>
            <c:ext xmlns:c15="http://schemas.microsoft.com/office/drawing/2012/chart" uri="{02D57815-91ED-43cb-92C2-25804820EDAC}">
              <c15:filteredCategoryTitle>
                <c15:cat>
                  <c:numRef>
                    <c:extLst>
                      <c:ext uri="{02D57815-91ED-43cb-92C2-25804820EDAC}">
                        <c15:formulaRef>
                          <c15:sqref>'[1]Predictor de Quiebra Altman'!$D$40:$H$40</c15:sqref>
                        </c15:formulaRef>
                      </c:ext>
                    </c:extLst>
                    <c:numCache>
                      <c:formatCode>General</c:formatCode>
                      <c:ptCount val="5"/>
                      <c:pt idx="0">
                        <c:v>2017</c:v>
                      </c:pt>
                      <c:pt idx="1">
                        <c:v>2018</c:v>
                      </c:pt>
                      <c:pt idx="2">
                        <c:v>2019</c:v>
                      </c:pt>
                      <c:pt idx="3">
                        <c:v>2020</c:v>
                      </c:pt>
                      <c:pt idx="4">
                        <c:v>2021</c:v>
                      </c:pt>
                    </c:numCache>
                  </c:numRef>
                </c15:cat>
              </c15:filteredCategoryTitle>
            </c:ext>
            <c:ext xmlns:c16="http://schemas.microsoft.com/office/drawing/2014/chart" uri="{C3380CC4-5D6E-409C-BE32-E72D297353CC}">
              <c16:uniqueId val="{00000000-7A1D-4931-990A-C73EFCFE1F83}"/>
            </c:ext>
          </c:extLst>
        </c:ser>
        <c:ser>
          <c:idx val="1"/>
          <c:order val="1"/>
          <c:spPr>
            <a:ln w="34925" cap="rnd">
              <a:solidFill>
                <a:schemeClr val="accent2"/>
              </a:solidFill>
              <a:round/>
            </a:ln>
            <a:effectLst>
              <a:outerShdw blurRad="57150" dist="19050" dir="5400000" algn="ctr" rotWithShape="0">
                <a:srgbClr val="000000">
                  <a:alpha val="63000"/>
                </a:srgbClr>
              </a:outerShdw>
            </a:effectLst>
          </c:spPr>
          <c:marker>
            <c:symbol val="none"/>
          </c:marker>
          <c:val>
            <c:numRef>
              <c:f>'[1]Predictor de Quiebra Altman'!$D$64:$H$64</c:f>
              <c:numCache>
                <c:formatCode>General</c:formatCode>
                <c:ptCount val="5"/>
                <c:pt idx="0">
                  <c:v>1.81</c:v>
                </c:pt>
                <c:pt idx="1">
                  <c:v>1.81</c:v>
                </c:pt>
                <c:pt idx="2">
                  <c:v>1.81</c:v>
                </c:pt>
                <c:pt idx="3">
                  <c:v>1.81</c:v>
                </c:pt>
                <c:pt idx="4">
                  <c:v>1.81</c:v>
                </c:pt>
              </c:numCache>
            </c:numRef>
          </c:val>
          <c:smooth val="0"/>
          <c:extLst>
            <c:ext xmlns:c15="http://schemas.microsoft.com/office/drawing/2012/chart" uri="{02D57815-91ED-43cb-92C2-25804820EDAC}">
              <c15:filteredCategoryTitle>
                <c15:cat>
                  <c:numRef>
                    <c:extLst>
                      <c:ext uri="{02D57815-91ED-43cb-92C2-25804820EDAC}">
                        <c15:formulaRef>
                          <c15:sqref>'[1]Predictor de Quiebra Altman'!$D$40:$H$40</c15:sqref>
                        </c15:formulaRef>
                      </c:ext>
                    </c:extLst>
                    <c:numCache>
                      <c:formatCode>General</c:formatCode>
                      <c:ptCount val="5"/>
                      <c:pt idx="0">
                        <c:v>2017</c:v>
                      </c:pt>
                      <c:pt idx="1">
                        <c:v>2018</c:v>
                      </c:pt>
                      <c:pt idx="2">
                        <c:v>2019</c:v>
                      </c:pt>
                      <c:pt idx="3">
                        <c:v>2020</c:v>
                      </c:pt>
                      <c:pt idx="4">
                        <c:v>2021</c:v>
                      </c:pt>
                    </c:numCache>
                  </c:numRef>
                </c15:cat>
              </c15:filteredCategoryTitle>
            </c:ext>
            <c:ext xmlns:c16="http://schemas.microsoft.com/office/drawing/2014/chart" uri="{C3380CC4-5D6E-409C-BE32-E72D297353CC}">
              <c16:uniqueId val="{00000001-7A1D-4931-990A-C73EFCFE1F83}"/>
            </c:ext>
          </c:extLst>
        </c:ser>
        <c:ser>
          <c:idx val="2"/>
          <c:order val="2"/>
          <c:spPr>
            <a:ln w="34925" cap="rnd">
              <a:solidFill>
                <a:schemeClr val="accent3"/>
              </a:solidFill>
              <a:round/>
            </a:ln>
            <a:effectLst>
              <a:outerShdw blurRad="57150" dist="19050" dir="5400000" algn="ctr" rotWithShape="0">
                <a:srgbClr val="000000">
                  <a:alpha val="63000"/>
                </a:srgbClr>
              </a:outerShdw>
            </a:effectLst>
          </c:spPr>
          <c:marker>
            <c:symbol val="none"/>
          </c:marker>
          <c:val>
            <c:numRef>
              <c:f>'[1]Predictor de Quiebra Altman'!$D$65:$H$65</c:f>
              <c:numCache>
                <c:formatCode>General</c:formatCode>
                <c:ptCount val="5"/>
                <c:pt idx="0">
                  <c:v>2.99</c:v>
                </c:pt>
                <c:pt idx="1">
                  <c:v>2.99</c:v>
                </c:pt>
                <c:pt idx="2">
                  <c:v>2.99</c:v>
                </c:pt>
                <c:pt idx="3">
                  <c:v>2.99</c:v>
                </c:pt>
                <c:pt idx="4">
                  <c:v>2.99</c:v>
                </c:pt>
              </c:numCache>
            </c:numRef>
          </c:val>
          <c:smooth val="0"/>
          <c:extLst>
            <c:ext xmlns:c15="http://schemas.microsoft.com/office/drawing/2012/chart" uri="{02D57815-91ED-43cb-92C2-25804820EDAC}">
              <c15:filteredCategoryTitle>
                <c15:cat>
                  <c:numRef>
                    <c:extLst>
                      <c:ext uri="{02D57815-91ED-43cb-92C2-25804820EDAC}">
                        <c15:formulaRef>
                          <c15:sqref>'[1]Predictor de Quiebra Altman'!$D$40:$H$40</c15:sqref>
                        </c15:formulaRef>
                      </c:ext>
                    </c:extLst>
                    <c:numCache>
                      <c:formatCode>General</c:formatCode>
                      <c:ptCount val="5"/>
                      <c:pt idx="0">
                        <c:v>2017</c:v>
                      </c:pt>
                      <c:pt idx="1">
                        <c:v>2018</c:v>
                      </c:pt>
                      <c:pt idx="2">
                        <c:v>2019</c:v>
                      </c:pt>
                      <c:pt idx="3">
                        <c:v>2020</c:v>
                      </c:pt>
                      <c:pt idx="4">
                        <c:v>2021</c:v>
                      </c:pt>
                    </c:numCache>
                  </c:numRef>
                </c15:cat>
              </c15:filteredCategoryTitle>
            </c:ext>
            <c:ext xmlns:c16="http://schemas.microsoft.com/office/drawing/2014/chart" uri="{C3380CC4-5D6E-409C-BE32-E72D297353CC}">
              <c16:uniqueId val="{00000002-7A1D-4931-990A-C73EFCFE1F83}"/>
            </c:ext>
          </c:extLst>
        </c:ser>
        <c:ser>
          <c:idx val="3"/>
          <c:order val="3"/>
          <c:spPr>
            <a:ln w="34925" cap="rnd">
              <a:solidFill>
                <a:schemeClr val="accent4"/>
              </a:solidFill>
              <a:round/>
            </a:ln>
            <a:effectLst>
              <a:outerShdw blurRad="57150" dist="19050" dir="5400000" algn="ctr" rotWithShape="0">
                <a:srgbClr val="000000">
                  <a:alpha val="63000"/>
                </a:srgbClr>
              </a:outerShd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'[1]Predictor de Quiebra Altman'!$D$66:$H$66</c:f>
              <c:numCache>
                <c:formatCode>General</c:formatCode>
                <c:ptCount val="5"/>
                <c:pt idx="0">
                  <c:v>1.4135869081272705</c:v>
                </c:pt>
                <c:pt idx="1">
                  <c:v>1.5960744626153009</c:v>
                </c:pt>
                <c:pt idx="2">
                  <c:v>1.8293456838085114</c:v>
                </c:pt>
                <c:pt idx="3">
                  <c:v>1.1087881140817215</c:v>
                </c:pt>
                <c:pt idx="4">
                  <c:v>1.5870564775439087</c:v>
                </c:pt>
              </c:numCache>
            </c:numRef>
          </c:val>
          <c:smooth val="0"/>
          <c:extLst>
            <c:ext xmlns:c15="http://schemas.microsoft.com/office/drawing/2012/chart" uri="{02D57815-91ED-43cb-92C2-25804820EDAC}">
              <c15:filteredCategoryTitle>
                <c15:cat>
                  <c:numRef>
                    <c:extLst>
                      <c:ext uri="{02D57815-91ED-43cb-92C2-25804820EDAC}">
                        <c15:formulaRef>
                          <c15:sqref>'[1]Predictor de Quiebra Altman'!$D$40:$H$40</c15:sqref>
                        </c15:formulaRef>
                      </c:ext>
                    </c:extLst>
                    <c:numCache>
                      <c:formatCode>General</c:formatCode>
                      <c:ptCount val="5"/>
                      <c:pt idx="0">
                        <c:v>2017</c:v>
                      </c:pt>
                      <c:pt idx="1">
                        <c:v>2018</c:v>
                      </c:pt>
                      <c:pt idx="2">
                        <c:v>2019</c:v>
                      </c:pt>
                      <c:pt idx="3">
                        <c:v>2020</c:v>
                      </c:pt>
                      <c:pt idx="4">
                        <c:v>2021</c:v>
                      </c:pt>
                    </c:numCache>
                  </c:numRef>
                </c15:cat>
              </c15:filteredCategoryTitle>
            </c:ext>
            <c:ext xmlns:c16="http://schemas.microsoft.com/office/drawing/2014/chart" uri="{C3380CC4-5D6E-409C-BE32-E72D297353CC}">
              <c16:uniqueId val="{00000003-7A1D-4931-990A-C73EFCFE1F83}"/>
            </c:ext>
          </c:extLst>
        </c:ser>
        <c:dLbls>
          <c:showLegendKey val="0"/>
          <c:showVal val="0"/>
          <c:showCatName val="0"/>
          <c:showSerName val="0"/>
          <c:showPercent val="0"/>
          <c:showBubbleSize val="0"/>
        </c:dLbls>
        <c:smooth val="0"/>
        <c:axId val="1404549392"/>
        <c:axId val="1395218960"/>
      </c:lineChart>
      <c:catAx>
        <c:axId val="1404549392"/>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395218960"/>
        <c:crosses val="autoZero"/>
        <c:auto val="1"/>
        <c:lblAlgn val="ctr"/>
        <c:lblOffset val="100"/>
        <c:noMultiLvlLbl val="0"/>
      </c:catAx>
      <c:valAx>
        <c:axId val="139521896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4045493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Altman</a:t>
            </a:r>
            <a:r>
              <a:rPr lang="es-CO" baseline="0"/>
              <a:t> Index servicios</a:t>
            </a:r>
            <a:endParaRPr lang="es-CO"/>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manualLayout>
          <c:layoutTarget val="inner"/>
          <c:xMode val="edge"/>
          <c:yMode val="edge"/>
          <c:x val="4.4011513367463957E-2"/>
          <c:y val="0.12640362936080993"/>
          <c:w val="0.92279444195779525"/>
          <c:h val="0.80436514426630634"/>
        </c:manualLayout>
      </c:layout>
      <c:lineChart>
        <c:grouping val="standard"/>
        <c:varyColors val="0"/>
        <c:ser>
          <c:idx val="0"/>
          <c:order val="0"/>
          <c:spPr>
            <a:ln w="34925" cap="rnd">
              <a:solidFill>
                <a:srgbClr val="FF0000"/>
              </a:solidFill>
              <a:round/>
            </a:ln>
            <a:effectLst>
              <a:outerShdw blurRad="57150" dist="19050" dir="5400000" algn="ctr" rotWithShape="0">
                <a:srgbClr val="000000">
                  <a:alpha val="63000"/>
                </a:srgbClr>
              </a:outerShdw>
            </a:effectLst>
          </c:spPr>
          <c:marker>
            <c:symbol val="none"/>
          </c:marker>
          <c:cat>
            <c:numRef>
              <c:f>'[1]Predictor de Quiebra Altman'!$D$82:$H$82</c:f>
              <c:numCache>
                <c:formatCode>General</c:formatCode>
                <c:ptCount val="5"/>
                <c:pt idx="0">
                  <c:v>2017</c:v>
                </c:pt>
                <c:pt idx="1">
                  <c:v>2018</c:v>
                </c:pt>
                <c:pt idx="2">
                  <c:v>2019</c:v>
                </c:pt>
                <c:pt idx="3">
                  <c:v>2020</c:v>
                </c:pt>
                <c:pt idx="4">
                  <c:v>2021</c:v>
                </c:pt>
              </c:numCache>
            </c:numRef>
          </c:cat>
          <c:val>
            <c:numRef>
              <c:f>'[1]Predictor de Quiebra Altman'!$D$102:$H$102</c:f>
              <c:numCache>
                <c:formatCode>General</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A9A3-4A42-8ED2-B7DA7EB2A4AB}"/>
            </c:ext>
          </c:extLst>
        </c:ser>
        <c:ser>
          <c:idx val="1"/>
          <c:order val="1"/>
          <c:spPr>
            <a:ln w="34925" cap="rnd">
              <a:solidFill>
                <a:schemeClr val="bg1">
                  <a:lumMod val="85000"/>
                </a:schemeClr>
              </a:solidFill>
              <a:round/>
            </a:ln>
            <a:effectLst>
              <a:outerShdw blurRad="57150" dist="19050" dir="5400000" algn="ctr" rotWithShape="0">
                <a:srgbClr val="000000">
                  <a:alpha val="63000"/>
                </a:srgbClr>
              </a:outerShdw>
            </a:effectLst>
          </c:spPr>
          <c:marker>
            <c:symbol val="none"/>
          </c:marker>
          <c:dLbls>
            <c:dLbl>
              <c:idx val="0"/>
              <c:layout>
                <c:manualLayout>
                  <c:x val="-7.6280524495494703E-2"/>
                  <c:y val="-3.52648865026020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A3-4A42-8ED2-B7DA7EB2A4AB}"/>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lt1">
                        <a:lumMod val="8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numRef>
              <c:f>'[1]Predictor de Quiebra Altman'!$D$82:$H$82</c:f>
              <c:numCache>
                <c:formatCode>General</c:formatCode>
                <c:ptCount val="5"/>
                <c:pt idx="0">
                  <c:v>2017</c:v>
                </c:pt>
                <c:pt idx="1">
                  <c:v>2018</c:v>
                </c:pt>
                <c:pt idx="2">
                  <c:v>2019</c:v>
                </c:pt>
                <c:pt idx="3">
                  <c:v>2020</c:v>
                </c:pt>
                <c:pt idx="4">
                  <c:v>2021</c:v>
                </c:pt>
              </c:numCache>
            </c:numRef>
          </c:cat>
          <c:val>
            <c:numRef>
              <c:f>'[1]Predictor de Quiebra Altman'!$D$103:$H$103</c:f>
              <c:numCache>
                <c:formatCode>General</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2-A9A3-4A42-8ED2-B7DA7EB2A4AB}"/>
            </c:ext>
          </c:extLst>
        </c:ser>
        <c:ser>
          <c:idx val="2"/>
          <c:order val="2"/>
          <c:spPr>
            <a:ln w="34925" cap="rnd">
              <a:solidFill>
                <a:schemeClr val="accent6">
                  <a:lumMod val="75000"/>
                </a:schemeClr>
              </a:solidFill>
              <a:round/>
            </a:ln>
            <a:effectLst>
              <a:outerShdw blurRad="57150" dist="19050" dir="5400000" algn="ctr" rotWithShape="0">
                <a:srgbClr val="000000">
                  <a:alpha val="63000"/>
                </a:srgbClr>
              </a:outerShdw>
            </a:effectLst>
          </c:spPr>
          <c:marker>
            <c:symbol val="none"/>
          </c:marker>
          <c:dLbls>
            <c:dLbl>
              <c:idx val="0"/>
              <c:layout>
                <c:manualLayout>
                  <c:x val="-7.1992084978427018E-2"/>
                  <c:y val="-1.34311323940974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A3-4A42-8ED2-B7DA7EB2A4AB}"/>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lt1">
                        <a:lumMod val="8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numRef>
              <c:f>'[1]Predictor de Quiebra Altman'!$D$82:$H$82</c:f>
              <c:numCache>
                <c:formatCode>General</c:formatCode>
                <c:ptCount val="5"/>
                <c:pt idx="0">
                  <c:v>2017</c:v>
                </c:pt>
                <c:pt idx="1">
                  <c:v>2018</c:v>
                </c:pt>
                <c:pt idx="2">
                  <c:v>2019</c:v>
                </c:pt>
                <c:pt idx="3">
                  <c:v>2020</c:v>
                </c:pt>
                <c:pt idx="4">
                  <c:v>2021</c:v>
                </c:pt>
              </c:numCache>
            </c:numRef>
          </c:cat>
          <c:val>
            <c:numRef>
              <c:f>'[1]Predictor de Quiebra Altman'!$D$104:$H$104</c:f>
              <c:numCache>
                <c:formatCode>General</c:formatCode>
                <c:ptCount val="5"/>
                <c:pt idx="0">
                  <c:v>2.6</c:v>
                </c:pt>
                <c:pt idx="1">
                  <c:v>2.6</c:v>
                </c:pt>
                <c:pt idx="2">
                  <c:v>2.6</c:v>
                </c:pt>
                <c:pt idx="3">
                  <c:v>2.6</c:v>
                </c:pt>
                <c:pt idx="4">
                  <c:v>2.6</c:v>
                </c:pt>
              </c:numCache>
            </c:numRef>
          </c:val>
          <c:smooth val="0"/>
          <c:extLst>
            <c:ext xmlns:c16="http://schemas.microsoft.com/office/drawing/2014/chart" uri="{C3380CC4-5D6E-409C-BE32-E72D297353CC}">
              <c16:uniqueId val="{00000004-A9A3-4A42-8ED2-B7DA7EB2A4AB}"/>
            </c:ext>
          </c:extLst>
        </c:ser>
        <c:ser>
          <c:idx val="3"/>
          <c:order val="3"/>
          <c:spPr>
            <a:ln w="34925" cap="rnd">
              <a:solidFill>
                <a:schemeClr val="accent4"/>
              </a:solidFill>
              <a:round/>
            </a:ln>
            <a:effectLst>
              <a:outerShdw blurRad="57150" dist="19050" dir="5400000" algn="ctr" rotWithShape="0">
                <a:srgbClr val="000000">
                  <a:alpha val="63000"/>
                </a:srgbClr>
              </a:outerShdw>
            </a:effectLst>
          </c:spPr>
          <c:marker>
            <c:symbol val="none"/>
          </c:marker>
          <c:dLbls>
            <c:dLbl>
              <c:idx val="0"/>
              <c:layout>
                <c:manualLayout>
                  <c:x val="-6.4326433859003551E-2"/>
                  <c:y val="0.1254192599028454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A3-4A42-8ED2-B7DA7EB2A4AB}"/>
                </c:ext>
              </c:extLst>
            </c:dLbl>
            <c:dLbl>
              <c:idx val="1"/>
              <c:layout>
                <c:manualLayout>
                  <c:x val="-7.2568659182176379E-2"/>
                  <c:y val="-6.8288420177710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A3-4A42-8ED2-B7DA7EB2A4AB}"/>
                </c:ext>
              </c:extLst>
            </c:dLbl>
            <c:dLbl>
              <c:idx val="2"/>
              <c:layout>
                <c:manualLayout>
                  <c:x val="-3.2163216929501852E-2"/>
                  <c:y val="-3.89117887459932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A3-4A42-8ED2-B7DA7EB2A4AB}"/>
                </c:ext>
              </c:extLst>
            </c:dLbl>
            <c:dLbl>
              <c:idx val="3"/>
              <c:layout>
                <c:manualLayout>
                  <c:x val="-8.2118517655580064E-2"/>
                  <c:y val="5.58695130847257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9A3-4A42-8ED2-B7DA7EB2A4AB}"/>
                </c:ext>
              </c:extLst>
            </c:dLbl>
            <c:dLbl>
              <c:idx val="4"/>
              <c:layout>
                <c:manualLayout>
                  <c:x val="-3.0019002467534989E-2"/>
                  <c:y val="5.42146967279083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81-4A39-8B0E-C3C914E1EE12}"/>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numRef>
              <c:f>'[1]Predictor de Quiebra Altman'!$D$82:$H$82</c:f>
              <c:numCache>
                <c:formatCode>General</c:formatCode>
                <c:ptCount val="5"/>
                <c:pt idx="0">
                  <c:v>2017</c:v>
                </c:pt>
                <c:pt idx="1">
                  <c:v>2018</c:v>
                </c:pt>
                <c:pt idx="2">
                  <c:v>2019</c:v>
                </c:pt>
                <c:pt idx="3">
                  <c:v>2020</c:v>
                </c:pt>
                <c:pt idx="4">
                  <c:v>2021</c:v>
                </c:pt>
              </c:numCache>
            </c:numRef>
          </c:cat>
          <c:val>
            <c:numRef>
              <c:f>'[1]Predictor de Quiebra Altman'!$D$105:$H$105</c:f>
              <c:numCache>
                <c:formatCode>General</c:formatCode>
                <c:ptCount val="5"/>
                <c:pt idx="0">
                  <c:v>2.8996291293096754</c:v>
                </c:pt>
                <c:pt idx="1">
                  <c:v>3.2827846412962125</c:v>
                </c:pt>
                <c:pt idx="2">
                  <c:v>3.5867262516372289</c:v>
                </c:pt>
                <c:pt idx="3">
                  <c:v>2.4200529608999535</c:v>
                </c:pt>
                <c:pt idx="4">
                  <c:v>2.4853286211889207</c:v>
                </c:pt>
              </c:numCache>
            </c:numRef>
          </c:val>
          <c:smooth val="0"/>
          <c:extLst>
            <c:ext xmlns:c16="http://schemas.microsoft.com/office/drawing/2014/chart" uri="{C3380CC4-5D6E-409C-BE32-E72D297353CC}">
              <c16:uniqueId val="{00000009-A9A3-4A42-8ED2-B7DA7EB2A4AB}"/>
            </c:ext>
          </c:extLst>
        </c:ser>
        <c:dLbls>
          <c:showLegendKey val="0"/>
          <c:showVal val="0"/>
          <c:showCatName val="0"/>
          <c:showSerName val="0"/>
          <c:showPercent val="0"/>
          <c:showBubbleSize val="0"/>
        </c:dLbls>
        <c:smooth val="0"/>
        <c:axId val="1417307472"/>
        <c:axId val="1386904704"/>
      </c:lineChart>
      <c:catAx>
        <c:axId val="1417307472"/>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386904704"/>
        <c:crosses val="autoZero"/>
        <c:auto val="1"/>
        <c:lblAlgn val="ctr"/>
        <c:lblOffset val="100"/>
        <c:noMultiLvlLbl val="0"/>
      </c:catAx>
      <c:valAx>
        <c:axId val="1386904704"/>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4173074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CO"/>
        </a:p>
      </c:txPr>
    </c:title>
    <c:autoTitleDeleted val="0"/>
    <c:plotArea>
      <c:layout/>
      <c:lineChart>
        <c:grouping val="standard"/>
        <c:varyColors val="0"/>
        <c:ser>
          <c:idx val="0"/>
          <c:order val="0"/>
          <c:spPr>
            <a:ln w="22225" cap="rnd">
              <a:solidFill>
                <a:srgbClr val="FF0000"/>
              </a:solidFill>
            </a:ln>
            <a:effectLst>
              <a:glow rad="139700">
                <a:schemeClr val="accent1">
                  <a:satMod val="175000"/>
                  <a:alpha val="14000"/>
                </a:schemeClr>
              </a:glow>
            </a:effectLst>
          </c:spPr>
          <c:marker>
            <c:symbol val="none"/>
          </c:marker>
          <c:cat>
            <c:numRef>
              <c:f>'Predictor de quiebra '!$D$40:$H$40</c:f>
              <c:numCache>
                <c:formatCode>General</c:formatCode>
                <c:ptCount val="5"/>
                <c:pt idx="0">
                  <c:v>2017</c:v>
                </c:pt>
                <c:pt idx="1">
                  <c:v>2018</c:v>
                </c:pt>
                <c:pt idx="2">
                  <c:v>2019</c:v>
                </c:pt>
                <c:pt idx="3">
                  <c:v>2020</c:v>
                </c:pt>
                <c:pt idx="4">
                  <c:v>2021</c:v>
                </c:pt>
              </c:numCache>
            </c:numRef>
          </c:cat>
          <c:val>
            <c:numRef>
              <c:f>'Predictor de quiebra '!$D$63:$H$63</c:f>
              <c:numCache>
                <c:formatCode>_(* #,##0.00_);_(* \(#,##0.00\);_(* "-"??_);_(@_)</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AF8A-4663-A756-54FF7FF6ECC4}"/>
            </c:ext>
          </c:extLst>
        </c:ser>
        <c:ser>
          <c:idx val="1"/>
          <c:order val="1"/>
          <c:spPr>
            <a:ln w="22225" cap="rnd">
              <a:solidFill>
                <a:schemeClr val="bg2">
                  <a:lumMod val="75000"/>
                </a:schemeClr>
              </a:solidFill>
            </a:ln>
            <a:effectLst>
              <a:glow rad="139700">
                <a:schemeClr val="accent2">
                  <a:satMod val="175000"/>
                  <a:alpha val="14000"/>
                </a:schemeClr>
              </a:glow>
            </a:effectLst>
          </c:spPr>
          <c:marker>
            <c:symbol val="none"/>
          </c:marker>
          <c:cat>
            <c:numRef>
              <c:f>'Predictor de quiebra '!$D$40:$H$40</c:f>
              <c:numCache>
                <c:formatCode>General</c:formatCode>
                <c:ptCount val="5"/>
                <c:pt idx="0">
                  <c:v>2017</c:v>
                </c:pt>
                <c:pt idx="1">
                  <c:v>2018</c:v>
                </c:pt>
                <c:pt idx="2">
                  <c:v>2019</c:v>
                </c:pt>
                <c:pt idx="3">
                  <c:v>2020</c:v>
                </c:pt>
                <c:pt idx="4">
                  <c:v>2021</c:v>
                </c:pt>
              </c:numCache>
            </c:numRef>
          </c:cat>
          <c:val>
            <c:numRef>
              <c:f>'Predictor de quiebra '!$D$64:$H$64</c:f>
              <c:numCache>
                <c:formatCode>0.00</c:formatCode>
                <c:ptCount val="5"/>
                <c:pt idx="0">
                  <c:v>1.81</c:v>
                </c:pt>
                <c:pt idx="1">
                  <c:v>1.81</c:v>
                </c:pt>
                <c:pt idx="2">
                  <c:v>1.81</c:v>
                </c:pt>
                <c:pt idx="3">
                  <c:v>1.81</c:v>
                </c:pt>
                <c:pt idx="4">
                  <c:v>1.81</c:v>
                </c:pt>
              </c:numCache>
            </c:numRef>
          </c:val>
          <c:smooth val="0"/>
          <c:extLst>
            <c:ext xmlns:c16="http://schemas.microsoft.com/office/drawing/2014/chart" uri="{C3380CC4-5D6E-409C-BE32-E72D297353CC}">
              <c16:uniqueId val="{00000001-AF8A-4663-A756-54FF7FF6ECC4}"/>
            </c:ext>
          </c:extLst>
        </c:ser>
        <c:ser>
          <c:idx val="2"/>
          <c:order val="2"/>
          <c:spPr>
            <a:ln w="22225" cap="rnd">
              <a:solidFill>
                <a:srgbClr val="00B050"/>
              </a:solidFill>
            </a:ln>
            <a:effectLst>
              <a:glow rad="139700">
                <a:schemeClr val="accent3">
                  <a:satMod val="175000"/>
                  <a:alpha val="14000"/>
                </a:schemeClr>
              </a:glow>
            </a:effectLst>
          </c:spPr>
          <c:marker>
            <c:symbol val="none"/>
          </c:marker>
          <c:cat>
            <c:numRef>
              <c:f>'Predictor de quiebra '!$D$40:$H$40</c:f>
              <c:numCache>
                <c:formatCode>General</c:formatCode>
                <c:ptCount val="5"/>
                <c:pt idx="0">
                  <c:v>2017</c:v>
                </c:pt>
                <c:pt idx="1">
                  <c:v>2018</c:v>
                </c:pt>
                <c:pt idx="2">
                  <c:v>2019</c:v>
                </c:pt>
                <c:pt idx="3">
                  <c:v>2020</c:v>
                </c:pt>
                <c:pt idx="4">
                  <c:v>2021</c:v>
                </c:pt>
              </c:numCache>
            </c:numRef>
          </c:cat>
          <c:val>
            <c:numRef>
              <c:f>'Predictor de quiebra '!$D$65:$H$65</c:f>
              <c:numCache>
                <c:formatCode>0.00</c:formatCode>
                <c:ptCount val="5"/>
                <c:pt idx="0">
                  <c:v>2.99</c:v>
                </c:pt>
                <c:pt idx="1">
                  <c:v>2.99</c:v>
                </c:pt>
                <c:pt idx="2">
                  <c:v>2.99</c:v>
                </c:pt>
                <c:pt idx="3">
                  <c:v>2.99</c:v>
                </c:pt>
                <c:pt idx="4">
                  <c:v>2.99</c:v>
                </c:pt>
              </c:numCache>
            </c:numRef>
          </c:val>
          <c:smooth val="0"/>
          <c:extLst>
            <c:ext xmlns:c16="http://schemas.microsoft.com/office/drawing/2014/chart" uri="{C3380CC4-5D6E-409C-BE32-E72D297353CC}">
              <c16:uniqueId val="{00000002-AF8A-4663-A756-54FF7FF6ECC4}"/>
            </c:ext>
          </c:extLst>
        </c:ser>
        <c:ser>
          <c:idx val="3"/>
          <c:order val="3"/>
          <c:spPr>
            <a:ln w="22225" cap="rnd">
              <a:solidFill>
                <a:schemeClr val="accent4"/>
              </a:solidFill>
            </a:ln>
            <a:effectLst>
              <a:glow rad="139700">
                <a:schemeClr val="accent4">
                  <a:satMod val="175000"/>
                  <a:alpha val="14000"/>
                </a:schemeClr>
              </a:glow>
            </a:effectLst>
          </c:spPr>
          <c:marker>
            <c:symbol val="none"/>
          </c:marker>
          <c:cat>
            <c:numRef>
              <c:f>'Predictor de quiebra '!$D$40:$H$40</c:f>
              <c:numCache>
                <c:formatCode>General</c:formatCode>
                <c:ptCount val="5"/>
                <c:pt idx="0">
                  <c:v>2017</c:v>
                </c:pt>
                <c:pt idx="1">
                  <c:v>2018</c:v>
                </c:pt>
                <c:pt idx="2">
                  <c:v>2019</c:v>
                </c:pt>
                <c:pt idx="3">
                  <c:v>2020</c:v>
                </c:pt>
                <c:pt idx="4">
                  <c:v>2021</c:v>
                </c:pt>
              </c:numCache>
            </c:numRef>
          </c:cat>
          <c:val>
            <c:numRef>
              <c:f>'Predictor de quiebra '!$D$66:$H$66</c:f>
              <c:numCache>
                <c:formatCode>0.00</c:formatCode>
                <c:ptCount val="5"/>
                <c:pt idx="0">
                  <c:v>6.0721322549750543</c:v>
                </c:pt>
                <c:pt idx="1">
                  <c:v>5.1796662234380335</c:v>
                </c:pt>
                <c:pt idx="2">
                  <c:v>7.4040634490303923</c:v>
                </c:pt>
                <c:pt idx="3">
                  <c:v>5.0906125310067445</c:v>
                </c:pt>
                <c:pt idx="4">
                  <c:v>5.0401977927737462</c:v>
                </c:pt>
              </c:numCache>
            </c:numRef>
          </c:val>
          <c:smooth val="0"/>
          <c:extLst>
            <c:ext xmlns:c16="http://schemas.microsoft.com/office/drawing/2014/chart" uri="{C3380CC4-5D6E-409C-BE32-E72D297353CC}">
              <c16:uniqueId val="{00000003-AF8A-4663-A756-54FF7FF6ECC4}"/>
            </c:ext>
          </c:extLst>
        </c:ser>
        <c:dLbls>
          <c:showLegendKey val="0"/>
          <c:showVal val="0"/>
          <c:showCatName val="0"/>
          <c:showSerName val="0"/>
          <c:showPercent val="0"/>
          <c:showBubbleSize val="0"/>
        </c:dLbls>
        <c:smooth val="0"/>
        <c:axId val="1140192271"/>
        <c:axId val="1201591439"/>
      </c:lineChart>
      <c:catAx>
        <c:axId val="114019227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CO"/>
          </a:p>
        </c:txPr>
        <c:crossAx val="1201591439"/>
        <c:crosses val="autoZero"/>
        <c:auto val="1"/>
        <c:lblAlgn val="ctr"/>
        <c:lblOffset val="100"/>
        <c:noMultiLvlLbl val="0"/>
      </c:catAx>
      <c:valAx>
        <c:axId val="1201591439"/>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CO"/>
          </a:p>
        </c:txPr>
        <c:crossAx val="114019227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ROA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1"/>
          <c:order val="0"/>
          <c:spPr>
            <a:ln w="28575" cap="rnd">
              <a:solidFill>
                <a:schemeClr val="accent2"/>
              </a:solidFill>
              <a:round/>
            </a:ln>
            <a:effectLst/>
          </c:spPr>
          <c:marker>
            <c:symbol val="none"/>
          </c:marker>
          <c:dLbls>
            <c:dLbl>
              <c:idx val="0"/>
              <c:layout>
                <c:manualLayout>
                  <c:x val="-1.9444444444444469E-2"/>
                  <c:y val="-6.01851851851851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54-4BFD-AFE8-EC9B688F84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Proyecciones!$F$96:$J$96</c:f>
              <c:numCache>
                <c:formatCode>General</c:formatCode>
                <c:ptCount val="5"/>
                <c:pt idx="0">
                  <c:v>2018</c:v>
                </c:pt>
                <c:pt idx="1">
                  <c:v>2019</c:v>
                </c:pt>
                <c:pt idx="2">
                  <c:v>2020</c:v>
                </c:pt>
                <c:pt idx="3">
                  <c:v>2021</c:v>
                </c:pt>
                <c:pt idx="4">
                  <c:v>2022</c:v>
                </c:pt>
              </c:numCache>
            </c:numRef>
          </c:cat>
          <c:val>
            <c:numRef>
              <c:f>Proyecciones!$F$97:$J$97</c:f>
              <c:numCache>
                <c:formatCode>0.00%</c:formatCode>
                <c:ptCount val="5"/>
                <c:pt idx="0">
                  <c:v>2.2282041864928364E-2</c:v>
                </c:pt>
                <c:pt idx="1">
                  <c:v>-7.6444294684185135E-2</c:v>
                </c:pt>
                <c:pt idx="2">
                  <c:v>1.2089081783840291E-2</c:v>
                </c:pt>
                <c:pt idx="3">
                  <c:v>6.108679249012882E-3</c:v>
                </c:pt>
                <c:pt idx="4">
                  <c:v>2.77501838590846E-2</c:v>
                </c:pt>
              </c:numCache>
            </c:numRef>
          </c:val>
          <c:smooth val="0"/>
          <c:extLst>
            <c:ext xmlns:c16="http://schemas.microsoft.com/office/drawing/2014/chart" uri="{C3380CC4-5D6E-409C-BE32-E72D297353CC}">
              <c16:uniqueId val="{00000001-B454-4BFD-AFE8-EC9B688F84E2}"/>
            </c:ext>
          </c:extLst>
        </c:ser>
        <c:dLbls>
          <c:showLegendKey val="0"/>
          <c:showVal val="0"/>
          <c:showCatName val="0"/>
          <c:showSerName val="0"/>
          <c:showPercent val="0"/>
          <c:showBubbleSize val="0"/>
        </c:dLbls>
        <c:smooth val="0"/>
        <c:axId val="340558895"/>
        <c:axId val="340602159"/>
      </c:lineChart>
      <c:catAx>
        <c:axId val="340558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0602159"/>
        <c:crosses val="autoZero"/>
        <c:auto val="1"/>
        <c:lblAlgn val="ctr"/>
        <c:lblOffset val="100"/>
        <c:noMultiLvlLbl val="0"/>
      </c:catAx>
      <c:valAx>
        <c:axId val="340602159"/>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05588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RAN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cked"/>
        <c:varyColors val="0"/>
        <c:ser>
          <c:idx val="0"/>
          <c:order val="0"/>
          <c:spPr>
            <a:ln w="28575" cap="rnd">
              <a:solidFill>
                <a:schemeClr val="accent4">
                  <a:lumMod val="60000"/>
                  <a:lumOff val="4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Proyecciones!$F$96:$J$96</c:f>
              <c:numCache>
                <c:formatCode>General</c:formatCode>
                <c:ptCount val="5"/>
                <c:pt idx="0">
                  <c:v>2018</c:v>
                </c:pt>
                <c:pt idx="1">
                  <c:v>2019</c:v>
                </c:pt>
                <c:pt idx="2">
                  <c:v>2020</c:v>
                </c:pt>
                <c:pt idx="3">
                  <c:v>2021</c:v>
                </c:pt>
                <c:pt idx="4">
                  <c:v>2022</c:v>
                </c:pt>
              </c:numCache>
            </c:numRef>
          </c:cat>
          <c:val>
            <c:numRef>
              <c:f>Proyecciones!$F$100:$J$100</c:f>
              <c:numCache>
                <c:formatCode>0.00%</c:formatCode>
                <c:ptCount val="5"/>
                <c:pt idx="0">
                  <c:v>1.3624344597629328E-2</c:v>
                </c:pt>
                <c:pt idx="1">
                  <c:v>-0.39843399935698176</c:v>
                </c:pt>
                <c:pt idx="2">
                  <c:v>2.6529307384281602E-2</c:v>
                </c:pt>
                <c:pt idx="3">
                  <c:v>1.6170944892612872E-2</c:v>
                </c:pt>
                <c:pt idx="4">
                  <c:v>6.9736134274418771E-2</c:v>
                </c:pt>
              </c:numCache>
            </c:numRef>
          </c:val>
          <c:smooth val="0"/>
          <c:extLst>
            <c:ext xmlns:c16="http://schemas.microsoft.com/office/drawing/2014/chart" uri="{C3380CC4-5D6E-409C-BE32-E72D297353CC}">
              <c16:uniqueId val="{00000000-44A5-4EEA-86CC-E6D435F60FD9}"/>
            </c:ext>
          </c:extLst>
        </c:ser>
        <c:dLbls>
          <c:showLegendKey val="0"/>
          <c:showVal val="0"/>
          <c:showCatName val="0"/>
          <c:showSerName val="0"/>
          <c:showPercent val="0"/>
          <c:showBubbleSize val="0"/>
        </c:dLbls>
        <c:smooth val="0"/>
        <c:axId val="813227567"/>
        <c:axId val="813227983"/>
      </c:lineChart>
      <c:catAx>
        <c:axId val="813227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13227983"/>
        <c:crosses val="autoZero"/>
        <c:auto val="1"/>
        <c:lblAlgn val="ctr"/>
        <c:lblOffset val="100"/>
        <c:noMultiLvlLbl val="0"/>
      </c:catAx>
      <c:valAx>
        <c:axId val="81322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13227567"/>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sz="1800"/>
              <a:t>Ventas</a:t>
            </a:r>
            <a:endParaRPr lang="es-CO"/>
          </a:p>
          <a:p>
            <a:pPr>
              <a:defRPr/>
            </a:pPr>
            <a:r>
              <a:rPr lang="es-CO" sz="1100"/>
              <a:t>(cifras en miles de pesos)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Proyecciones!$F$65:$J$65</c:f>
              <c:numCache>
                <c:formatCode>General</c:formatCode>
                <c:ptCount val="5"/>
                <c:pt idx="0">
                  <c:v>2018</c:v>
                </c:pt>
                <c:pt idx="1">
                  <c:v>2019</c:v>
                </c:pt>
                <c:pt idx="2">
                  <c:v>2020</c:v>
                </c:pt>
                <c:pt idx="3">
                  <c:v>2021</c:v>
                </c:pt>
                <c:pt idx="4">
                  <c:v>2022</c:v>
                </c:pt>
              </c:numCache>
            </c:numRef>
          </c:cat>
          <c:val>
            <c:numRef>
              <c:f>Proyecciones!$F$67:$J$67</c:f>
              <c:numCache>
                <c:formatCode>_-* #,##0_-;\-* #,##0_-;_-* "-"??_-;_-@_-</c:formatCode>
                <c:ptCount val="5"/>
                <c:pt idx="0">
                  <c:v>5437074.3200000003</c:v>
                </c:pt>
                <c:pt idx="1">
                  <c:v>5760384.8439999996</c:v>
                </c:pt>
                <c:pt idx="2">
                  <c:v>5973143.3619999997</c:v>
                </c:pt>
                <c:pt idx="3">
                  <c:v>4665256.33</c:v>
                </c:pt>
                <c:pt idx="4">
                  <c:v>6088081.801</c:v>
                </c:pt>
              </c:numCache>
            </c:numRef>
          </c:val>
          <c:extLst>
            <c:ext xmlns:c16="http://schemas.microsoft.com/office/drawing/2014/chart" uri="{C3380CC4-5D6E-409C-BE32-E72D297353CC}">
              <c16:uniqueId val="{00000000-FC6E-4A3D-9D00-F67F4C7F46A4}"/>
            </c:ext>
          </c:extLst>
        </c:ser>
        <c:dLbls>
          <c:dLblPos val="outEnd"/>
          <c:showLegendKey val="0"/>
          <c:showVal val="1"/>
          <c:showCatName val="0"/>
          <c:showSerName val="0"/>
          <c:showPercent val="0"/>
          <c:showBubbleSize val="0"/>
        </c:dLbls>
        <c:gapWidth val="100"/>
        <c:overlap val="-24"/>
        <c:axId val="813132303"/>
        <c:axId val="813132719"/>
      </c:barChart>
      <c:catAx>
        <c:axId val="813132303"/>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13132719"/>
        <c:crosses val="autoZero"/>
        <c:auto val="1"/>
        <c:lblAlgn val="ctr"/>
        <c:lblOffset val="100"/>
        <c:noMultiLvlLbl val="0"/>
      </c:catAx>
      <c:valAx>
        <c:axId val="813132719"/>
        <c:scaling>
          <c:orientation val="minMax"/>
        </c:scaling>
        <c:delete val="1"/>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crossAx val="8131323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Ventas vs Costos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Proyecciones!$A$67</c:f>
              <c:strCache>
                <c:ptCount val="1"/>
                <c:pt idx="0">
                  <c:v>Ventas</c:v>
                </c:pt>
              </c:strCache>
            </c:strRef>
          </c:tx>
          <c:spPr>
            <a:solidFill>
              <a:schemeClr val="accent1"/>
            </a:solidFill>
            <a:ln>
              <a:noFill/>
            </a:ln>
            <a:effectLst/>
            <a:sp3d/>
          </c:spPr>
          <c:invertIfNegative val="0"/>
          <c:cat>
            <c:numRef>
              <c:f>Proyecciones!$F$65:$J$65</c:f>
              <c:numCache>
                <c:formatCode>General</c:formatCode>
                <c:ptCount val="5"/>
                <c:pt idx="0">
                  <c:v>2018</c:v>
                </c:pt>
                <c:pt idx="1">
                  <c:v>2019</c:v>
                </c:pt>
                <c:pt idx="2">
                  <c:v>2020</c:v>
                </c:pt>
                <c:pt idx="3">
                  <c:v>2021</c:v>
                </c:pt>
                <c:pt idx="4">
                  <c:v>2022</c:v>
                </c:pt>
              </c:numCache>
            </c:numRef>
          </c:cat>
          <c:val>
            <c:numRef>
              <c:f>Proyecciones!$F$67:$J$67</c:f>
              <c:numCache>
                <c:formatCode>_-* #,##0_-;\-* #,##0_-;_-* "-"??_-;_-@_-</c:formatCode>
                <c:ptCount val="5"/>
                <c:pt idx="0">
                  <c:v>5437074.3200000003</c:v>
                </c:pt>
                <c:pt idx="1">
                  <c:v>5760384.8439999996</c:v>
                </c:pt>
                <c:pt idx="2">
                  <c:v>5973143.3619999997</c:v>
                </c:pt>
                <c:pt idx="3">
                  <c:v>4665256.33</c:v>
                </c:pt>
                <c:pt idx="4">
                  <c:v>6088081.801</c:v>
                </c:pt>
              </c:numCache>
            </c:numRef>
          </c:val>
          <c:extLst>
            <c:ext xmlns:c16="http://schemas.microsoft.com/office/drawing/2014/chart" uri="{C3380CC4-5D6E-409C-BE32-E72D297353CC}">
              <c16:uniqueId val="{00000000-3AEA-4B03-B949-816DA3DE217C}"/>
            </c:ext>
          </c:extLst>
        </c:ser>
        <c:ser>
          <c:idx val="1"/>
          <c:order val="1"/>
          <c:tx>
            <c:strRef>
              <c:f>Proyecciones!$A$68</c:f>
              <c:strCache>
                <c:ptCount val="1"/>
                <c:pt idx="0">
                  <c:v>Costo de Ventas</c:v>
                </c:pt>
              </c:strCache>
            </c:strRef>
          </c:tx>
          <c:spPr>
            <a:solidFill>
              <a:schemeClr val="accent2"/>
            </a:solidFill>
            <a:ln>
              <a:noFill/>
            </a:ln>
            <a:effectLst/>
            <a:sp3d/>
          </c:spPr>
          <c:invertIfNegative val="0"/>
          <c:cat>
            <c:numRef>
              <c:f>Proyecciones!$F$65:$J$65</c:f>
              <c:numCache>
                <c:formatCode>General</c:formatCode>
                <c:ptCount val="5"/>
                <c:pt idx="0">
                  <c:v>2018</c:v>
                </c:pt>
                <c:pt idx="1">
                  <c:v>2019</c:v>
                </c:pt>
                <c:pt idx="2">
                  <c:v>2020</c:v>
                </c:pt>
                <c:pt idx="3">
                  <c:v>2021</c:v>
                </c:pt>
                <c:pt idx="4">
                  <c:v>2022</c:v>
                </c:pt>
              </c:numCache>
            </c:numRef>
          </c:cat>
          <c:val>
            <c:numRef>
              <c:f>Proyecciones!$F$68:$J$68</c:f>
              <c:numCache>
                <c:formatCode>_(* #,##0_);_(* \(#,##0\);_(* "-"_);_(@_)</c:formatCode>
                <c:ptCount val="5"/>
                <c:pt idx="0">
                  <c:v>4961480.7580000004</c:v>
                </c:pt>
                <c:pt idx="1">
                  <c:v>5295767.21</c:v>
                </c:pt>
                <c:pt idx="2">
                  <c:v>5612981.3210000005</c:v>
                </c:pt>
                <c:pt idx="3">
                  <c:v>4403790.7410000004</c:v>
                </c:pt>
                <c:pt idx="4">
                  <c:v>5736207.8629999999</c:v>
                </c:pt>
              </c:numCache>
            </c:numRef>
          </c:val>
          <c:extLst>
            <c:ext xmlns:c16="http://schemas.microsoft.com/office/drawing/2014/chart" uri="{C3380CC4-5D6E-409C-BE32-E72D297353CC}">
              <c16:uniqueId val="{00000001-3AEA-4B03-B949-816DA3DE217C}"/>
            </c:ext>
          </c:extLst>
        </c:ser>
        <c:dLbls>
          <c:showLegendKey val="0"/>
          <c:showVal val="0"/>
          <c:showCatName val="0"/>
          <c:showSerName val="0"/>
          <c:showPercent val="0"/>
          <c:showBubbleSize val="0"/>
        </c:dLbls>
        <c:gapWidth val="150"/>
        <c:shape val="box"/>
        <c:axId val="340557647"/>
        <c:axId val="340571791"/>
        <c:axId val="0"/>
      </c:bar3DChart>
      <c:catAx>
        <c:axId val="34055764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0571791"/>
        <c:crosses val="autoZero"/>
        <c:auto val="1"/>
        <c:lblAlgn val="ctr"/>
        <c:lblOffset val="100"/>
        <c:noMultiLvlLbl val="0"/>
      </c:catAx>
      <c:valAx>
        <c:axId val="340571791"/>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05576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FLUJO</a:t>
            </a:r>
            <a:r>
              <a:rPr lang="es-CO" baseline="0"/>
              <a:t> DE CAJA PROYECTADA</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dLbls>
            <c:dLbl>
              <c:idx val="1"/>
              <c:layout>
                <c:manualLayout>
                  <c:x val="-2.5236590273910894E-2"/>
                  <c:y val="5.76293266856784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C5-4D43-8A83-FA583C1E4151}"/>
                </c:ext>
              </c:extLst>
            </c:dLbl>
            <c:dLbl>
              <c:idx val="2"/>
              <c:layout>
                <c:manualLayout>
                  <c:x val="-5.60813117198029E-3"/>
                  <c:y val="7.85854454804705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C5-4D43-8A83-FA583C1E4151}"/>
                </c:ext>
              </c:extLst>
            </c:dLbl>
            <c:dLbl>
              <c:idx val="3"/>
              <c:layout>
                <c:manualLayout>
                  <c:x val="-3.8775811202926579E-2"/>
                  <c:y val="-9.19152696264572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C5-4D43-8A83-FA583C1E4151}"/>
                </c:ext>
              </c:extLst>
            </c:dLbl>
            <c:dLbl>
              <c:idx val="4"/>
              <c:layout>
                <c:manualLayout>
                  <c:x val="-1.0281455043051001E-16"/>
                  <c:y val="9.43025345765647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C5-4D43-8A83-FA583C1E41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'Valoración Sin Estrategia'!$F$72:$J$72</c:f>
              <c:numCache>
                <c:formatCode>_("$"* #,##0_);_("$"* \(#,##0\);_("$"* "-"??_);_(@_)</c:formatCode>
                <c:ptCount val="5"/>
                <c:pt idx="0">
                  <c:v>3472.2362596176754</c:v>
                </c:pt>
                <c:pt idx="1">
                  <c:v>2206.5807914059551</c:v>
                </c:pt>
                <c:pt idx="2">
                  <c:v>4081.3184339476502</c:v>
                </c:pt>
                <c:pt idx="3">
                  <c:v>5910.5741575270658</c:v>
                </c:pt>
                <c:pt idx="4">
                  <c:v>6498.1983709245105</c:v>
                </c:pt>
              </c:numCache>
            </c:numRef>
          </c:val>
          <c:smooth val="0"/>
          <c:extLst>
            <c:ext xmlns:c16="http://schemas.microsoft.com/office/drawing/2014/chart" uri="{C3380CC4-5D6E-409C-BE32-E72D297353CC}">
              <c16:uniqueId val="{00000004-16C5-4D43-8A83-FA583C1E4151}"/>
            </c:ext>
          </c:extLst>
        </c:ser>
        <c:dLbls>
          <c:showLegendKey val="0"/>
          <c:showVal val="0"/>
          <c:showCatName val="0"/>
          <c:showSerName val="0"/>
          <c:showPercent val="0"/>
          <c:showBubbleSize val="0"/>
        </c:dLbls>
        <c:smooth val="0"/>
        <c:axId val="2126629199"/>
        <c:axId val="2125436111"/>
      </c:lineChart>
      <c:catAx>
        <c:axId val="2126629199"/>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25436111"/>
        <c:crosses val="autoZero"/>
        <c:auto val="1"/>
        <c:lblAlgn val="ctr"/>
        <c:lblOffset val="100"/>
        <c:noMultiLvlLbl val="0"/>
      </c:catAx>
      <c:valAx>
        <c:axId val="2125436111"/>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266291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PROYECCIÓN PASIVO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cat>
            <c:numRef>
              <c:f>Proyecciones!$F$38:$O$38</c:f>
              <c:numCache>
                <c:formatCode>General</c:formatCode>
                <c:ptCount val="10"/>
                <c:pt idx="0">
                  <c:v>2018</c:v>
                </c:pt>
                <c:pt idx="1">
                  <c:v>2019</c:v>
                </c:pt>
                <c:pt idx="2">
                  <c:v>2020</c:v>
                </c:pt>
                <c:pt idx="3">
                  <c:v>2021</c:v>
                </c:pt>
                <c:pt idx="4">
                  <c:v>2022</c:v>
                </c:pt>
                <c:pt idx="5">
                  <c:v>2023</c:v>
                </c:pt>
                <c:pt idx="6">
                  <c:v>2024</c:v>
                </c:pt>
                <c:pt idx="7">
                  <c:v>2025</c:v>
                </c:pt>
                <c:pt idx="8">
                  <c:v>2026</c:v>
                </c:pt>
                <c:pt idx="9">
                  <c:v>2027</c:v>
                </c:pt>
              </c:numCache>
            </c:numRef>
          </c:cat>
          <c:val>
            <c:numRef>
              <c:f>Proyecciones!$F$56:$O$56</c:f>
              <c:numCache>
                <c:formatCode>_(* #,##0_);_(* \(#,##0\);_(* "-"_);_(@_)</c:formatCode>
                <c:ptCount val="10"/>
                <c:pt idx="0">
                  <c:v>919871.55900000001</c:v>
                </c:pt>
                <c:pt idx="1">
                  <c:v>1009942.4749999999</c:v>
                </c:pt>
                <c:pt idx="2">
                  <c:v>615196.15800000005</c:v>
                </c:pt>
                <c:pt idx="3">
                  <c:v>849411.33199999994</c:v>
                </c:pt>
                <c:pt idx="4">
                  <c:v>1210297.0159999998</c:v>
                </c:pt>
                <c:pt idx="5">
                  <c:v>1246605.9264799999</c:v>
                </c:pt>
                <c:pt idx="6">
                  <c:v>1284004.1042744</c:v>
                </c:pt>
                <c:pt idx="7">
                  <c:v>1322524.2274026321</c:v>
                </c:pt>
                <c:pt idx="8">
                  <c:v>1362199.9542247111</c:v>
                </c:pt>
                <c:pt idx="9">
                  <c:v>1403065.9528514524</c:v>
                </c:pt>
              </c:numCache>
            </c:numRef>
          </c:val>
          <c:smooth val="0"/>
          <c:extLst>
            <c:ext xmlns:c16="http://schemas.microsoft.com/office/drawing/2014/chart" uri="{C3380CC4-5D6E-409C-BE32-E72D297353CC}">
              <c16:uniqueId val="{00000000-6F6B-422A-9EE0-124E8EA4079F}"/>
            </c:ext>
          </c:extLst>
        </c:ser>
        <c:dLbls>
          <c:showLegendKey val="0"/>
          <c:showVal val="0"/>
          <c:showCatName val="0"/>
          <c:showSerName val="0"/>
          <c:showPercent val="0"/>
          <c:showBubbleSize val="0"/>
        </c:dLbls>
        <c:smooth val="0"/>
        <c:axId val="1375777904"/>
        <c:axId val="1375778320"/>
      </c:lineChart>
      <c:catAx>
        <c:axId val="1375777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75778320"/>
        <c:crosses val="autoZero"/>
        <c:auto val="1"/>
        <c:lblAlgn val="ctr"/>
        <c:lblOffset val="100"/>
        <c:noMultiLvlLbl val="0"/>
      </c:catAx>
      <c:valAx>
        <c:axId val="1375778320"/>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75777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Ventas</a:t>
            </a:r>
            <a:r>
              <a:rPr lang="es-CO" baseline="0"/>
              <a:t> vs UODI</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Proyecciones!$A$67</c:f>
              <c:strCache>
                <c:ptCount val="1"/>
                <c:pt idx="0">
                  <c:v>Ventas</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Lbls>
            <c:dLbl>
              <c:idx val="0"/>
              <c:layout>
                <c:manualLayout>
                  <c:x val="-8.5626911314984705E-2"/>
                  <c:y val="-8.18713450292398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A17-432A-8273-8D9CC3B0BC98}"/>
                </c:ext>
              </c:extLst>
            </c:dLbl>
            <c:dLbl>
              <c:idx val="1"/>
              <c:layout>
                <c:manualLayout>
                  <c:x val="-6.4220183486238536E-2"/>
                  <c:y val="-8.7719298245614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A17-432A-8273-8D9CC3B0BC98}"/>
                </c:ext>
              </c:extLst>
            </c:dLbl>
            <c:dLbl>
              <c:idx val="2"/>
              <c:layout>
                <c:manualLayout>
                  <c:x val="-8.8685015290519878E-2"/>
                  <c:y val="-9.94152046783625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A17-432A-8273-8D9CC3B0BC98}"/>
                </c:ext>
              </c:extLst>
            </c:dLbl>
            <c:dLbl>
              <c:idx val="3"/>
              <c:layout>
                <c:manualLayout>
                  <c:x val="-3.9755351681957186E-2"/>
                  <c:y val="-5.6497175141242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17-432A-8273-8D9CC3B0BC98}"/>
                </c:ext>
              </c:extLst>
            </c:dLbl>
            <c:dLbl>
              <c:idx val="4"/>
              <c:layout>
                <c:manualLayout>
                  <c:x val="0"/>
                  <c:y val="-5.5208822581387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17-432A-8273-8D9CC3B0BC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Proyecciones!$F$65:$J$65</c:f>
              <c:numCache>
                <c:formatCode>General</c:formatCode>
                <c:ptCount val="5"/>
                <c:pt idx="0">
                  <c:v>2018</c:v>
                </c:pt>
                <c:pt idx="1">
                  <c:v>2019</c:v>
                </c:pt>
                <c:pt idx="2">
                  <c:v>2020</c:v>
                </c:pt>
                <c:pt idx="3">
                  <c:v>2021</c:v>
                </c:pt>
                <c:pt idx="4">
                  <c:v>2022</c:v>
                </c:pt>
              </c:numCache>
            </c:numRef>
          </c:cat>
          <c:val>
            <c:numRef>
              <c:f>Proyecciones!$F$67:$J$67</c:f>
              <c:numCache>
                <c:formatCode>_-* #,##0_-;\-* #,##0_-;_-* "-"??_-;_-@_-</c:formatCode>
                <c:ptCount val="5"/>
                <c:pt idx="0">
                  <c:v>5437074.3200000003</c:v>
                </c:pt>
                <c:pt idx="1">
                  <c:v>5760384.8439999996</c:v>
                </c:pt>
                <c:pt idx="2">
                  <c:v>5973143.3619999997</c:v>
                </c:pt>
                <c:pt idx="3">
                  <c:v>4665256.33</c:v>
                </c:pt>
                <c:pt idx="4">
                  <c:v>6088081.801</c:v>
                </c:pt>
              </c:numCache>
            </c:numRef>
          </c:val>
          <c:smooth val="0"/>
          <c:extLst>
            <c:ext xmlns:c16="http://schemas.microsoft.com/office/drawing/2014/chart" uri="{C3380CC4-5D6E-409C-BE32-E72D297353CC}">
              <c16:uniqueId val="{00000000-CA17-432A-8273-8D9CC3B0BC98}"/>
            </c:ext>
          </c:extLst>
        </c:ser>
        <c:ser>
          <c:idx val="1"/>
          <c:order val="1"/>
          <c:tx>
            <c:strRef>
              <c:f>Proyecciones!$A$98</c:f>
              <c:strCache>
                <c:ptCount val="1"/>
                <c:pt idx="0">
                  <c:v>UODI</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0581039755351682E-3"/>
                  <c:y val="-5.08474576271186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A17-432A-8273-8D9CC3B0BC98}"/>
                </c:ext>
              </c:extLst>
            </c:dLbl>
            <c:dLbl>
              <c:idx val="1"/>
              <c:layout>
                <c:manualLayout>
                  <c:x val="-9.1741915288111927E-3"/>
                  <c:y val="-5.6497175141242938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layout>
                    <c:manualLayout>
                      <c:w val="0.1360704567892316"/>
                      <c:h val="8.4661239378975933E-2"/>
                    </c:manualLayout>
                  </c15:layout>
                </c:ext>
                <c:ext xmlns:c16="http://schemas.microsoft.com/office/drawing/2014/chart" uri="{C3380CC4-5D6E-409C-BE32-E72D297353CC}">
                  <c16:uniqueId val="{00000005-CA17-432A-8273-8D9CC3B0BC98}"/>
                </c:ext>
              </c:extLst>
            </c:dLbl>
            <c:dLbl>
              <c:idx val="2"/>
              <c:layout>
                <c:manualLayout>
                  <c:x val="0"/>
                  <c:y val="-6.21468926553673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A17-432A-8273-8D9CC3B0BC98}"/>
                </c:ext>
              </c:extLst>
            </c:dLbl>
            <c:dLbl>
              <c:idx val="3"/>
              <c:layout>
                <c:manualLayout>
                  <c:x val="3.0581039755351682E-3"/>
                  <c:y val="-6.21468926553672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A17-432A-8273-8D9CC3B0BC98}"/>
                </c:ext>
              </c:extLst>
            </c:dLbl>
            <c:dLbl>
              <c:idx val="4"/>
              <c:layout>
                <c:manualLayout>
                  <c:x val="-1.1212918377705683E-16"/>
                  <c:y val="-3.9548022598870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A17-432A-8273-8D9CC3B0BC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Proyecciones!$F$65:$J$65</c:f>
              <c:numCache>
                <c:formatCode>General</c:formatCode>
                <c:ptCount val="5"/>
                <c:pt idx="0">
                  <c:v>2018</c:v>
                </c:pt>
                <c:pt idx="1">
                  <c:v>2019</c:v>
                </c:pt>
                <c:pt idx="2">
                  <c:v>2020</c:v>
                </c:pt>
                <c:pt idx="3">
                  <c:v>2021</c:v>
                </c:pt>
                <c:pt idx="4">
                  <c:v>2022</c:v>
                </c:pt>
              </c:numCache>
            </c:numRef>
          </c:cat>
          <c:val>
            <c:numRef>
              <c:f>Proyecciones!$F$98:$J$98</c:f>
              <c:numCache>
                <c:formatCode>_(* #,##0_);_(* \(#,##0\);_(* "-"_);_(@_)</c:formatCode>
                <c:ptCount val="5"/>
                <c:pt idx="0">
                  <c:v>10621.519633620774</c:v>
                </c:pt>
                <c:pt idx="1">
                  <c:v>-155766.51498934408</c:v>
                </c:pt>
                <c:pt idx="2">
                  <c:v>13047.070526758267</c:v>
                </c:pt>
                <c:pt idx="3">
                  <c:v>10655.088889176988</c:v>
                </c:pt>
                <c:pt idx="4">
                  <c:v>63065.951693430063</c:v>
                </c:pt>
              </c:numCache>
            </c:numRef>
          </c:val>
          <c:smooth val="0"/>
          <c:extLst>
            <c:ext xmlns:c16="http://schemas.microsoft.com/office/drawing/2014/chart" uri="{C3380CC4-5D6E-409C-BE32-E72D297353CC}">
              <c16:uniqueId val="{00000001-CA17-432A-8273-8D9CC3B0BC98}"/>
            </c:ext>
          </c:extLst>
        </c:ser>
        <c:dLbls>
          <c:showLegendKey val="0"/>
          <c:showVal val="0"/>
          <c:showCatName val="0"/>
          <c:showSerName val="0"/>
          <c:showPercent val="0"/>
          <c:showBubbleSize val="0"/>
        </c:dLbls>
        <c:marker val="1"/>
        <c:smooth val="0"/>
        <c:axId val="327528703"/>
        <c:axId val="327530367"/>
      </c:lineChart>
      <c:catAx>
        <c:axId val="327528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7530367"/>
        <c:crosses val="autoZero"/>
        <c:auto val="1"/>
        <c:lblAlgn val="ctr"/>
        <c:lblOffset val="100"/>
        <c:noMultiLvlLbl val="0"/>
      </c:catAx>
      <c:valAx>
        <c:axId val="327530367"/>
        <c:scaling>
          <c:orientation val="minMax"/>
        </c:scaling>
        <c:delete val="1"/>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crossAx val="3275287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Ventas vs EBITDA Operativo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cked"/>
        <c:varyColors val="0"/>
        <c:ser>
          <c:idx val="1"/>
          <c:order val="1"/>
          <c:tx>
            <c:strRef>
              <c:f>Proyecciones!$A$105</c:f>
              <c:strCache>
                <c:ptCount val="1"/>
                <c:pt idx="0">
                  <c:v>EBITDA Operacional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Proyecciones!$F$65:$J$65</c:f>
              <c:numCache>
                <c:formatCode>General</c:formatCode>
                <c:ptCount val="5"/>
                <c:pt idx="0">
                  <c:v>2018</c:v>
                </c:pt>
                <c:pt idx="1">
                  <c:v>2019</c:v>
                </c:pt>
                <c:pt idx="2">
                  <c:v>2020</c:v>
                </c:pt>
                <c:pt idx="3">
                  <c:v>2021</c:v>
                </c:pt>
                <c:pt idx="4">
                  <c:v>2022</c:v>
                </c:pt>
              </c:numCache>
            </c:numRef>
          </c:cat>
          <c:val>
            <c:numRef>
              <c:f>Proyecciones!$F$105:$J$105</c:f>
              <c:numCache>
                <c:formatCode>_-* #,##0_-;\-* #,##0_-;_-* "-"??_-;_-@_-</c:formatCode>
                <c:ptCount val="5"/>
                <c:pt idx="0">
                  <c:v>41144.269999999946</c:v>
                </c:pt>
                <c:pt idx="1">
                  <c:v>-54624.787000000375</c:v>
                </c:pt>
                <c:pt idx="2">
                  <c:v>73258.475999999268</c:v>
                </c:pt>
                <c:pt idx="3">
                  <c:v>59612.795999999689</c:v>
                </c:pt>
                <c:pt idx="4">
                  <c:v>150913.56400000007</c:v>
                </c:pt>
              </c:numCache>
            </c:numRef>
          </c:val>
          <c:smooth val="0"/>
          <c:extLst>
            <c:ext xmlns:c16="http://schemas.microsoft.com/office/drawing/2014/chart" uri="{C3380CC4-5D6E-409C-BE32-E72D297353CC}">
              <c16:uniqueId val="{00000000-D9CF-4F45-9272-3B6F77422B3C}"/>
            </c:ext>
          </c:extLst>
        </c:ser>
        <c:dLbls>
          <c:showLegendKey val="0"/>
          <c:showVal val="0"/>
          <c:showCatName val="0"/>
          <c:showSerName val="0"/>
          <c:showPercent val="0"/>
          <c:showBubbleSize val="0"/>
        </c:dLbls>
        <c:marker val="1"/>
        <c:smooth val="0"/>
        <c:axId val="1064178511"/>
        <c:axId val="1064172271"/>
      </c:lineChart>
      <c:lineChart>
        <c:grouping val="stacked"/>
        <c:varyColors val="0"/>
        <c:ser>
          <c:idx val="0"/>
          <c:order val="0"/>
          <c:tx>
            <c:strRef>
              <c:f>Proyecciones!$A$67</c:f>
              <c:strCache>
                <c:ptCount val="1"/>
                <c:pt idx="0">
                  <c:v>Ventas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Proyecciones!$F$65:$J$65</c:f>
              <c:numCache>
                <c:formatCode>General</c:formatCode>
                <c:ptCount val="5"/>
                <c:pt idx="0">
                  <c:v>2018</c:v>
                </c:pt>
                <c:pt idx="1">
                  <c:v>2019</c:v>
                </c:pt>
                <c:pt idx="2">
                  <c:v>2020</c:v>
                </c:pt>
                <c:pt idx="3">
                  <c:v>2021</c:v>
                </c:pt>
                <c:pt idx="4">
                  <c:v>2022</c:v>
                </c:pt>
              </c:numCache>
            </c:numRef>
          </c:cat>
          <c:val>
            <c:numRef>
              <c:f>Proyecciones!$F$67:$J$67</c:f>
              <c:numCache>
                <c:formatCode>_-* #,##0_-;\-* #,##0_-;_-* "-"??_-;_-@_-</c:formatCode>
                <c:ptCount val="5"/>
                <c:pt idx="0">
                  <c:v>5437074.3200000003</c:v>
                </c:pt>
                <c:pt idx="1">
                  <c:v>5760384.8439999996</c:v>
                </c:pt>
                <c:pt idx="2">
                  <c:v>5973143.3619999997</c:v>
                </c:pt>
                <c:pt idx="3">
                  <c:v>4665256.33</c:v>
                </c:pt>
                <c:pt idx="4">
                  <c:v>6088081.801</c:v>
                </c:pt>
              </c:numCache>
            </c:numRef>
          </c:val>
          <c:smooth val="0"/>
          <c:extLst>
            <c:ext xmlns:c16="http://schemas.microsoft.com/office/drawing/2014/chart" uri="{C3380CC4-5D6E-409C-BE32-E72D297353CC}">
              <c16:uniqueId val="{00000001-D9CF-4F45-9272-3B6F77422B3C}"/>
            </c:ext>
          </c:extLst>
        </c:ser>
        <c:dLbls>
          <c:showLegendKey val="0"/>
          <c:showVal val="0"/>
          <c:showCatName val="0"/>
          <c:showSerName val="0"/>
          <c:showPercent val="0"/>
          <c:showBubbleSize val="0"/>
        </c:dLbls>
        <c:marker val="1"/>
        <c:smooth val="0"/>
        <c:axId val="980292655"/>
        <c:axId val="980292239"/>
      </c:lineChart>
      <c:catAx>
        <c:axId val="10641785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64172271"/>
        <c:crosses val="autoZero"/>
        <c:auto val="1"/>
        <c:lblAlgn val="ctr"/>
        <c:lblOffset val="100"/>
        <c:noMultiLvlLbl val="0"/>
      </c:catAx>
      <c:valAx>
        <c:axId val="1064172271"/>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64178511"/>
        <c:crosses val="autoZero"/>
        <c:crossBetween val="between"/>
      </c:valAx>
      <c:valAx>
        <c:axId val="980292239"/>
        <c:scaling>
          <c:orientation val="minMax"/>
        </c:scaling>
        <c:delete val="0"/>
        <c:axPos val="r"/>
        <c:numFmt formatCode="_-* #,##0_-;\-* #,##0_-;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80292655"/>
        <c:crosses val="max"/>
        <c:crossBetween val="between"/>
      </c:valAx>
      <c:catAx>
        <c:axId val="980292655"/>
        <c:scaling>
          <c:orientation val="minMax"/>
        </c:scaling>
        <c:delete val="1"/>
        <c:axPos val="b"/>
        <c:numFmt formatCode="General" sourceLinked="1"/>
        <c:majorTickMark val="out"/>
        <c:minorTickMark val="none"/>
        <c:tickLblPos val="nextTo"/>
        <c:crossAx val="98029223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ROA-RAN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Proyecciones!$A$97</c:f>
              <c:strCache>
                <c:ptCount val="1"/>
                <c:pt idx="0">
                  <c:v>ROA</c:v>
                </c:pt>
              </c:strCache>
            </c:strRef>
          </c:tx>
          <c:spPr>
            <a:ln w="28575" cap="rnd">
              <a:solidFill>
                <a:schemeClr val="accent1"/>
              </a:solidFill>
              <a:round/>
            </a:ln>
            <a:effectLst/>
          </c:spPr>
          <c:marker>
            <c:symbol val="none"/>
          </c:marker>
          <c:cat>
            <c:numRef>
              <c:f>Proyecciones!$F$96:$J$96</c:f>
              <c:numCache>
                <c:formatCode>General</c:formatCode>
                <c:ptCount val="5"/>
                <c:pt idx="0">
                  <c:v>2018</c:v>
                </c:pt>
                <c:pt idx="1">
                  <c:v>2019</c:v>
                </c:pt>
                <c:pt idx="2">
                  <c:v>2020</c:v>
                </c:pt>
                <c:pt idx="3">
                  <c:v>2021</c:v>
                </c:pt>
                <c:pt idx="4">
                  <c:v>2022</c:v>
                </c:pt>
              </c:numCache>
            </c:numRef>
          </c:cat>
          <c:val>
            <c:numRef>
              <c:f>Proyecciones!$F$97:$J$97</c:f>
              <c:numCache>
                <c:formatCode>0.00%</c:formatCode>
                <c:ptCount val="5"/>
                <c:pt idx="0">
                  <c:v>2.2282041864928364E-2</c:v>
                </c:pt>
                <c:pt idx="1">
                  <c:v>-7.6444294684185135E-2</c:v>
                </c:pt>
                <c:pt idx="2">
                  <c:v>1.2089081783840291E-2</c:v>
                </c:pt>
                <c:pt idx="3">
                  <c:v>6.108679249012882E-3</c:v>
                </c:pt>
                <c:pt idx="4">
                  <c:v>2.77501838590846E-2</c:v>
                </c:pt>
              </c:numCache>
            </c:numRef>
          </c:val>
          <c:smooth val="0"/>
          <c:extLst>
            <c:ext xmlns:c16="http://schemas.microsoft.com/office/drawing/2014/chart" uri="{C3380CC4-5D6E-409C-BE32-E72D297353CC}">
              <c16:uniqueId val="{00000000-352D-4B45-AFD6-F5B356C1D2AD}"/>
            </c:ext>
          </c:extLst>
        </c:ser>
        <c:ser>
          <c:idx val="1"/>
          <c:order val="1"/>
          <c:tx>
            <c:strRef>
              <c:f>Proyecciones!$A$100</c:f>
              <c:strCache>
                <c:ptCount val="1"/>
                <c:pt idx="0">
                  <c:v>RAN</c:v>
                </c:pt>
              </c:strCache>
            </c:strRef>
          </c:tx>
          <c:spPr>
            <a:ln w="28575" cap="rnd">
              <a:solidFill>
                <a:schemeClr val="accent2"/>
              </a:solidFill>
              <a:round/>
            </a:ln>
            <a:effectLst/>
          </c:spPr>
          <c:marker>
            <c:symbol val="none"/>
          </c:marker>
          <c:cat>
            <c:numRef>
              <c:f>Proyecciones!$F$96:$J$96</c:f>
              <c:numCache>
                <c:formatCode>General</c:formatCode>
                <c:ptCount val="5"/>
                <c:pt idx="0">
                  <c:v>2018</c:v>
                </c:pt>
                <c:pt idx="1">
                  <c:v>2019</c:v>
                </c:pt>
                <c:pt idx="2">
                  <c:v>2020</c:v>
                </c:pt>
                <c:pt idx="3">
                  <c:v>2021</c:v>
                </c:pt>
                <c:pt idx="4">
                  <c:v>2022</c:v>
                </c:pt>
              </c:numCache>
            </c:numRef>
          </c:cat>
          <c:val>
            <c:numRef>
              <c:f>Proyecciones!$F$100:$J$100</c:f>
              <c:numCache>
                <c:formatCode>0.00%</c:formatCode>
                <c:ptCount val="5"/>
                <c:pt idx="0">
                  <c:v>1.3624344597629328E-2</c:v>
                </c:pt>
                <c:pt idx="1">
                  <c:v>-0.39843399935698176</c:v>
                </c:pt>
                <c:pt idx="2">
                  <c:v>2.6529307384281602E-2</c:v>
                </c:pt>
                <c:pt idx="3">
                  <c:v>1.6170944892612872E-2</c:v>
                </c:pt>
                <c:pt idx="4">
                  <c:v>6.9736134274418771E-2</c:v>
                </c:pt>
              </c:numCache>
            </c:numRef>
          </c:val>
          <c:smooth val="0"/>
          <c:extLst>
            <c:ext xmlns:c16="http://schemas.microsoft.com/office/drawing/2014/chart" uri="{C3380CC4-5D6E-409C-BE32-E72D297353CC}">
              <c16:uniqueId val="{00000001-352D-4B45-AFD6-F5B356C1D2AD}"/>
            </c:ext>
          </c:extLst>
        </c:ser>
        <c:dLbls>
          <c:showLegendKey val="0"/>
          <c:showVal val="0"/>
          <c:showCatName val="0"/>
          <c:showSerName val="0"/>
          <c:showPercent val="0"/>
          <c:showBubbleSize val="0"/>
        </c:dLbls>
        <c:smooth val="0"/>
        <c:axId val="425796671"/>
        <c:axId val="416020095"/>
      </c:lineChart>
      <c:catAx>
        <c:axId val="425796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16020095"/>
        <c:crosses val="autoZero"/>
        <c:auto val="1"/>
        <c:lblAlgn val="ctr"/>
        <c:lblOffset val="100"/>
        <c:noMultiLvlLbl val="0"/>
      </c:catAx>
      <c:valAx>
        <c:axId val="41602009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5796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PROYECCIÓN PATRIMONIO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cat>
            <c:numRef>
              <c:f>Proyecciones!$F$65:$O$65</c:f>
              <c:numCache>
                <c:formatCode>General</c:formatCode>
                <c:ptCount val="10"/>
                <c:pt idx="0">
                  <c:v>2018</c:v>
                </c:pt>
                <c:pt idx="1">
                  <c:v>2019</c:v>
                </c:pt>
                <c:pt idx="2">
                  <c:v>2020</c:v>
                </c:pt>
                <c:pt idx="3">
                  <c:v>2021</c:v>
                </c:pt>
                <c:pt idx="4">
                  <c:v>2022</c:v>
                </c:pt>
                <c:pt idx="5">
                  <c:v>2023</c:v>
                </c:pt>
                <c:pt idx="6">
                  <c:v>2024</c:v>
                </c:pt>
                <c:pt idx="7">
                  <c:v>2025</c:v>
                </c:pt>
                <c:pt idx="8">
                  <c:v>2026</c:v>
                </c:pt>
                <c:pt idx="9">
                  <c:v>2027</c:v>
                </c:pt>
              </c:numCache>
            </c:numRef>
          </c:cat>
          <c:val>
            <c:numRef>
              <c:f>Proyecciones!$F$59:$O$59</c:f>
              <c:numCache>
                <c:formatCode>_(* #,##0_);_(* \(#,##0\);_(* "-"_);_(@_)</c:formatCode>
                <c:ptCount val="10"/>
                <c:pt idx="0">
                  <c:v>252392.95600000001</c:v>
                </c:pt>
                <c:pt idx="1">
                  <c:v>375020.69900000002</c:v>
                </c:pt>
                <c:pt idx="2">
                  <c:v>483208.02499999997</c:v>
                </c:pt>
                <c:pt idx="3">
                  <c:v>508640.81999999995</c:v>
                </c:pt>
                <c:pt idx="4">
                  <c:v>475630.01199999993</c:v>
                </c:pt>
                <c:pt idx="5" formatCode="_-* #,##0_-;\-* #,##0_-;_-* &quot;-&quot;??_-;_-@_-">
                  <c:v>489898.91235999996</c:v>
                </c:pt>
                <c:pt idx="6" formatCode="_-* #,##0_-;\-* #,##0_-;_-* &quot;-&quot;??_-;_-@_-">
                  <c:v>504595.87973079999</c:v>
                </c:pt>
                <c:pt idx="7" formatCode="_-* #,##0_-;\-* #,##0_-;_-* &quot;-&quot;??_-;_-@_-">
                  <c:v>519733.75612272398</c:v>
                </c:pt>
                <c:pt idx="8" formatCode="_-* #,##0_-;\-* #,##0_-;_-* &quot;-&quot;??_-;_-@_-">
                  <c:v>535325.76880640571</c:v>
                </c:pt>
                <c:pt idx="9" formatCode="_-* #,##0_-;\-* #,##0_-;_-* &quot;-&quot;??_-;_-@_-">
                  <c:v>551385.54187059787</c:v>
                </c:pt>
              </c:numCache>
            </c:numRef>
          </c:val>
          <c:smooth val="0"/>
          <c:extLst>
            <c:ext xmlns:c16="http://schemas.microsoft.com/office/drawing/2014/chart" uri="{C3380CC4-5D6E-409C-BE32-E72D297353CC}">
              <c16:uniqueId val="{00000000-731E-4F2B-94B4-B23B90F94598}"/>
            </c:ext>
          </c:extLst>
        </c:ser>
        <c:dLbls>
          <c:showLegendKey val="0"/>
          <c:showVal val="0"/>
          <c:showCatName val="0"/>
          <c:showSerName val="0"/>
          <c:showPercent val="0"/>
          <c:showBubbleSize val="0"/>
        </c:dLbls>
        <c:smooth val="0"/>
        <c:axId val="2076900432"/>
        <c:axId val="2076895440"/>
      </c:lineChart>
      <c:catAx>
        <c:axId val="207690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76895440"/>
        <c:crosses val="autoZero"/>
        <c:auto val="1"/>
        <c:lblAlgn val="ctr"/>
        <c:lblOffset val="100"/>
        <c:noMultiLvlLbl val="0"/>
      </c:catAx>
      <c:valAx>
        <c:axId val="2076895440"/>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769004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PROYECCIÓN VENTAS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cat>
            <c:numRef>
              <c:f>Proyecciones!$F$65:$O$65</c:f>
              <c:numCache>
                <c:formatCode>General</c:formatCode>
                <c:ptCount val="10"/>
                <c:pt idx="0">
                  <c:v>2018</c:v>
                </c:pt>
                <c:pt idx="1">
                  <c:v>2019</c:v>
                </c:pt>
                <c:pt idx="2">
                  <c:v>2020</c:v>
                </c:pt>
                <c:pt idx="3">
                  <c:v>2021</c:v>
                </c:pt>
                <c:pt idx="4">
                  <c:v>2022</c:v>
                </c:pt>
                <c:pt idx="5">
                  <c:v>2023</c:v>
                </c:pt>
                <c:pt idx="6">
                  <c:v>2024</c:v>
                </c:pt>
                <c:pt idx="7">
                  <c:v>2025</c:v>
                </c:pt>
                <c:pt idx="8">
                  <c:v>2026</c:v>
                </c:pt>
                <c:pt idx="9">
                  <c:v>2027</c:v>
                </c:pt>
              </c:numCache>
            </c:numRef>
          </c:cat>
          <c:val>
            <c:numRef>
              <c:f>Proyecciones!$F$67:$O$67</c:f>
              <c:numCache>
                <c:formatCode>_-* #,##0_-;\-* #,##0_-;_-* "-"??_-;_-@_-</c:formatCode>
                <c:ptCount val="10"/>
                <c:pt idx="0">
                  <c:v>5437074.3200000003</c:v>
                </c:pt>
                <c:pt idx="1">
                  <c:v>5760384.8439999996</c:v>
                </c:pt>
                <c:pt idx="2">
                  <c:v>5973143.3619999997</c:v>
                </c:pt>
                <c:pt idx="3">
                  <c:v>4665256.33</c:v>
                </c:pt>
                <c:pt idx="4">
                  <c:v>6088081.801</c:v>
                </c:pt>
                <c:pt idx="5">
                  <c:v>6270724.2550300006</c:v>
                </c:pt>
                <c:pt idx="6">
                  <c:v>6458845.982680901</c:v>
                </c:pt>
                <c:pt idx="7">
                  <c:v>6652611.3621613281</c:v>
                </c:pt>
                <c:pt idx="8">
                  <c:v>6852189.703026168</c:v>
                </c:pt>
                <c:pt idx="9">
                  <c:v>7057755.394116953</c:v>
                </c:pt>
              </c:numCache>
            </c:numRef>
          </c:val>
          <c:smooth val="0"/>
          <c:extLst>
            <c:ext xmlns:c16="http://schemas.microsoft.com/office/drawing/2014/chart" uri="{C3380CC4-5D6E-409C-BE32-E72D297353CC}">
              <c16:uniqueId val="{00000000-823F-4C00-9187-C655FAB33A2A}"/>
            </c:ext>
          </c:extLst>
        </c:ser>
        <c:dLbls>
          <c:showLegendKey val="0"/>
          <c:showVal val="0"/>
          <c:showCatName val="0"/>
          <c:showSerName val="0"/>
          <c:showPercent val="0"/>
          <c:showBubbleSize val="0"/>
        </c:dLbls>
        <c:smooth val="0"/>
        <c:axId val="2077550256"/>
        <c:axId val="2077552752"/>
      </c:lineChart>
      <c:catAx>
        <c:axId val="2077550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77552752"/>
        <c:crosses val="autoZero"/>
        <c:auto val="1"/>
        <c:lblAlgn val="ctr"/>
        <c:lblOffset val="100"/>
        <c:noMultiLvlLbl val="0"/>
      </c:catAx>
      <c:valAx>
        <c:axId val="2077552752"/>
        <c:scaling>
          <c:orientation val="minMax"/>
        </c:scaling>
        <c:delete val="0"/>
        <c:axPos val="l"/>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775502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PROYECCIÓN TASA Kd E.A.</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Proyecciones!$R$16</c:f>
              <c:strCache>
                <c:ptCount val="1"/>
                <c:pt idx="0">
                  <c:v>TASA Kd E.A.</c:v>
                </c:pt>
              </c:strCache>
            </c:strRef>
          </c:tx>
          <c:spPr>
            <a:ln w="28575" cap="rnd">
              <a:solidFill>
                <a:schemeClr val="accent1"/>
              </a:solidFill>
              <a:round/>
            </a:ln>
            <a:effectLst/>
          </c:spPr>
          <c:marker>
            <c:symbol val="none"/>
          </c:marker>
          <c:dLbls>
            <c:dLbl>
              <c:idx val="3"/>
              <c:layout>
                <c:manualLayout>
                  <c:x val="-2.5470660706933173E-3"/>
                  <c:y val="5.32123190869783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40-4CDC-AF38-4B18877D4D23}"/>
                </c:ext>
              </c:extLst>
            </c:dLbl>
            <c:dLbl>
              <c:idx val="8"/>
              <c:layout>
                <c:manualLayout>
                  <c:x val="0"/>
                  <c:y val="-2.4559531886297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40-4CDC-AF38-4B18877D4D23}"/>
                </c:ext>
              </c:extLst>
            </c:dLbl>
            <c:dLbl>
              <c:idx val="9"/>
              <c:layout>
                <c:manualLayout>
                  <c:x val="-7.6411982120799518E-3"/>
                  <c:y val="5.3212319086978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40-4CDC-AF38-4B18877D4D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Proyecciones!$S$15:$AB$15</c:f>
              <c:numCache>
                <c:formatCode>General</c:formatCode>
                <c:ptCount val="10"/>
                <c:pt idx="0">
                  <c:v>2018</c:v>
                </c:pt>
                <c:pt idx="1">
                  <c:v>2019</c:v>
                </c:pt>
                <c:pt idx="2">
                  <c:v>2020</c:v>
                </c:pt>
                <c:pt idx="3">
                  <c:v>2021</c:v>
                </c:pt>
                <c:pt idx="4">
                  <c:v>2022</c:v>
                </c:pt>
                <c:pt idx="5">
                  <c:v>2023</c:v>
                </c:pt>
                <c:pt idx="6">
                  <c:v>2024</c:v>
                </c:pt>
                <c:pt idx="7">
                  <c:v>2025</c:v>
                </c:pt>
                <c:pt idx="8">
                  <c:v>2026</c:v>
                </c:pt>
                <c:pt idx="9">
                  <c:v>2027</c:v>
                </c:pt>
              </c:numCache>
            </c:numRef>
          </c:cat>
          <c:val>
            <c:numRef>
              <c:f>Proyecciones!$S$16:$AB$16</c:f>
              <c:numCache>
                <c:formatCode>0.00%</c:formatCode>
                <c:ptCount val="10"/>
                <c:pt idx="0" formatCode="0.0%">
                  <c:v>0.15</c:v>
                </c:pt>
                <c:pt idx="1">
                  <c:v>0.1124</c:v>
                </c:pt>
                <c:pt idx="2">
                  <c:v>9.7100000000000006E-2</c:v>
                </c:pt>
                <c:pt idx="3">
                  <c:v>7.5800000000000006E-2</c:v>
                </c:pt>
                <c:pt idx="4">
                  <c:v>7.4399999999999994E-2</c:v>
                </c:pt>
                <c:pt idx="5">
                  <c:v>0.1598</c:v>
                </c:pt>
                <c:pt idx="6">
                  <c:v>0.14319041725601123</c:v>
                </c:pt>
                <c:pt idx="7">
                  <c:v>0.11243193069306923</c:v>
                </c:pt>
                <c:pt idx="8">
                  <c:v>7.6547029702970226E-2</c:v>
                </c:pt>
                <c:pt idx="9">
                  <c:v>7.1420615275813226E-2</c:v>
                </c:pt>
              </c:numCache>
            </c:numRef>
          </c:val>
          <c:smooth val="0"/>
          <c:extLst>
            <c:ext xmlns:c16="http://schemas.microsoft.com/office/drawing/2014/chart" uri="{C3380CC4-5D6E-409C-BE32-E72D297353CC}">
              <c16:uniqueId val="{00000000-E340-4CDC-AF38-4B18877D4D23}"/>
            </c:ext>
          </c:extLst>
        </c:ser>
        <c:dLbls>
          <c:showLegendKey val="0"/>
          <c:showVal val="0"/>
          <c:showCatName val="0"/>
          <c:showSerName val="0"/>
          <c:showPercent val="0"/>
          <c:showBubbleSize val="0"/>
        </c:dLbls>
        <c:smooth val="0"/>
        <c:axId val="1209346767"/>
        <c:axId val="1242397167"/>
      </c:lineChart>
      <c:catAx>
        <c:axId val="12093467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242397167"/>
        <c:crosses val="autoZero"/>
        <c:auto val="1"/>
        <c:lblAlgn val="ctr"/>
        <c:lblOffset val="100"/>
        <c:noMultiLvlLbl val="0"/>
      </c:catAx>
      <c:valAx>
        <c:axId val="1242397167"/>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93467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VALORACIÓN</a:t>
            </a:r>
            <a:r>
              <a:rPr lang="es-CO" baseline="0"/>
              <a:t> COMPARADA MERCADO</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dLbl>
              <c:idx val="1"/>
              <c:layout>
                <c:manualLayout>
                  <c:x val="-3.1974420463629681E-3"/>
                  <c:y val="3.60360360360360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AC-4236-8F21-E76E882EB7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'Valoración Sin Estrategia'!$A$163:$A$165</c:f>
              <c:strCache>
                <c:ptCount val="3"/>
                <c:pt idx="0">
                  <c:v>Patrimonial</c:v>
                </c:pt>
                <c:pt idx="1">
                  <c:v>Sustancial  Neto</c:v>
                </c:pt>
                <c:pt idx="2">
                  <c:v>FCLD</c:v>
                </c:pt>
              </c:strCache>
            </c:strRef>
          </c:cat>
          <c:val>
            <c:numRef>
              <c:f>'Valoración Sin Estrategia'!$H$163:$H$165</c:f>
              <c:numCache>
                <c:formatCode>0.00\ \X</c:formatCode>
                <c:ptCount val="3"/>
                <c:pt idx="0">
                  <c:v>1.1592740743000003</c:v>
                </c:pt>
                <c:pt idx="1">
                  <c:v>2.5755938926713489</c:v>
                </c:pt>
                <c:pt idx="2">
                  <c:v>0.45219568208168209</c:v>
                </c:pt>
              </c:numCache>
            </c:numRef>
          </c:val>
          <c:extLst>
            <c:ext xmlns:c16="http://schemas.microsoft.com/office/drawing/2014/chart" uri="{C3380CC4-5D6E-409C-BE32-E72D297353CC}">
              <c16:uniqueId val="{00000000-95AC-4236-8F21-E76E882EB725}"/>
            </c:ext>
          </c:extLst>
        </c:ser>
        <c:dLbls>
          <c:showLegendKey val="0"/>
          <c:showVal val="0"/>
          <c:showCatName val="0"/>
          <c:showSerName val="0"/>
          <c:showPercent val="0"/>
          <c:showBubbleSize val="0"/>
        </c:dLbls>
        <c:gapWidth val="219"/>
        <c:overlap val="-27"/>
        <c:axId val="2124607103"/>
        <c:axId val="2125626031"/>
      </c:barChart>
      <c:lineChart>
        <c:grouping val="standard"/>
        <c:varyColors val="0"/>
        <c:ser>
          <c:idx val="1"/>
          <c:order val="1"/>
          <c:spPr>
            <a:ln w="28575" cap="rnd">
              <a:solidFill>
                <a:schemeClr val="accent2"/>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95AC-4236-8F21-E76E882EB725}"/>
                </c:ext>
              </c:extLst>
            </c:dLbl>
            <c:dLbl>
              <c:idx val="1"/>
              <c:delete val="1"/>
              <c:extLst>
                <c:ext xmlns:c15="http://schemas.microsoft.com/office/drawing/2012/chart" uri="{CE6537A1-D6FC-4f65-9D91-7224C49458BB}"/>
                <c:ext xmlns:c16="http://schemas.microsoft.com/office/drawing/2014/chart" uri="{C3380CC4-5D6E-409C-BE32-E72D297353CC}">
                  <c16:uniqueId val="{00000002-95AC-4236-8F21-E76E882EB7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'Valoración Sin Estrategia'!$A$163:$A$165</c:f>
              <c:strCache>
                <c:ptCount val="3"/>
                <c:pt idx="0">
                  <c:v>Patrimonial</c:v>
                </c:pt>
                <c:pt idx="1">
                  <c:v>Sustancial  Neto</c:v>
                </c:pt>
                <c:pt idx="2">
                  <c:v>FCLD</c:v>
                </c:pt>
              </c:strCache>
            </c:strRef>
          </c:cat>
          <c:val>
            <c:numRef>
              <c:f>'Valoración Sin Estrategia'!$I$163:$I$165</c:f>
              <c:numCache>
                <c:formatCode>0.00\ \X</c:formatCode>
                <c:ptCount val="3"/>
                <c:pt idx="0">
                  <c:v>2.59</c:v>
                </c:pt>
                <c:pt idx="1">
                  <c:v>2.59</c:v>
                </c:pt>
                <c:pt idx="2">
                  <c:v>2.59</c:v>
                </c:pt>
              </c:numCache>
            </c:numRef>
          </c:val>
          <c:smooth val="0"/>
          <c:extLst>
            <c:ext xmlns:c16="http://schemas.microsoft.com/office/drawing/2014/chart" uri="{C3380CC4-5D6E-409C-BE32-E72D297353CC}">
              <c16:uniqueId val="{00000001-95AC-4236-8F21-E76E882EB725}"/>
            </c:ext>
          </c:extLst>
        </c:ser>
        <c:dLbls>
          <c:showLegendKey val="0"/>
          <c:showVal val="0"/>
          <c:showCatName val="0"/>
          <c:showSerName val="0"/>
          <c:showPercent val="0"/>
          <c:showBubbleSize val="0"/>
        </c:dLbls>
        <c:marker val="1"/>
        <c:smooth val="0"/>
        <c:axId val="2124607103"/>
        <c:axId val="2125626031"/>
      </c:lineChart>
      <c:catAx>
        <c:axId val="2124607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25626031"/>
        <c:crosses val="autoZero"/>
        <c:auto val="1"/>
        <c:lblAlgn val="ctr"/>
        <c:lblOffset val="100"/>
        <c:noMultiLvlLbl val="0"/>
      </c:catAx>
      <c:valAx>
        <c:axId val="2125626031"/>
        <c:scaling>
          <c:orientation val="minMax"/>
        </c:scaling>
        <c:delete val="0"/>
        <c:axPos val="l"/>
        <c:majorGridlines>
          <c:spPr>
            <a:ln w="9525" cap="flat" cmpd="sng" algn="ctr">
              <a:solidFill>
                <a:schemeClr val="tx1">
                  <a:lumMod val="15000"/>
                  <a:lumOff val="85000"/>
                </a:schemeClr>
              </a:solidFill>
              <a:round/>
            </a:ln>
            <a:effectLst/>
          </c:spPr>
        </c:majorGridlines>
        <c:numFmt formatCode="0.00\ \X"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246071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FLUJO</a:t>
            </a:r>
            <a:r>
              <a:rPr lang="es-CO" baseline="0"/>
              <a:t> DE CAJA PROYECTADA</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dLbls>
            <c:dLbl>
              <c:idx val="1"/>
              <c:layout>
                <c:manualLayout>
                  <c:x val="-2.5236590273910894E-2"/>
                  <c:y val="5.76293266856784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27-4217-BDA8-A4D36BB69944}"/>
                </c:ext>
              </c:extLst>
            </c:dLbl>
            <c:dLbl>
              <c:idx val="2"/>
              <c:layout>
                <c:manualLayout>
                  <c:x val="-5.60813117198029E-3"/>
                  <c:y val="7.85854454804705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327-4217-BDA8-A4D36BB69944}"/>
                </c:ext>
              </c:extLst>
            </c:dLbl>
            <c:dLbl>
              <c:idx val="3"/>
              <c:layout>
                <c:manualLayout>
                  <c:x val="-3.8775811202926579E-2"/>
                  <c:y val="-9.19152696264572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15-4F58-8E96-6276FCD6277C}"/>
                </c:ext>
              </c:extLst>
            </c:dLbl>
            <c:dLbl>
              <c:idx val="4"/>
              <c:layout>
                <c:manualLayout>
                  <c:x val="-1.0281455043051001E-16"/>
                  <c:y val="9.43025345765647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15-4F58-8E96-6276FCD627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'Valoración Sin Estrategia'!$F$72:$J$72</c:f>
              <c:numCache>
                <c:formatCode>_("$"* #,##0_);_("$"* \(#,##0\);_("$"* "-"??_);_(@_)</c:formatCode>
                <c:ptCount val="5"/>
                <c:pt idx="0">
                  <c:v>3472.2362596176754</c:v>
                </c:pt>
                <c:pt idx="1">
                  <c:v>2206.5807914059551</c:v>
                </c:pt>
                <c:pt idx="2">
                  <c:v>4081.3184339476502</c:v>
                </c:pt>
                <c:pt idx="3">
                  <c:v>5910.5741575270658</c:v>
                </c:pt>
                <c:pt idx="4">
                  <c:v>6498.1983709245105</c:v>
                </c:pt>
              </c:numCache>
            </c:numRef>
          </c:val>
          <c:smooth val="0"/>
          <c:extLst>
            <c:ext xmlns:c16="http://schemas.microsoft.com/office/drawing/2014/chart" uri="{C3380CC4-5D6E-409C-BE32-E72D297353CC}">
              <c16:uniqueId val="{00000000-8415-4F58-8E96-6276FCD6277C}"/>
            </c:ext>
          </c:extLst>
        </c:ser>
        <c:dLbls>
          <c:showLegendKey val="0"/>
          <c:showVal val="0"/>
          <c:showCatName val="0"/>
          <c:showSerName val="0"/>
          <c:showPercent val="0"/>
          <c:showBubbleSize val="0"/>
        </c:dLbls>
        <c:smooth val="0"/>
        <c:axId val="2126629199"/>
        <c:axId val="2125436111"/>
      </c:lineChart>
      <c:catAx>
        <c:axId val="2126629199"/>
        <c:scaling>
          <c:orientation val="minMax"/>
        </c:scaling>
        <c:delete val="0"/>
        <c:axPos val="b"/>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25436111"/>
        <c:crosses val="autoZero"/>
        <c:auto val="1"/>
        <c:lblAlgn val="ctr"/>
        <c:lblOffset val="100"/>
        <c:noMultiLvlLbl val="0"/>
      </c:catAx>
      <c:valAx>
        <c:axId val="2125436111"/>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266291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PROYECCIÓN ACTIVO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cat>
            <c:numRef>
              <c:f>'Proyecciones + Estrategia'!$F$38:$O$38</c:f>
              <c:numCache>
                <c:formatCode>General</c:formatCode>
                <c:ptCount val="10"/>
                <c:pt idx="0">
                  <c:v>2018</c:v>
                </c:pt>
                <c:pt idx="1">
                  <c:v>2019</c:v>
                </c:pt>
                <c:pt idx="2">
                  <c:v>2020</c:v>
                </c:pt>
                <c:pt idx="3">
                  <c:v>2021</c:v>
                </c:pt>
                <c:pt idx="4">
                  <c:v>2022</c:v>
                </c:pt>
                <c:pt idx="5">
                  <c:v>2023</c:v>
                </c:pt>
                <c:pt idx="6">
                  <c:v>2024</c:v>
                </c:pt>
                <c:pt idx="7">
                  <c:v>2025</c:v>
                </c:pt>
                <c:pt idx="8">
                  <c:v>2026</c:v>
                </c:pt>
                <c:pt idx="9">
                  <c:v>2027</c:v>
                </c:pt>
              </c:numCache>
            </c:numRef>
          </c:cat>
          <c:val>
            <c:numRef>
              <c:f>'Proyecciones + Estrategia'!$F$48:$O$48</c:f>
              <c:numCache>
                <c:formatCode>_(* #,##0_);_(* \(#,##0\);_(* "-"_);_(@_)</c:formatCode>
                <c:ptCount val="10"/>
                <c:pt idx="0">
                  <c:v>1172264.5150000001</c:v>
                </c:pt>
                <c:pt idx="1">
                  <c:v>1384963.1740000001</c:v>
                </c:pt>
                <c:pt idx="2">
                  <c:v>1098404.183</c:v>
                </c:pt>
                <c:pt idx="3">
                  <c:v>1358052.1520000002</c:v>
                </c:pt>
                <c:pt idx="4">
                  <c:v>1685927.0279999999</c:v>
                </c:pt>
                <c:pt idx="5">
                  <c:v>1743450.8581953598</c:v>
                </c:pt>
                <c:pt idx="6">
                  <c:v>1806528.9102448681</c:v>
                </c:pt>
                <c:pt idx="7">
                  <c:v>1875610.5757726319</c:v>
                </c:pt>
                <c:pt idx="8">
                  <c:v>1945402.0452971314</c:v>
                </c:pt>
                <c:pt idx="9">
                  <c:v>2013782.9271893257</c:v>
                </c:pt>
              </c:numCache>
            </c:numRef>
          </c:val>
          <c:smooth val="0"/>
          <c:extLst>
            <c:ext xmlns:c16="http://schemas.microsoft.com/office/drawing/2014/chart" uri="{C3380CC4-5D6E-409C-BE32-E72D297353CC}">
              <c16:uniqueId val="{00000000-F2E7-41B5-A3CC-273D1095B41B}"/>
            </c:ext>
          </c:extLst>
        </c:ser>
        <c:dLbls>
          <c:showLegendKey val="0"/>
          <c:showVal val="0"/>
          <c:showCatName val="0"/>
          <c:showSerName val="0"/>
          <c:showPercent val="0"/>
          <c:showBubbleSize val="0"/>
        </c:dLbls>
        <c:smooth val="0"/>
        <c:axId val="1380935184"/>
        <c:axId val="1014988464"/>
      </c:lineChart>
      <c:catAx>
        <c:axId val="1380935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14988464"/>
        <c:crosses val="autoZero"/>
        <c:auto val="1"/>
        <c:lblAlgn val="ctr"/>
        <c:lblOffset val="100"/>
        <c:noMultiLvlLbl val="0"/>
      </c:catAx>
      <c:valAx>
        <c:axId val="1014988464"/>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80935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PROYECCIÓN PASIVO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cat>
            <c:numRef>
              <c:f>'Proyecciones + Estrategia'!$F$38:$O$38</c:f>
              <c:numCache>
                <c:formatCode>General</c:formatCode>
                <c:ptCount val="10"/>
                <c:pt idx="0">
                  <c:v>2018</c:v>
                </c:pt>
                <c:pt idx="1">
                  <c:v>2019</c:v>
                </c:pt>
                <c:pt idx="2">
                  <c:v>2020</c:v>
                </c:pt>
                <c:pt idx="3">
                  <c:v>2021</c:v>
                </c:pt>
                <c:pt idx="4">
                  <c:v>2022</c:v>
                </c:pt>
                <c:pt idx="5">
                  <c:v>2023</c:v>
                </c:pt>
                <c:pt idx="6">
                  <c:v>2024</c:v>
                </c:pt>
                <c:pt idx="7">
                  <c:v>2025</c:v>
                </c:pt>
                <c:pt idx="8">
                  <c:v>2026</c:v>
                </c:pt>
                <c:pt idx="9">
                  <c:v>2027</c:v>
                </c:pt>
              </c:numCache>
            </c:numRef>
          </c:cat>
          <c:val>
            <c:numRef>
              <c:f>'Proyecciones + Estrategia'!$F$57:$O$57</c:f>
              <c:numCache>
                <c:formatCode>_(* #,##0_);_(* \(#,##0\);_(* "-"_);_(@_)</c:formatCode>
                <c:ptCount val="10"/>
                <c:pt idx="0">
                  <c:v>919871.55900000001</c:v>
                </c:pt>
                <c:pt idx="1">
                  <c:v>1009942.4749999999</c:v>
                </c:pt>
                <c:pt idx="2">
                  <c:v>615196.15800000005</c:v>
                </c:pt>
                <c:pt idx="3">
                  <c:v>849411.33199999994</c:v>
                </c:pt>
                <c:pt idx="4">
                  <c:v>1210297.0159999998</c:v>
                </c:pt>
                <c:pt idx="5">
                  <c:v>1251592.3501859198</c:v>
                </c:pt>
                <c:pt idx="6">
                  <c:v>1296874.9614156466</c:v>
                </c:pt>
                <c:pt idx="7">
                  <c:v>1346467.4599401809</c:v>
                </c:pt>
                <c:pt idx="8">
                  <c:v>1396569.514124555</c:v>
                </c:pt>
                <c:pt idx="9">
                  <c:v>1445658.9325460333</c:v>
                </c:pt>
              </c:numCache>
            </c:numRef>
          </c:val>
          <c:smooth val="0"/>
          <c:extLst>
            <c:ext xmlns:c16="http://schemas.microsoft.com/office/drawing/2014/chart" uri="{C3380CC4-5D6E-409C-BE32-E72D297353CC}">
              <c16:uniqueId val="{00000000-180C-4778-9215-6B6A195C155F}"/>
            </c:ext>
          </c:extLst>
        </c:ser>
        <c:dLbls>
          <c:showLegendKey val="0"/>
          <c:showVal val="0"/>
          <c:showCatName val="0"/>
          <c:showSerName val="0"/>
          <c:showPercent val="0"/>
          <c:showBubbleSize val="0"/>
        </c:dLbls>
        <c:smooth val="0"/>
        <c:axId val="1375777904"/>
        <c:axId val="1375778320"/>
      </c:lineChart>
      <c:catAx>
        <c:axId val="1375777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75778320"/>
        <c:crosses val="autoZero"/>
        <c:auto val="1"/>
        <c:lblAlgn val="ctr"/>
        <c:lblOffset val="100"/>
        <c:noMultiLvlLbl val="0"/>
      </c:catAx>
      <c:valAx>
        <c:axId val="1375778320"/>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75777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22.xml"/><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5" Type="http://schemas.openxmlformats.org/officeDocument/2006/relationships/chart" Target="../charts/chart19.xml"/><Relationship Id="rId4"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3.tmp"/><Relationship Id="rId1" Type="http://schemas.openxmlformats.org/officeDocument/2006/relationships/image" Target="../media/image2.tmp"/><Relationship Id="rId4" Type="http://schemas.openxmlformats.org/officeDocument/2006/relationships/chart" Target="../charts/chart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16</xdr:col>
      <xdr:colOff>190501</xdr:colOff>
      <xdr:row>0</xdr:row>
      <xdr:rowOff>1</xdr:rowOff>
    </xdr:from>
    <xdr:to>
      <xdr:col>19</xdr:col>
      <xdr:colOff>186502</xdr:colOff>
      <xdr:row>9</xdr:row>
      <xdr:rowOff>190501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18677" y="1"/>
          <a:ext cx="3406588" cy="1916206"/>
        </a:xfrm>
        <a:prstGeom prst="rect">
          <a:avLst/>
        </a:prstGeom>
      </xdr:spPr>
    </xdr:pic>
    <xdr:clientData/>
  </xdr:twoCellAnchor>
  <xdr:twoCellAnchor>
    <xdr:from>
      <xdr:col>16</xdr:col>
      <xdr:colOff>266700</xdr:colOff>
      <xdr:row>13</xdr:row>
      <xdr:rowOff>152400</xdr:rowOff>
    </xdr:from>
    <xdr:to>
      <xdr:col>21</xdr:col>
      <xdr:colOff>466725</xdr:colOff>
      <xdr:row>38</xdr:row>
      <xdr:rowOff>19050</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868275" y="2752725"/>
          <a:ext cx="5000625" cy="30289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CO" sz="1100" b="1"/>
            <a:t>Cuentas</a:t>
          </a:r>
          <a:r>
            <a:rPr lang="es-CO" sz="1100" b="1" baseline="0"/>
            <a:t> de Alto Impacto (Activo):</a:t>
          </a:r>
        </a:p>
        <a:p>
          <a:r>
            <a:rPr lang="es-CO" sz="1100" b="1" baseline="0"/>
            <a:t> Las cuentas de alto impacto en el activo corriente, son Efectivo y equivalente al efectivo, Deudores comerciales y otros e inventarios.</a:t>
          </a:r>
        </a:p>
        <a:p>
          <a:r>
            <a:rPr lang="es-CO" sz="1100" b="1" baseline="0"/>
            <a:t>Para el Activo no corriente las cuentas que mas impactan son, Propiedad planta y equipo y Deudores comerciales.</a:t>
          </a:r>
        </a:p>
        <a:p>
          <a:endParaRPr lang="es-CO" sz="1100" b="0" baseline="0"/>
        </a:p>
      </xdr:txBody>
    </xdr:sp>
    <xdr:clientData/>
  </xdr:twoCellAnchor>
  <xdr:twoCellAnchor>
    <xdr:from>
      <xdr:col>16</xdr:col>
      <xdr:colOff>266700</xdr:colOff>
      <xdr:row>41</xdr:row>
      <xdr:rowOff>114300</xdr:rowOff>
    </xdr:from>
    <xdr:to>
      <xdr:col>21</xdr:col>
      <xdr:colOff>466725</xdr:colOff>
      <xdr:row>63</xdr:row>
      <xdr:rowOff>28575</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12868275" y="6448425"/>
          <a:ext cx="5000625" cy="22764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CO" sz="1100" b="1"/>
            <a:t>Cuentas</a:t>
          </a:r>
          <a:r>
            <a:rPr lang="es-CO" sz="1100" b="1" baseline="0"/>
            <a:t> de Alto Impacto (Pasivo): </a:t>
          </a:r>
        </a:p>
        <a:p>
          <a:r>
            <a:rPr lang="es-CO" sz="1100" b="0" baseline="0"/>
            <a:t>En la cuenta de pasiva corriente la de mayor impacto es proveedores.</a:t>
          </a:r>
        </a:p>
        <a:p>
          <a:r>
            <a:rPr lang="es-CO" sz="1100" b="0" baseline="0"/>
            <a:t>En el pasivo no corriente se tienen obligaciones financieras, titulos emitidos y provisiones.</a:t>
          </a:r>
          <a:endParaRPr lang="es-CO" sz="1100" b="1" baseline="0"/>
        </a:p>
      </xdr:txBody>
    </xdr:sp>
    <xdr:clientData/>
  </xdr:twoCellAnchor>
  <xdr:twoCellAnchor>
    <xdr:from>
      <xdr:col>16</xdr:col>
      <xdr:colOff>276225</xdr:colOff>
      <xdr:row>66</xdr:row>
      <xdr:rowOff>9525</xdr:rowOff>
    </xdr:from>
    <xdr:to>
      <xdr:col>21</xdr:col>
      <xdr:colOff>476250</xdr:colOff>
      <xdr:row>78</xdr:row>
      <xdr:rowOff>85725</xdr:rowOff>
    </xdr:to>
    <xdr:sp macro="" textlink="">
      <xdr:nvSpPr>
        <xdr:cNvPr id="5" name="CuadroTexto 4">
          <a:extLst>
            <a:ext uri="{FF2B5EF4-FFF2-40B4-BE49-F238E27FC236}">
              <a16:creationId xmlns:a16="http://schemas.microsoft.com/office/drawing/2014/main" id="{00000000-0008-0000-0000-000005000000}"/>
            </a:ext>
          </a:extLst>
        </xdr:cNvPr>
        <xdr:cNvSpPr txBox="1"/>
      </xdr:nvSpPr>
      <xdr:spPr>
        <a:xfrm>
          <a:off x="12877800" y="9277350"/>
          <a:ext cx="5000625" cy="18288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CO" sz="1100" b="1"/>
            <a:t>Cuentas</a:t>
          </a:r>
          <a:r>
            <a:rPr lang="es-CO" sz="1100" b="1" baseline="0"/>
            <a:t> de Alto Impacto (Patrimonio): </a:t>
          </a:r>
        </a:p>
        <a:p>
          <a:endParaRPr lang="es-CO" sz="1100" b="1" baseline="0"/>
        </a:p>
        <a:p>
          <a:r>
            <a:rPr lang="es-CO" sz="1100" b="1" baseline="0"/>
            <a:t>La cuenta de mayor impacto es la de utilidades.</a:t>
          </a:r>
          <a:endParaRPr lang="es-CO" sz="1100" b="0" baseline="0"/>
        </a:p>
      </xdr:txBody>
    </xdr:sp>
    <xdr:clientData/>
  </xdr:twoCellAnchor>
  <xdr:twoCellAnchor>
    <xdr:from>
      <xdr:col>18</xdr:col>
      <xdr:colOff>0</xdr:colOff>
      <xdr:row>97</xdr:row>
      <xdr:rowOff>0</xdr:rowOff>
    </xdr:from>
    <xdr:to>
      <xdr:col>29</xdr:col>
      <xdr:colOff>19051</xdr:colOff>
      <xdr:row>103</xdr:row>
      <xdr:rowOff>85725</xdr:rowOff>
    </xdr:to>
    <xdr:sp macro="" textlink="">
      <xdr:nvSpPr>
        <xdr:cNvPr id="6" name="CuadroTexto 5">
          <a:extLst>
            <a:ext uri="{FF2B5EF4-FFF2-40B4-BE49-F238E27FC236}">
              <a16:creationId xmlns:a16="http://schemas.microsoft.com/office/drawing/2014/main" id="{00000000-0008-0000-0000-000006000000}"/>
            </a:ext>
          </a:extLst>
        </xdr:cNvPr>
        <xdr:cNvSpPr txBox="1"/>
      </xdr:nvSpPr>
      <xdr:spPr>
        <a:xfrm>
          <a:off x="14820900" y="14859000"/>
          <a:ext cx="9305926" cy="12477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CO" sz="1100" b="1"/>
            <a:t>Análisis de Estructura</a:t>
          </a:r>
          <a:r>
            <a:rPr lang="es-CO" sz="1100" b="1" baseline="0"/>
            <a:t> Financiera Empresarial:</a:t>
          </a:r>
        </a:p>
        <a:p>
          <a:endParaRPr lang="es-CO" sz="1100" b="1" baseline="0"/>
        </a:p>
        <a:p>
          <a:r>
            <a:rPr lang="es-CO" sz="1100" b="0" i="0">
              <a:solidFill>
                <a:schemeClr val="dk1"/>
              </a:solidFill>
              <a:effectLst/>
              <a:latin typeface="+mn-lt"/>
              <a:ea typeface="+mn-ea"/>
              <a:cs typeface="+mn-cs"/>
            </a:rPr>
            <a:t>Para la compañía se hizo un análisis de su Estado de Resultados evidenciandose que sus</a:t>
          </a:r>
          <a:r>
            <a:rPr lang="es-CO" sz="1100" b="0" i="0" baseline="0">
              <a:solidFill>
                <a:schemeClr val="dk1"/>
              </a:solidFill>
              <a:effectLst/>
              <a:latin typeface="+mn-lt"/>
              <a:ea typeface="+mn-ea"/>
              <a:cs typeface="+mn-cs"/>
            </a:rPr>
            <a:t> </a:t>
          </a:r>
          <a:r>
            <a:rPr lang="es-CO" sz="1100" b="0" i="0">
              <a:solidFill>
                <a:schemeClr val="dk1"/>
              </a:solidFill>
              <a:effectLst/>
              <a:latin typeface="+mn-lt"/>
              <a:ea typeface="+mn-ea"/>
              <a:cs typeface="+mn-cs"/>
            </a:rPr>
            <a:t>costos representan en su estructura promedio el 93,15%, cifra que se ubica fuera del rango estructural, ya que el objetivo es del 50%</a:t>
          </a:r>
          <a:r>
            <a:rPr lang="es-CO" sz="1100" b="0" i="0" baseline="0">
              <a:solidFill>
                <a:schemeClr val="dk1"/>
              </a:solidFill>
              <a:effectLst/>
              <a:latin typeface="+mn-lt"/>
              <a:ea typeface="+mn-ea"/>
              <a:cs typeface="+mn-cs"/>
            </a:rPr>
            <a:t> y </a:t>
          </a:r>
          <a:r>
            <a:rPr lang="es-CO" sz="1100" b="0" i="0">
              <a:solidFill>
                <a:schemeClr val="dk1"/>
              </a:solidFill>
              <a:effectLst/>
              <a:latin typeface="+mn-lt"/>
              <a:ea typeface="+mn-ea"/>
              <a:cs typeface="+mn-cs"/>
            </a:rPr>
            <a:t>se</a:t>
          </a:r>
          <a:r>
            <a:rPr lang="es-CO" sz="1100" b="0" i="0" baseline="0">
              <a:solidFill>
                <a:schemeClr val="dk1"/>
              </a:solidFill>
              <a:effectLst/>
              <a:latin typeface="+mn-lt"/>
              <a:ea typeface="+mn-ea"/>
              <a:cs typeface="+mn-cs"/>
            </a:rPr>
            <a:t> debe</a:t>
          </a:r>
          <a:r>
            <a:rPr lang="es-CO" sz="1100" b="0" i="0">
              <a:solidFill>
                <a:schemeClr val="dk1"/>
              </a:solidFill>
              <a:effectLst/>
              <a:latin typeface="+mn-lt"/>
              <a:ea typeface="+mn-ea"/>
              <a:cs typeface="+mn-cs"/>
            </a:rPr>
            <a:t> concentrar las estrategias para que esta diferencia en los rangos se</a:t>
          </a:r>
          <a:r>
            <a:rPr lang="es-CO" sz="1100" b="0" i="0" baseline="0">
              <a:solidFill>
                <a:schemeClr val="dk1"/>
              </a:solidFill>
              <a:effectLst/>
              <a:latin typeface="+mn-lt"/>
              <a:ea typeface="+mn-ea"/>
              <a:cs typeface="+mn-cs"/>
            </a:rPr>
            <a:t> acerque al rango esperado</a:t>
          </a:r>
          <a:r>
            <a:rPr lang="es-CO" sz="1100" b="0" i="0">
              <a:solidFill>
                <a:schemeClr val="dk1"/>
              </a:solidFill>
              <a:effectLst/>
              <a:latin typeface="+mn-lt"/>
              <a:ea typeface="+mn-ea"/>
              <a:cs typeface="+mn-cs"/>
            </a:rPr>
            <a:t>. </a:t>
          </a:r>
        </a:p>
        <a:p>
          <a:r>
            <a:rPr lang="es-CO" sz="1100" b="0" i="0">
              <a:solidFill>
                <a:schemeClr val="dk1"/>
              </a:solidFill>
              <a:effectLst/>
              <a:latin typeface="+mn-lt"/>
              <a:ea typeface="+mn-ea"/>
              <a:cs typeface="+mn-cs"/>
            </a:rPr>
            <a:t>En cuanto a los gastos operativos, estos son del 5,07%, siendo favorables para la compañía ya que el rango minimo estructural es del 20%. De acuerdo a lo anterior, el efecto de tener unos costos fuera de los rangos conlleva a que la rentabilidad de la compañía sea baja.</a:t>
          </a:r>
          <a:endParaRPr lang="es-CO" sz="1100" b="0" baseline="0"/>
        </a:p>
      </xdr:txBody>
    </xdr:sp>
    <xdr:clientData/>
  </xdr:twoCellAnchor>
</xdr:wsDr>
</file>

<file path=xl/drawings/drawing10.xml><?xml version="1.0" encoding="utf-8"?>
<c:userShapes xmlns:c="http://schemas.openxmlformats.org/drawingml/2006/chart">
  <cdr:relSizeAnchor xmlns:cdr="http://schemas.openxmlformats.org/drawingml/2006/chartDrawing">
    <cdr:from>
      <cdr:x>0.52153</cdr:x>
      <cdr:y>0.15346</cdr:y>
    </cdr:from>
    <cdr:to>
      <cdr:x>0.53054</cdr:x>
      <cdr:y>0.88201</cdr:y>
    </cdr:to>
    <cdr:cxnSp macro="">
      <cdr:nvCxnSpPr>
        <cdr:cNvPr id="2" name="Conector recto 1">
          <a:extLst xmlns:a="http://schemas.openxmlformats.org/drawingml/2006/main">
            <a:ext uri="{FF2B5EF4-FFF2-40B4-BE49-F238E27FC236}">
              <a16:creationId xmlns:a16="http://schemas.microsoft.com/office/drawing/2014/main" id="{066631AC-E18F-949E-0D57-3E6C29A62449}"/>
            </a:ext>
          </a:extLst>
        </cdr:cNvPr>
        <cdr:cNvCxnSpPr/>
      </cdr:nvCxnSpPr>
      <cdr:spPr>
        <a:xfrm xmlns:a="http://schemas.openxmlformats.org/drawingml/2006/main">
          <a:off x="2783742" y="505068"/>
          <a:ext cx="48115" cy="2397859"/>
        </a:xfrm>
        <a:prstGeom xmlns:a="http://schemas.openxmlformats.org/drawingml/2006/main" prst="line">
          <a:avLst/>
        </a:prstGeom>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11.xml><?xml version="1.0" encoding="utf-8"?>
<xdr:wsDr xmlns:xdr="http://schemas.openxmlformats.org/drawingml/2006/spreadsheetDrawing" xmlns:a="http://schemas.openxmlformats.org/drawingml/2006/main">
  <xdr:twoCellAnchor>
    <xdr:from>
      <xdr:col>13</xdr:col>
      <xdr:colOff>206375</xdr:colOff>
      <xdr:row>52</xdr:row>
      <xdr:rowOff>103188</xdr:rowOff>
    </xdr:from>
    <xdr:to>
      <xdr:col>18</xdr:col>
      <xdr:colOff>190500</xdr:colOff>
      <xdr:row>52</xdr:row>
      <xdr:rowOff>111126</xdr:rowOff>
    </xdr:to>
    <xdr:cxnSp macro="">
      <xdr:nvCxnSpPr>
        <xdr:cNvPr id="2" name="Conector recto 1">
          <a:extLst>
            <a:ext uri="{FF2B5EF4-FFF2-40B4-BE49-F238E27FC236}">
              <a16:creationId xmlns:a16="http://schemas.microsoft.com/office/drawing/2014/main" id="{24258AB4-E671-4B7C-8CC9-BB4CC9D195AC}"/>
            </a:ext>
          </a:extLst>
        </xdr:cNvPr>
        <xdr:cNvCxnSpPr/>
      </xdr:nvCxnSpPr>
      <xdr:spPr>
        <a:xfrm flipV="1">
          <a:off x="12407900" y="10847388"/>
          <a:ext cx="4032250" cy="79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428625</xdr:colOff>
      <xdr:row>50</xdr:row>
      <xdr:rowOff>71437</xdr:rowOff>
    </xdr:from>
    <xdr:to>
      <xdr:col>13</xdr:col>
      <xdr:colOff>428625</xdr:colOff>
      <xdr:row>52</xdr:row>
      <xdr:rowOff>111126</xdr:rowOff>
    </xdr:to>
    <xdr:cxnSp macro="">
      <xdr:nvCxnSpPr>
        <xdr:cNvPr id="3" name="Conector recto 2">
          <a:extLst>
            <a:ext uri="{FF2B5EF4-FFF2-40B4-BE49-F238E27FC236}">
              <a16:creationId xmlns:a16="http://schemas.microsoft.com/office/drawing/2014/main" id="{A9C96D37-3539-4078-A91C-D1C8A099390F}"/>
            </a:ext>
          </a:extLst>
        </xdr:cNvPr>
        <xdr:cNvCxnSpPr/>
      </xdr:nvCxnSpPr>
      <xdr:spPr>
        <a:xfrm flipV="1">
          <a:off x="12630150" y="10425112"/>
          <a:ext cx="0" cy="43021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642937</xdr:colOff>
      <xdr:row>49</xdr:row>
      <xdr:rowOff>134938</xdr:rowOff>
    </xdr:from>
    <xdr:to>
      <xdr:col>13</xdr:col>
      <xdr:colOff>652463</xdr:colOff>
      <xdr:row>52</xdr:row>
      <xdr:rowOff>112714</xdr:rowOff>
    </xdr:to>
    <xdr:cxnSp macro="">
      <xdr:nvCxnSpPr>
        <xdr:cNvPr id="4" name="Conector recto 3">
          <a:extLst>
            <a:ext uri="{FF2B5EF4-FFF2-40B4-BE49-F238E27FC236}">
              <a16:creationId xmlns:a16="http://schemas.microsoft.com/office/drawing/2014/main" id="{96DA1293-2A73-4DAE-B03C-9F117AB57BF4}"/>
            </a:ext>
          </a:extLst>
        </xdr:cNvPr>
        <xdr:cNvCxnSpPr/>
      </xdr:nvCxnSpPr>
      <xdr:spPr>
        <a:xfrm flipH="1" flipV="1">
          <a:off x="12844462" y="10288588"/>
          <a:ext cx="9526" cy="5683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63500</xdr:colOff>
      <xdr:row>50</xdr:row>
      <xdr:rowOff>79375</xdr:rowOff>
    </xdr:from>
    <xdr:to>
      <xdr:col>14</xdr:col>
      <xdr:colOff>66676</xdr:colOff>
      <xdr:row>52</xdr:row>
      <xdr:rowOff>122240</xdr:rowOff>
    </xdr:to>
    <xdr:cxnSp macro="">
      <xdr:nvCxnSpPr>
        <xdr:cNvPr id="5" name="Conector recto 4">
          <a:extLst>
            <a:ext uri="{FF2B5EF4-FFF2-40B4-BE49-F238E27FC236}">
              <a16:creationId xmlns:a16="http://schemas.microsoft.com/office/drawing/2014/main" id="{4F5A2916-0AC0-43E6-A45E-DD1947CE7C0C}"/>
            </a:ext>
          </a:extLst>
        </xdr:cNvPr>
        <xdr:cNvCxnSpPr/>
      </xdr:nvCxnSpPr>
      <xdr:spPr>
        <a:xfrm flipH="1" flipV="1">
          <a:off x="13093700" y="10433050"/>
          <a:ext cx="3176" cy="43339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322263</xdr:colOff>
      <xdr:row>49</xdr:row>
      <xdr:rowOff>7938</xdr:rowOff>
    </xdr:from>
    <xdr:to>
      <xdr:col>14</xdr:col>
      <xdr:colOff>325437</xdr:colOff>
      <xdr:row>52</xdr:row>
      <xdr:rowOff>115890</xdr:rowOff>
    </xdr:to>
    <xdr:cxnSp macro="">
      <xdr:nvCxnSpPr>
        <xdr:cNvPr id="6" name="Conector recto 5">
          <a:extLst>
            <a:ext uri="{FF2B5EF4-FFF2-40B4-BE49-F238E27FC236}">
              <a16:creationId xmlns:a16="http://schemas.microsoft.com/office/drawing/2014/main" id="{2AC090BD-AF0D-4F6E-8201-289DDAA8D069}"/>
            </a:ext>
          </a:extLst>
        </xdr:cNvPr>
        <xdr:cNvCxnSpPr/>
      </xdr:nvCxnSpPr>
      <xdr:spPr>
        <a:xfrm flipV="1">
          <a:off x="13352463" y="10161588"/>
          <a:ext cx="3174" cy="69850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601663</xdr:colOff>
      <xdr:row>49</xdr:row>
      <xdr:rowOff>119063</xdr:rowOff>
    </xdr:from>
    <xdr:to>
      <xdr:col>14</xdr:col>
      <xdr:colOff>603250</xdr:colOff>
      <xdr:row>52</xdr:row>
      <xdr:rowOff>117478</xdr:rowOff>
    </xdr:to>
    <xdr:cxnSp macro="">
      <xdr:nvCxnSpPr>
        <xdr:cNvPr id="7" name="Conector recto 6">
          <a:extLst>
            <a:ext uri="{FF2B5EF4-FFF2-40B4-BE49-F238E27FC236}">
              <a16:creationId xmlns:a16="http://schemas.microsoft.com/office/drawing/2014/main" id="{BD4BD0B5-9F84-4A29-92A7-4A9D6715339C}"/>
            </a:ext>
          </a:extLst>
        </xdr:cNvPr>
        <xdr:cNvCxnSpPr/>
      </xdr:nvCxnSpPr>
      <xdr:spPr>
        <a:xfrm flipV="1">
          <a:off x="13631863" y="10272713"/>
          <a:ext cx="1587" cy="58896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150813</xdr:colOff>
      <xdr:row>49</xdr:row>
      <xdr:rowOff>112713</xdr:rowOff>
    </xdr:from>
    <xdr:to>
      <xdr:col>15</xdr:col>
      <xdr:colOff>152400</xdr:colOff>
      <xdr:row>52</xdr:row>
      <xdr:rowOff>111128</xdr:rowOff>
    </xdr:to>
    <xdr:cxnSp macro="">
      <xdr:nvCxnSpPr>
        <xdr:cNvPr id="8" name="Conector recto 7">
          <a:extLst>
            <a:ext uri="{FF2B5EF4-FFF2-40B4-BE49-F238E27FC236}">
              <a16:creationId xmlns:a16="http://schemas.microsoft.com/office/drawing/2014/main" id="{FABB462F-A0D8-4A3C-8B00-4E11F1CC6B5B}"/>
            </a:ext>
          </a:extLst>
        </xdr:cNvPr>
        <xdr:cNvCxnSpPr/>
      </xdr:nvCxnSpPr>
      <xdr:spPr>
        <a:xfrm flipV="1">
          <a:off x="13943013" y="10266363"/>
          <a:ext cx="1587" cy="58896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404812</xdr:colOff>
      <xdr:row>49</xdr:row>
      <xdr:rowOff>39688</xdr:rowOff>
    </xdr:from>
    <xdr:to>
      <xdr:col>15</xdr:col>
      <xdr:colOff>406401</xdr:colOff>
      <xdr:row>52</xdr:row>
      <xdr:rowOff>112716</xdr:rowOff>
    </xdr:to>
    <xdr:cxnSp macro="">
      <xdr:nvCxnSpPr>
        <xdr:cNvPr id="9" name="Conector recto 8">
          <a:extLst>
            <a:ext uri="{FF2B5EF4-FFF2-40B4-BE49-F238E27FC236}">
              <a16:creationId xmlns:a16="http://schemas.microsoft.com/office/drawing/2014/main" id="{F5433A2F-93AF-41ED-8EA6-F1C534626EEA}"/>
            </a:ext>
          </a:extLst>
        </xdr:cNvPr>
        <xdr:cNvCxnSpPr/>
      </xdr:nvCxnSpPr>
      <xdr:spPr>
        <a:xfrm flipH="1" flipV="1">
          <a:off x="14197012" y="10193338"/>
          <a:ext cx="1589" cy="6635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677865</xdr:colOff>
      <xdr:row>48</xdr:row>
      <xdr:rowOff>127000</xdr:rowOff>
    </xdr:from>
    <xdr:to>
      <xdr:col>15</xdr:col>
      <xdr:colOff>682625</xdr:colOff>
      <xdr:row>52</xdr:row>
      <xdr:rowOff>114305</xdr:rowOff>
    </xdr:to>
    <xdr:cxnSp macro="">
      <xdr:nvCxnSpPr>
        <xdr:cNvPr id="10" name="Conector recto 9">
          <a:extLst>
            <a:ext uri="{FF2B5EF4-FFF2-40B4-BE49-F238E27FC236}">
              <a16:creationId xmlns:a16="http://schemas.microsoft.com/office/drawing/2014/main" id="{005160B7-66BA-4883-BDF0-CD307DC5AA67}"/>
            </a:ext>
          </a:extLst>
        </xdr:cNvPr>
        <xdr:cNvCxnSpPr/>
      </xdr:nvCxnSpPr>
      <xdr:spPr>
        <a:xfrm flipV="1">
          <a:off x="14470065" y="10090150"/>
          <a:ext cx="4760" cy="76835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195265</xdr:colOff>
      <xdr:row>48</xdr:row>
      <xdr:rowOff>47625</xdr:rowOff>
    </xdr:from>
    <xdr:to>
      <xdr:col>16</xdr:col>
      <xdr:colOff>198437</xdr:colOff>
      <xdr:row>52</xdr:row>
      <xdr:rowOff>100018</xdr:rowOff>
    </xdr:to>
    <xdr:cxnSp macro="">
      <xdr:nvCxnSpPr>
        <xdr:cNvPr id="11" name="Conector recto 10">
          <a:extLst>
            <a:ext uri="{FF2B5EF4-FFF2-40B4-BE49-F238E27FC236}">
              <a16:creationId xmlns:a16="http://schemas.microsoft.com/office/drawing/2014/main" id="{4FD04418-F8E7-4FD2-9298-3FD87C15FB3E}"/>
            </a:ext>
          </a:extLst>
        </xdr:cNvPr>
        <xdr:cNvCxnSpPr/>
      </xdr:nvCxnSpPr>
      <xdr:spPr>
        <a:xfrm flipV="1">
          <a:off x="14920915" y="10010775"/>
          <a:ext cx="3172" cy="83344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450853</xdr:colOff>
      <xdr:row>47</xdr:row>
      <xdr:rowOff>150813</xdr:rowOff>
    </xdr:from>
    <xdr:to>
      <xdr:col>16</xdr:col>
      <xdr:colOff>452437</xdr:colOff>
      <xdr:row>52</xdr:row>
      <xdr:rowOff>109543</xdr:rowOff>
    </xdr:to>
    <xdr:cxnSp macro="">
      <xdr:nvCxnSpPr>
        <xdr:cNvPr id="12" name="Conector recto 11">
          <a:extLst>
            <a:ext uri="{FF2B5EF4-FFF2-40B4-BE49-F238E27FC236}">
              <a16:creationId xmlns:a16="http://schemas.microsoft.com/office/drawing/2014/main" id="{B6D80412-9CC1-4D9E-9751-3CF8F90048ED}"/>
            </a:ext>
          </a:extLst>
        </xdr:cNvPr>
        <xdr:cNvCxnSpPr/>
      </xdr:nvCxnSpPr>
      <xdr:spPr>
        <a:xfrm flipV="1">
          <a:off x="15176503" y="9856788"/>
          <a:ext cx="1584" cy="99695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682628</xdr:colOff>
      <xdr:row>48</xdr:row>
      <xdr:rowOff>63500</xdr:rowOff>
    </xdr:from>
    <xdr:to>
      <xdr:col>18</xdr:col>
      <xdr:colOff>166687</xdr:colOff>
      <xdr:row>50</xdr:row>
      <xdr:rowOff>95259</xdr:rowOff>
    </xdr:to>
    <xdr:cxnSp macro="">
      <xdr:nvCxnSpPr>
        <xdr:cNvPr id="13" name="Conector recto 12">
          <a:extLst>
            <a:ext uri="{FF2B5EF4-FFF2-40B4-BE49-F238E27FC236}">
              <a16:creationId xmlns:a16="http://schemas.microsoft.com/office/drawing/2014/main" id="{1346391B-D346-41FA-B73B-D282A6C04580}"/>
            </a:ext>
          </a:extLst>
        </xdr:cNvPr>
        <xdr:cNvCxnSpPr/>
      </xdr:nvCxnSpPr>
      <xdr:spPr>
        <a:xfrm flipV="1">
          <a:off x="15408278" y="10026650"/>
          <a:ext cx="1008059" cy="42228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309562</xdr:colOff>
      <xdr:row>52</xdr:row>
      <xdr:rowOff>134937</xdr:rowOff>
    </xdr:from>
    <xdr:to>
      <xdr:col>13</xdr:col>
      <xdr:colOff>507999</xdr:colOff>
      <xdr:row>53</xdr:row>
      <xdr:rowOff>142874</xdr:rowOff>
    </xdr:to>
    <xdr:sp macro="" textlink="">
      <xdr:nvSpPr>
        <xdr:cNvPr id="14" name="Rectángulo 13">
          <a:extLst>
            <a:ext uri="{FF2B5EF4-FFF2-40B4-BE49-F238E27FC236}">
              <a16:creationId xmlns:a16="http://schemas.microsoft.com/office/drawing/2014/main" id="{85DAAB9E-7E4D-4538-A022-FFFF46299C69}"/>
            </a:ext>
          </a:extLst>
        </xdr:cNvPr>
        <xdr:cNvSpPr/>
      </xdr:nvSpPr>
      <xdr:spPr>
        <a:xfrm>
          <a:off x="12511087" y="10879137"/>
          <a:ext cx="198437" cy="20796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1</a:t>
          </a:r>
        </a:p>
      </xdr:txBody>
    </xdr:sp>
    <xdr:clientData/>
  </xdr:twoCellAnchor>
  <xdr:twoCellAnchor>
    <xdr:from>
      <xdr:col>13</xdr:col>
      <xdr:colOff>541337</xdr:colOff>
      <xdr:row>52</xdr:row>
      <xdr:rowOff>144462</xdr:rowOff>
    </xdr:from>
    <xdr:to>
      <xdr:col>13</xdr:col>
      <xdr:colOff>739774</xdr:colOff>
      <xdr:row>53</xdr:row>
      <xdr:rowOff>152399</xdr:rowOff>
    </xdr:to>
    <xdr:sp macro="" textlink="">
      <xdr:nvSpPr>
        <xdr:cNvPr id="15" name="Rectángulo 14">
          <a:extLst>
            <a:ext uri="{FF2B5EF4-FFF2-40B4-BE49-F238E27FC236}">
              <a16:creationId xmlns:a16="http://schemas.microsoft.com/office/drawing/2014/main" id="{1E67A7F3-4291-4FFF-A0A6-3FF368EBD918}"/>
            </a:ext>
          </a:extLst>
        </xdr:cNvPr>
        <xdr:cNvSpPr/>
      </xdr:nvSpPr>
      <xdr:spPr>
        <a:xfrm>
          <a:off x="12742862" y="10888662"/>
          <a:ext cx="198437" cy="20796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2</a:t>
          </a:r>
        </a:p>
      </xdr:txBody>
    </xdr:sp>
    <xdr:clientData/>
  </xdr:twoCellAnchor>
  <xdr:twoCellAnchor>
    <xdr:from>
      <xdr:col>13</xdr:col>
      <xdr:colOff>773112</xdr:colOff>
      <xdr:row>52</xdr:row>
      <xdr:rowOff>138112</xdr:rowOff>
    </xdr:from>
    <xdr:to>
      <xdr:col>14</xdr:col>
      <xdr:colOff>146049</xdr:colOff>
      <xdr:row>53</xdr:row>
      <xdr:rowOff>146049</xdr:rowOff>
    </xdr:to>
    <xdr:sp macro="" textlink="">
      <xdr:nvSpPr>
        <xdr:cNvPr id="16" name="Rectángulo 15">
          <a:extLst>
            <a:ext uri="{FF2B5EF4-FFF2-40B4-BE49-F238E27FC236}">
              <a16:creationId xmlns:a16="http://schemas.microsoft.com/office/drawing/2014/main" id="{6A6A8598-E601-4924-942F-43886FC81DDD}"/>
            </a:ext>
          </a:extLst>
        </xdr:cNvPr>
        <xdr:cNvSpPr/>
      </xdr:nvSpPr>
      <xdr:spPr>
        <a:xfrm>
          <a:off x="12974637" y="10882312"/>
          <a:ext cx="201612" cy="20796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3</a:t>
          </a:r>
        </a:p>
      </xdr:txBody>
    </xdr:sp>
    <xdr:clientData/>
  </xdr:twoCellAnchor>
  <xdr:twoCellAnchor>
    <xdr:from>
      <xdr:col>14</xdr:col>
      <xdr:colOff>203199</xdr:colOff>
      <xdr:row>52</xdr:row>
      <xdr:rowOff>155574</xdr:rowOff>
    </xdr:from>
    <xdr:to>
      <xdr:col>14</xdr:col>
      <xdr:colOff>401636</xdr:colOff>
      <xdr:row>53</xdr:row>
      <xdr:rowOff>163511</xdr:rowOff>
    </xdr:to>
    <xdr:sp macro="" textlink="">
      <xdr:nvSpPr>
        <xdr:cNvPr id="17" name="Rectángulo 16">
          <a:extLst>
            <a:ext uri="{FF2B5EF4-FFF2-40B4-BE49-F238E27FC236}">
              <a16:creationId xmlns:a16="http://schemas.microsoft.com/office/drawing/2014/main" id="{4D5C225D-4B45-499B-B698-D407B6094B33}"/>
            </a:ext>
          </a:extLst>
        </xdr:cNvPr>
        <xdr:cNvSpPr/>
      </xdr:nvSpPr>
      <xdr:spPr>
        <a:xfrm>
          <a:off x="13233399" y="10899774"/>
          <a:ext cx="198437" cy="20796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4</a:t>
          </a:r>
        </a:p>
      </xdr:txBody>
    </xdr:sp>
    <xdr:clientData/>
  </xdr:twoCellAnchor>
  <xdr:twoCellAnchor>
    <xdr:from>
      <xdr:col>14</xdr:col>
      <xdr:colOff>482599</xdr:colOff>
      <xdr:row>52</xdr:row>
      <xdr:rowOff>149224</xdr:rowOff>
    </xdr:from>
    <xdr:to>
      <xdr:col>14</xdr:col>
      <xdr:colOff>681036</xdr:colOff>
      <xdr:row>53</xdr:row>
      <xdr:rowOff>157161</xdr:rowOff>
    </xdr:to>
    <xdr:sp macro="" textlink="">
      <xdr:nvSpPr>
        <xdr:cNvPr id="18" name="Rectángulo 17">
          <a:extLst>
            <a:ext uri="{FF2B5EF4-FFF2-40B4-BE49-F238E27FC236}">
              <a16:creationId xmlns:a16="http://schemas.microsoft.com/office/drawing/2014/main" id="{4FC811F4-28D3-4A20-B2BF-432C6D28180A}"/>
            </a:ext>
          </a:extLst>
        </xdr:cNvPr>
        <xdr:cNvSpPr/>
      </xdr:nvSpPr>
      <xdr:spPr>
        <a:xfrm>
          <a:off x="13512799" y="10893424"/>
          <a:ext cx="198437" cy="20796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5</a:t>
          </a:r>
        </a:p>
      </xdr:txBody>
    </xdr:sp>
    <xdr:clientData/>
  </xdr:twoCellAnchor>
  <xdr:twoCellAnchor>
    <xdr:from>
      <xdr:col>15</xdr:col>
      <xdr:colOff>31749</xdr:colOff>
      <xdr:row>52</xdr:row>
      <xdr:rowOff>166686</xdr:rowOff>
    </xdr:from>
    <xdr:to>
      <xdr:col>15</xdr:col>
      <xdr:colOff>230186</xdr:colOff>
      <xdr:row>53</xdr:row>
      <xdr:rowOff>174623</xdr:rowOff>
    </xdr:to>
    <xdr:sp macro="" textlink="">
      <xdr:nvSpPr>
        <xdr:cNvPr id="19" name="Rectángulo 18">
          <a:extLst>
            <a:ext uri="{FF2B5EF4-FFF2-40B4-BE49-F238E27FC236}">
              <a16:creationId xmlns:a16="http://schemas.microsoft.com/office/drawing/2014/main" id="{103B01C1-BF98-44FF-870D-2EFBC9075E81}"/>
            </a:ext>
          </a:extLst>
        </xdr:cNvPr>
        <xdr:cNvSpPr/>
      </xdr:nvSpPr>
      <xdr:spPr>
        <a:xfrm>
          <a:off x="13823949" y="10910886"/>
          <a:ext cx="198437" cy="20796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6</a:t>
          </a:r>
        </a:p>
      </xdr:txBody>
    </xdr:sp>
    <xdr:clientData/>
  </xdr:twoCellAnchor>
  <xdr:twoCellAnchor>
    <xdr:from>
      <xdr:col>15</xdr:col>
      <xdr:colOff>287336</xdr:colOff>
      <xdr:row>52</xdr:row>
      <xdr:rowOff>168274</xdr:rowOff>
    </xdr:from>
    <xdr:to>
      <xdr:col>15</xdr:col>
      <xdr:colOff>485773</xdr:colOff>
      <xdr:row>53</xdr:row>
      <xdr:rowOff>176211</xdr:rowOff>
    </xdr:to>
    <xdr:sp macro="" textlink="">
      <xdr:nvSpPr>
        <xdr:cNvPr id="20" name="Rectángulo 19">
          <a:extLst>
            <a:ext uri="{FF2B5EF4-FFF2-40B4-BE49-F238E27FC236}">
              <a16:creationId xmlns:a16="http://schemas.microsoft.com/office/drawing/2014/main" id="{E6D880D5-B286-4C51-94F0-DCB733B606BD}"/>
            </a:ext>
          </a:extLst>
        </xdr:cNvPr>
        <xdr:cNvSpPr/>
      </xdr:nvSpPr>
      <xdr:spPr>
        <a:xfrm>
          <a:off x="14079536" y="10912474"/>
          <a:ext cx="198437" cy="20796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7</a:t>
          </a:r>
        </a:p>
      </xdr:txBody>
    </xdr:sp>
    <xdr:clientData/>
  </xdr:twoCellAnchor>
  <xdr:twoCellAnchor>
    <xdr:from>
      <xdr:col>15</xdr:col>
      <xdr:colOff>534986</xdr:colOff>
      <xdr:row>52</xdr:row>
      <xdr:rowOff>161924</xdr:rowOff>
    </xdr:from>
    <xdr:to>
      <xdr:col>15</xdr:col>
      <xdr:colOff>733423</xdr:colOff>
      <xdr:row>53</xdr:row>
      <xdr:rowOff>169861</xdr:rowOff>
    </xdr:to>
    <xdr:sp macro="" textlink="">
      <xdr:nvSpPr>
        <xdr:cNvPr id="21" name="Rectángulo 20">
          <a:extLst>
            <a:ext uri="{FF2B5EF4-FFF2-40B4-BE49-F238E27FC236}">
              <a16:creationId xmlns:a16="http://schemas.microsoft.com/office/drawing/2014/main" id="{45289EEB-016A-4C90-87A6-60C6E3993A03}"/>
            </a:ext>
          </a:extLst>
        </xdr:cNvPr>
        <xdr:cNvSpPr/>
      </xdr:nvSpPr>
      <xdr:spPr>
        <a:xfrm>
          <a:off x="14327186" y="10906124"/>
          <a:ext cx="198437" cy="20796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8</a:t>
          </a:r>
        </a:p>
      </xdr:txBody>
    </xdr:sp>
    <xdr:clientData/>
  </xdr:twoCellAnchor>
  <xdr:twoCellAnchor>
    <xdr:from>
      <xdr:col>16</xdr:col>
      <xdr:colOff>76199</xdr:colOff>
      <xdr:row>52</xdr:row>
      <xdr:rowOff>163511</xdr:rowOff>
    </xdr:from>
    <xdr:to>
      <xdr:col>16</xdr:col>
      <xdr:colOff>274636</xdr:colOff>
      <xdr:row>53</xdr:row>
      <xdr:rowOff>171448</xdr:rowOff>
    </xdr:to>
    <xdr:sp macro="" textlink="">
      <xdr:nvSpPr>
        <xdr:cNvPr id="22" name="Rectángulo 21">
          <a:extLst>
            <a:ext uri="{FF2B5EF4-FFF2-40B4-BE49-F238E27FC236}">
              <a16:creationId xmlns:a16="http://schemas.microsoft.com/office/drawing/2014/main" id="{DFF07C47-36C3-496A-89BC-155CD8DBB305}"/>
            </a:ext>
          </a:extLst>
        </xdr:cNvPr>
        <xdr:cNvSpPr/>
      </xdr:nvSpPr>
      <xdr:spPr>
        <a:xfrm>
          <a:off x="14801849" y="10907711"/>
          <a:ext cx="198437" cy="20796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9</a:t>
          </a:r>
        </a:p>
      </xdr:txBody>
    </xdr:sp>
    <xdr:clientData/>
  </xdr:twoCellAnchor>
  <xdr:twoCellAnchor>
    <xdr:from>
      <xdr:col>16</xdr:col>
      <xdr:colOff>300036</xdr:colOff>
      <xdr:row>52</xdr:row>
      <xdr:rowOff>173036</xdr:rowOff>
    </xdr:from>
    <xdr:to>
      <xdr:col>16</xdr:col>
      <xdr:colOff>635000</xdr:colOff>
      <xdr:row>53</xdr:row>
      <xdr:rowOff>180973</xdr:rowOff>
    </xdr:to>
    <xdr:sp macro="" textlink="">
      <xdr:nvSpPr>
        <xdr:cNvPr id="23" name="Rectángulo 22">
          <a:extLst>
            <a:ext uri="{FF2B5EF4-FFF2-40B4-BE49-F238E27FC236}">
              <a16:creationId xmlns:a16="http://schemas.microsoft.com/office/drawing/2014/main" id="{1F538655-4C87-473A-AB7C-76703A44A9B1}"/>
            </a:ext>
          </a:extLst>
        </xdr:cNvPr>
        <xdr:cNvSpPr/>
      </xdr:nvSpPr>
      <xdr:spPr>
        <a:xfrm>
          <a:off x="15025686" y="10917236"/>
          <a:ext cx="334964" cy="20796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10</a:t>
          </a:r>
        </a:p>
      </xdr:txBody>
    </xdr:sp>
    <xdr:clientData/>
  </xdr:twoCellAnchor>
  <xdr:twoCellAnchor>
    <xdr:from>
      <xdr:col>16</xdr:col>
      <xdr:colOff>684213</xdr:colOff>
      <xdr:row>50</xdr:row>
      <xdr:rowOff>88900</xdr:rowOff>
    </xdr:from>
    <xdr:to>
      <xdr:col>16</xdr:col>
      <xdr:colOff>690562</xdr:colOff>
      <xdr:row>52</xdr:row>
      <xdr:rowOff>95250</xdr:rowOff>
    </xdr:to>
    <xdr:cxnSp macro="">
      <xdr:nvCxnSpPr>
        <xdr:cNvPr id="24" name="Conector recto 23">
          <a:extLst>
            <a:ext uri="{FF2B5EF4-FFF2-40B4-BE49-F238E27FC236}">
              <a16:creationId xmlns:a16="http://schemas.microsoft.com/office/drawing/2014/main" id="{0E4DBE13-0147-4218-A635-9C5F2DA8B73E}"/>
            </a:ext>
          </a:extLst>
        </xdr:cNvPr>
        <xdr:cNvCxnSpPr/>
      </xdr:nvCxnSpPr>
      <xdr:spPr>
        <a:xfrm flipH="1" flipV="1">
          <a:off x="15409863" y="10442575"/>
          <a:ext cx="6349" cy="3968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355599</xdr:colOff>
      <xdr:row>49</xdr:row>
      <xdr:rowOff>173036</xdr:rowOff>
    </xdr:from>
    <xdr:to>
      <xdr:col>17</xdr:col>
      <xdr:colOff>611187</xdr:colOff>
      <xdr:row>51</xdr:row>
      <xdr:rowOff>23812</xdr:rowOff>
    </xdr:to>
    <xdr:sp macro="" textlink="">
      <xdr:nvSpPr>
        <xdr:cNvPr id="25" name="Rectángulo 24">
          <a:extLst>
            <a:ext uri="{FF2B5EF4-FFF2-40B4-BE49-F238E27FC236}">
              <a16:creationId xmlns:a16="http://schemas.microsoft.com/office/drawing/2014/main" id="{ACF0C77D-A54D-42C8-9D43-F9A33EB3FBDD}"/>
            </a:ext>
          </a:extLst>
        </xdr:cNvPr>
        <xdr:cNvSpPr/>
      </xdr:nvSpPr>
      <xdr:spPr>
        <a:xfrm>
          <a:off x="15843249" y="10326686"/>
          <a:ext cx="255588" cy="241301"/>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g</a:t>
          </a:r>
        </a:p>
      </xdr:txBody>
    </xdr:sp>
    <xdr:clientData/>
  </xdr:twoCellAnchor>
  <xdr:twoCellAnchor>
    <xdr:from>
      <xdr:col>18</xdr:col>
      <xdr:colOff>155573</xdr:colOff>
      <xdr:row>48</xdr:row>
      <xdr:rowOff>63500</xdr:rowOff>
    </xdr:from>
    <xdr:to>
      <xdr:col>18</xdr:col>
      <xdr:colOff>158750</xdr:colOff>
      <xdr:row>52</xdr:row>
      <xdr:rowOff>111125</xdr:rowOff>
    </xdr:to>
    <xdr:cxnSp macro="">
      <xdr:nvCxnSpPr>
        <xdr:cNvPr id="26" name="Conector recto 25">
          <a:extLst>
            <a:ext uri="{FF2B5EF4-FFF2-40B4-BE49-F238E27FC236}">
              <a16:creationId xmlns:a16="http://schemas.microsoft.com/office/drawing/2014/main" id="{91627577-273A-4BAB-9D19-55AAF3F6DDE8}"/>
            </a:ext>
          </a:extLst>
        </xdr:cNvPr>
        <xdr:cNvCxnSpPr/>
      </xdr:nvCxnSpPr>
      <xdr:spPr>
        <a:xfrm flipH="1" flipV="1">
          <a:off x="16405223" y="10026650"/>
          <a:ext cx="3177" cy="8286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424655</xdr:colOff>
      <xdr:row>54</xdr:row>
      <xdr:rowOff>19843</xdr:rowOff>
    </xdr:from>
    <xdr:to>
      <xdr:col>14</xdr:col>
      <xdr:colOff>607218</xdr:colOff>
      <xdr:row>56</xdr:row>
      <xdr:rowOff>99218</xdr:rowOff>
    </xdr:to>
    <xdr:sp macro="" textlink="">
      <xdr:nvSpPr>
        <xdr:cNvPr id="27" name="Abrir llave 26">
          <a:extLst>
            <a:ext uri="{FF2B5EF4-FFF2-40B4-BE49-F238E27FC236}">
              <a16:creationId xmlns:a16="http://schemas.microsoft.com/office/drawing/2014/main" id="{8E19860A-47AD-4976-8685-9DD863BE89FE}"/>
            </a:ext>
          </a:extLst>
        </xdr:cNvPr>
        <xdr:cNvSpPr/>
      </xdr:nvSpPr>
      <xdr:spPr>
        <a:xfrm rot="16200000">
          <a:off x="12901611" y="10879137"/>
          <a:ext cx="460375" cy="101123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15</xdr:col>
      <xdr:colOff>164305</xdr:colOff>
      <xdr:row>54</xdr:row>
      <xdr:rowOff>37305</xdr:rowOff>
    </xdr:from>
    <xdr:to>
      <xdr:col>16</xdr:col>
      <xdr:colOff>492125</xdr:colOff>
      <xdr:row>56</xdr:row>
      <xdr:rowOff>116680</xdr:rowOff>
    </xdr:to>
    <xdr:sp macro="" textlink="">
      <xdr:nvSpPr>
        <xdr:cNvPr id="28" name="Abrir llave 27">
          <a:extLst>
            <a:ext uri="{FF2B5EF4-FFF2-40B4-BE49-F238E27FC236}">
              <a16:creationId xmlns:a16="http://schemas.microsoft.com/office/drawing/2014/main" id="{BD3182F3-DA23-4948-B7C2-7486FE164615}"/>
            </a:ext>
          </a:extLst>
        </xdr:cNvPr>
        <xdr:cNvSpPr/>
      </xdr:nvSpPr>
      <xdr:spPr>
        <a:xfrm rot="16200000">
          <a:off x="14356952" y="10771583"/>
          <a:ext cx="460375" cy="126127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16</xdr:col>
      <xdr:colOff>673893</xdr:colOff>
      <xdr:row>54</xdr:row>
      <xdr:rowOff>23018</xdr:rowOff>
    </xdr:from>
    <xdr:to>
      <xdr:col>18</xdr:col>
      <xdr:colOff>157956</xdr:colOff>
      <xdr:row>56</xdr:row>
      <xdr:rowOff>102393</xdr:rowOff>
    </xdr:to>
    <xdr:sp macro="" textlink="">
      <xdr:nvSpPr>
        <xdr:cNvPr id="29" name="Abrir llave 28">
          <a:extLst>
            <a:ext uri="{FF2B5EF4-FFF2-40B4-BE49-F238E27FC236}">
              <a16:creationId xmlns:a16="http://schemas.microsoft.com/office/drawing/2014/main" id="{53421556-1A5D-4C73-ADBF-57C3349D8BD7}"/>
            </a:ext>
          </a:extLst>
        </xdr:cNvPr>
        <xdr:cNvSpPr/>
      </xdr:nvSpPr>
      <xdr:spPr>
        <a:xfrm rot="16200000">
          <a:off x="15673387" y="10883899"/>
          <a:ext cx="460375" cy="1008063"/>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16</xdr:col>
      <xdr:colOff>596900</xdr:colOff>
      <xdr:row>47</xdr:row>
      <xdr:rowOff>152400</xdr:rowOff>
    </xdr:from>
    <xdr:to>
      <xdr:col>16</xdr:col>
      <xdr:colOff>600076</xdr:colOff>
      <xdr:row>50</xdr:row>
      <xdr:rowOff>4764</xdr:rowOff>
    </xdr:to>
    <xdr:cxnSp macro="">
      <xdr:nvCxnSpPr>
        <xdr:cNvPr id="30" name="Conector recto 29">
          <a:extLst>
            <a:ext uri="{FF2B5EF4-FFF2-40B4-BE49-F238E27FC236}">
              <a16:creationId xmlns:a16="http://schemas.microsoft.com/office/drawing/2014/main" id="{16CC1BBE-3D20-4B41-9E69-D3CBD5654511}"/>
            </a:ext>
          </a:extLst>
        </xdr:cNvPr>
        <xdr:cNvCxnSpPr/>
      </xdr:nvCxnSpPr>
      <xdr:spPr>
        <a:xfrm flipH="1" flipV="1">
          <a:off x="15322550" y="9858375"/>
          <a:ext cx="3176" cy="50006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458789</xdr:colOff>
      <xdr:row>50</xdr:row>
      <xdr:rowOff>6351</xdr:rowOff>
    </xdr:from>
    <xdr:to>
      <xdr:col>16</xdr:col>
      <xdr:colOff>603250</xdr:colOff>
      <xdr:row>50</xdr:row>
      <xdr:rowOff>7937</xdr:rowOff>
    </xdr:to>
    <xdr:cxnSp macro="">
      <xdr:nvCxnSpPr>
        <xdr:cNvPr id="31" name="Conector recto 30">
          <a:extLst>
            <a:ext uri="{FF2B5EF4-FFF2-40B4-BE49-F238E27FC236}">
              <a16:creationId xmlns:a16="http://schemas.microsoft.com/office/drawing/2014/main" id="{36292B34-83D1-4065-A7F8-CE79C0D6355D}"/>
            </a:ext>
          </a:extLst>
        </xdr:cNvPr>
        <xdr:cNvCxnSpPr/>
      </xdr:nvCxnSpPr>
      <xdr:spPr>
        <a:xfrm>
          <a:off x="15184439" y="10360026"/>
          <a:ext cx="144461" cy="158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655925</xdr:colOff>
      <xdr:row>47</xdr:row>
      <xdr:rowOff>39687</xdr:rowOff>
    </xdr:from>
    <xdr:to>
      <xdr:col>18</xdr:col>
      <xdr:colOff>571500</xdr:colOff>
      <xdr:row>48</xdr:row>
      <xdr:rowOff>77931</xdr:rowOff>
    </xdr:to>
    <xdr:sp macro="" textlink="">
      <xdr:nvSpPr>
        <xdr:cNvPr id="32" name="Rectángulo 31">
          <a:extLst>
            <a:ext uri="{FF2B5EF4-FFF2-40B4-BE49-F238E27FC236}">
              <a16:creationId xmlns:a16="http://schemas.microsoft.com/office/drawing/2014/main" id="{01BB2432-F535-41F3-89E4-D3EC96BCB6EC}"/>
            </a:ext>
          </a:extLst>
        </xdr:cNvPr>
        <xdr:cNvSpPr/>
      </xdr:nvSpPr>
      <xdr:spPr>
        <a:xfrm>
          <a:off x="15381575" y="9745662"/>
          <a:ext cx="1439575" cy="295419"/>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Valor</a:t>
          </a:r>
          <a:r>
            <a:rPr lang="es-CO" sz="1100" baseline="0"/>
            <a:t> de continuidad</a:t>
          </a:r>
          <a:endParaRPr lang="es-CO" sz="1100"/>
        </a:p>
      </xdr:txBody>
    </xdr:sp>
    <xdr:clientData/>
  </xdr:twoCellAnchor>
  <xdr:twoCellAnchor>
    <xdr:from>
      <xdr:col>16</xdr:col>
      <xdr:colOff>739774</xdr:colOff>
      <xdr:row>53</xdr:row>
      <xdr:rowOff>160336</xdr:rowOff>
    </xdr:from>
    <xdr:to>
      <xdr:col>18</xdr:col>
      <xdr:colOff>127000</xdr:colOff>
      <xdr:row>55</xdr:row>
      <xdr:rowOff>19050</xdr:rowOff>
    </xdr:to>
    <xdr:sp macro="" textlink="">
      <xdr:nvSpPr>
        <xdr:cNvPr id="33" name="Rectángulo 32">
          <a:extLst>
            <a:ext uri="{FF2B5EF4-FFF2-40B4-BE49-F238E27FC236}">
              <a16:creationId xmlns:a16="http://schemas.microsoft.com/office/drawing/2014/main" id="{AC4EE8E7-1EAA-4991-A59B-02D6651889E9}"/>
            </a:ext>
          </a:extLst>
        </xdr:cNvPr>
        <xdr:cNvSpPr/>
      </xdr:nvSpPr>
      <xdr:spPr>
        <a:xfrm>
          <a:off x="15465424" y="11104561"/>
          <a:ext cx="911226" cy="23971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Perpetuidad</a:t>
          </a:r>
        </a:p>
      </xdr:txBody>
    </xdr:sp>
    <xdr:clientData/>
  </xdr:twoCellAnchor>
  <xdr:twoCellAnchor>
    <xdr:from>
      <xdr:col>15</xdr:col>
      <xdr:colOff>249237</xdr:colOff>
      <xdr:row>53</xdr:row>
      <xdr:rowOff>177798</xdr:rowOff>
    </xdr:from>
    <xdr:to>
      <xdr:col>16</xdr:col>
      <xdr:colOff>398463</xdr:colOff>
      <xdr:row>55</xdr:row>
      <xdr:rowOff>36512</xdr:rowOff>
    </xdr:to>
    <xdr:sp macro="" textlink="">
      <xdr:nvSpPr>
        <xdr:cNvPr id="34" name="Rectángulo 33">
          <a:extLst>
            <a:ext uri="{FF2B5EF4-FFF2-40B4-BE49-F238E27FC236}">
              <a16:creationId xmlns:a16="http://schemas.microsoft.com/office/drawing/2014/main" id="{9F3D5F58-6C2F-42D9-B7EC-D931F4704AED}"/>
            </a:ext>
          </a:extLst>
        </xdr:cNvPr>
        <xdr:cNvSpPr/>
      </xdr:nvSpPr>
      <xdr:spPr>
        <a:xfrm>
          <a:off x="14041437" y="11122023"/>
          <a:ext cx="1082676" cy="23971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Proyectado</a:t>
          </a:r>
        </a:p>
      </xdr:txBody>
    </xdr:sp>
    <xdr:clientData/>
  </xdr:twoCellAnchor>
  <xdr:twoCellAnchor>
    <xdr:from>
      <xdr:col>13</xdr:col>
      <xdr:colOff>592136</xdr:colOff>
      <xdr:row>53</xdr:row>
      <xdr:rowOff>179385</xdr:rowOff>
    </xdr:from>
    <xdr:to>
      <xdr:col>14</xdr:col>
      <xdr:colOff>492124</xdr:colOff>
      <xdr:row>55</xdr:row>
      <xdr:rowOff>38099</xdr:rowOff>
    </xdr:to>
    <xdr:sp macro="" textlink="">
      <xdr:nvSpPr>
        <xdr:cNvPr id="35" name="Rectángulo 34">
          <a:extLst>
            <a:ext uri="{FF2B5EF4-FFF2-40B4-BE49-F238E27FC236}">
              <a16:creationId xmlns:a16="http://schemas.microsoft.com/office/drawing/2014/main" id="{DFBDEACE-A3AD-4722-BC7B-93A8B82B1B68}"/>
            </a:ext>
          </a:extLst>
        </xdr:cNvPr>
        <xdr:cNvSpPr/>
      </xdr:nvSpPr>
      <xdr:spPr>
        <a:xfrm>
          <a:off x="12793661" y="11123610"/>
          <a:ext cx="728663" cy="23971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Histórico</a:t>
          </a:r>
        </a:p>
      </xdr:txBody>
    </xdr:sp>
    <xdr:clientData/>
  </xdr:twoCellAnchor>
  <xdr:twoCellAnchor>
    <xdr:from>
      <xdr:col>18</xdr:col>
      <xdr:colOff>192086</xdr:colOff>
      <xdr:row>49</xdr:row>
      <xdr:rowOff>17460</xdr:rowOff>
    </xdr:from>
    <xdr:to>
      <xdr:col>19</xdr:col>
      <xdr:colOff>357187</xdr:colOff>
      <xdr:row>51</xdr:row>
      <xdr:rowOff>79374</xdr:rowOff>
    </xdr:to>
    <xdr:sp macro="" textlink="">
      <xdr:nvSpPr>
        <xdr:cNvPr id="36" name="Rectángulo 35">
          <a:extLst>
            <a:ext uri="{FF2B5EF4-FFF2-40B4-BE49-F238E27FC236}">
              <a16:creationId xmlns:a16="http://schemas.microsoft.com/office/drawing/2014/main" id="{E341127C-E317-4A1E-A260-C2B53944CE51}"/>
            </a:ext>
          </a:extLst>
        </xdr:cNvPr>
        <xdr:cNvSpPr/>
      </xdr:nvSpPr>
      <xdr:spPr>
        <a:xfrm>
          <a:off x="16441736" y="10171110"/>
          <a:ext cx="927101" cy="452439"/>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Crecimiento Constante</a:t>
          </a:r>
        </a:p>
      </xdr:txBody>
    </xdr:sp>
    <xdr:clientData/>
  </xdr:twoCellAnchor>
  <xdr:twoCellAnchor>
    <xdr:from>
      <xdr:col>13</xdr:col>
      <xdr:colOff>206375</xdr:colOff>
      <xdr:row>64</xdr:row>
      <xdr:rowOff>103188</xdr:rowOff>
    </xdr:from>
    <xdr:to>
      <xdr:col>18</xdr:col>
      <xdr:colOff>190500</xdr:colOff>
      <xdr:row>64</xdr:row>
      <xdr:rowOff>111126</xdr:rowOff>
    </xdr:to>
    <xdr:cxnSp macro="">
      <xdr:nvCxnSpPr>
        <xdr:cNvPr id="37" name="Conector recto 36">
          <a:extLst>
            <a:ext uri="{FF2B5EF4-FFF2-40B4-BE49-F238E27FC236}">
              <a16:creationId xmlns:a16="http://schemas.microsoft.com/office/drawing/2014/main" id="{8EF52A1C-1AE7-491B-A328-2843EAC6D60A}"/>
            </a:ext>
          </a:extLst>
        </xdr:cNvPr>
        <xdr:cNvCxnSpPr/>
      </xdr:nvCxnSpPr>
      <xdr:spPr>
        <a:xfrm flipV="1">
          <a:off x="12407900" y="13400088"/>
          <a:ext cx="4032250" cy="79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428625</xdr:colOff>
      <xdr:row>62</xdr:row>
      <xdr:rowOff>71437</xdr:rowOff>
    </xdr:from>
    <xdr:to>
      <xdr:col>13</xdr:col>
      <xdr:colOff>428625</xdr:colOff>
      <xdr:row>64</xdr:row>
      <xdr:rowOff>111126</xdr:rowOff>
    </xdr:to>
    <xdr:cxnSp macro="">
      <xdr:nvCxnSpPr>
        <xdr:cNvPr id="38" name="Conector recto 37">
          <a:extLst>
            <a:ext uri="{FF2B5EF4-FFF2-40B4-BE49-F238E27FC236}">
              <a16:creationId xmlns:a16="http://schemas.microsoft.com/office/drawing/2014/main" id="{9557F1C5-18AC-4110-AF58-DE51E735A1C2}"/>
            </a:ext>
          </a:extLst>
        </xdr:cNvPr>
        <xdr:cNvCxnSpPr/>
      </xdr:nvCxnSpPr>
      <xdr:spPr>
        <a:xfrm flipV="1">
          <a:off x="12630150" y="12873037"/>
          <a:ext cx="0" cy="53498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642937</xdr:colOff>
      <xdr:row>61</xdr:row>
      <xdr:rowOff>134938</xdr:rowOff>
    </xdr:from>
    <xdr:to>
      <xdr:col>13</xdr:col>
      <xdr:colOff>652463</xdr:colOff>
      <xdr:row>64</xdr:row>
      <xdr:rowOff>112714</xdr:rowOff>
    </xdr:to>
    <xdr:cxnSp macro="">
      <xdr:nvCxnSpPr>
        <xdr:cNvPr id="39" name="Conector recto 38">
          <a:extLst>
            <a:ext uri="{FF2B5EF4-FFF2-40B4-BE49-F238E27FC236}">
              <a16:creationId xmlns:a16="http://schemas.microsoft.com/office/drawing/2014/main" id="{8E71D6D6-5A60-40AD-882B-BE9C19D43AA5}"/>
            </a:ext>
          </a:extLst>
        </xdr:cNvPr>
        <xdr:cNvCxnSpPr/>
      </xdr:nvCxnSpPr>
      <xdr:spPr>
        <a:xfrm flipH="1" flipV="1">
          <a:off x="12844462" y="12746038"/>
          <a:ext cx="9526" cy="6635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63500</xdr:colOff>
      <xdr:row>62</xdr:row>
      <xdr:rowOff>79375</xdr:rowOff>
    </xdr:from>
    <xdr:to>
      <xdr:col>14</xdr:col>
      <xdr:colOff>66676</xdr:colOff>
      <xdr:row>64</xdr:row>
      <xdr:rowOff>122240</xdr:rowOff>
    </xdr:to>
    <xdr:cxnSp macro="">
      <xdr:nvCxnSpPr>
        <xdr:cNvPr id="40" name="Conector recto 39">
          <a:extLst>
            <a:ext uri="{FF2B5EF4-FFF2-40B4-BE49-F238E27FC236}">
              <a16:creationId xmlns:a16="http://schemas.microsoft.com/office/drawing/2014/main" id="{CF95A385-C6F8-48E3-96FB-778230D4B970}"/>
            </a:ext>
          </a:extLst>
        </xdr:cNvPr>
        <xdr:cNvCxnSpPr/>
      </xdr:nvCxnSpPr>
      <xdr:spPr>
        <a:xfrm flipH="1" flipV="1">
          <a:off x="13093700" y="12880975"/>
          <a:ext cx="3176" cy="53816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322263</xdr:colOff>
      <xdr:row>61</xdr:row>
      <xdr:rowOff>7938</xdr:rowOff>
    </xdr:from>
    <xdr:to>
      <xdr:col>14</xdr:col>
      <xdr:colOff>325437</xdr:colOff>
      <xdr:row>64</xdr:row>
      <xdr:rowOff>115890</xdr:rowOff>
    </xdr:to>
    <xdr:cxnSp macro="">
      <xdr:nvCxnSpPr>
        <xdr:cNvPr id="41" name="Conector recto 40">
          <a:extLst>
            <a:ext uri="{FF2B5EF4-FFF2-40B4-BE49-F238E27FC236}">
              <a16:creationId xmlns:a16="http://schemas.microsoft.com/office/drawing/2014/main" id="{E747DF8B-A6BB-4B88-B32B-9763599A9DA4}"/>
            </a:ext>
          </a:extLst>
        </xdr:cNvPr>
        <xdr:cNvCxnSpPr/>
      </xdr:nvCxnSpPr>
      <xdr:spPr>
        <a:xfrm flipV="1">
          <a:off x="13352463" y="12619038"/>
          <a:ext cx="3174" cy="79375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601663</xdr:colOff>
      <xdr:row>61</xdr:row>
      <xdr:rowOff>119063</xdr:rowOff>
    </xdr:from>
    <xdr:to>
      <xdr:col>14</xdr:col>
      <xdr:colOff>603250</xdr:colOff>
      <xdr:row>64</xdr:row>
      <xdr:rowOff>117478</xdr:rowOff>
    </xdr:to>
    <xdr:cxnSp macro="">
      <xdr:nvCxnSpPr>
        <xdr:cNvPr id="42" name="Conector recto 41">
          <a:extLst>
            <a:ext uri="{FF2B5EF4-FFF2-40B4-BE49-F238E27FC236}">
              <a16:creationId xmlns:a16="http://schemas.microsoft.com/office/drawing/2014/main" id="{32ABD014-A34E-4C0F-9CD9-272AF677E644}"/>
            </a:ext>
          </a:extLst>
        </xdr:cNvPr>
        <xdr:cNvCxnSpPr/>
      </xdr:nvCxnSpPr>
      <xdr:spPr>
        <a:xfrm flipV="1">
          <a:off x="13631863" y="12730163"/>
          <a:ext cx="1587" cy="68421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150813</xdr:colOff>
      <xdr:row>61</xdr:row>
      <xdr:rowOff>112713</xdr:rowOff>
    </xdr:from>
    <xdr:to>
      <xdr:col>15</xdr:col>
      <xdr:colOff>152400</xdr:colOff>
      <xdr:row>64</xdr:row>
      <xdr:rowOff>111128</xdr:rowOff>
    </xdr:to>
    <xdr:cxnSp macro="">
      <xdr:nvCxnSpPr>
        <xdr:cNvPr id="43" name="Conector recto 42">
          <a:extLst>
            <a:ext uri="{FF2B5EF4-FFF2-40B4-BE49-F238E27FC236}">
              <a16:creationId xmlns:a16="http://schemas.microsoft.com/office/drawing/2014/main" id="{468B8B2A-B63F-45B2-8E53-F3BE59037D09}"/>
            </a:ext>
          </a:extLst>
        </xdr:cNvPr>
        <xdr:cNvCxnSpPr/>
      </xdr:nvCxnSpPr>
      <xdr:spPr>
        <a:xfrm flipV="1">
          <a:off x="13943013" y="12723813"/>
          <a:ext cx="1587" cy="68421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404812</xdr:colOff>
      <xdr:row>61</xdr:row>
      <xdr:rowOff>39688</xdr:rowOff>
    </xdr:from>
    <xdr:to>
      <xdr:col>15</xdr:col>
      <xdr:colOff>406401</xdr:colOff>
      <xdr:row>64</xdr:row>
      <xdr:rowOff>112716</xdr:rowOff>
    </xdr:to>
    <xdr:cxnSp macro="">
      <xdr:nvCxnSpPr>
        <xdr:cNvPr id="44" name="Conector recto 43">
          <a:extLst>
            <a:ext uri="{FF2B5EF4-FFF2-40B4-BE49-F238E27FC236}">
              <a16:creationId xmlns:a16="http://schemas.microsoft.com/office/drawing/2014/main" id="{659B6CB4-3ABA-4C43-902A-967A12C3B598}"/>
            </a:ext>
          </a:extLst>
        </xdr:cNvPr>
        <xdr:cNvCxnSpPr/>
      </xdr:nvCxnSpPr>
      <xdr:spPr>
        <a:xfrm flipH="1" flipV="1">
          <a:off x="14197012" y="12650788"/>
          <a:ext cx="1589" cy="75882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677865</xdr:colOff>
      <xdr:row>60</xdr:row>
      <xdr:rowOff>127000</xdr:rowOff>
    </xdr:from>
    <xdr:to>
      <xdr:col>15</xdr:col>
      <xdr:colOff>682625</xdr:colOff>
      <xdr:row>64</xdr:row>
      <xdr:rowOff>114305</xdr:rowOff>
    </xdr:to>
    <xdr:cxnSp macro="">
      <xdr:nvCxnSpPr>
        <xdr:cNvPr id="45" name="Conector recto 44">
          <a:extLst>
            <a:ext uri="{FF2B5EF4-FFF2-40B4-BE49-F238E27FC236}">
              <a16:creationId xmlns:a16="http://schemas.microsoft.com/office/drawing/2014/main" id="{304DA918-D433-4ECF-B06D-45809412332C}"/>
            </a:ext>
          </a:extLst>
        </xdr:cNvPr>
        <xdr:cNvCxnSpPr/>
      </xdr:nvCxnSpPr>
      <xdr:spPr>
        <a:xfrm flipV="1">
          <a:off x="14470065" y="12547600"/>
          <a:ext cx="4760" cy="8636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195265</xdr:colOff>
      <xdr:row>60</xdr:row>
      <xdr:rowOff>47625</xdr:rowOff>
    </xdr:from>
    <xdr:to>
      <xdr:col>16</xdr:col>
      <xdr:colOff>198437</xdr:colOff>
      <xdr:row>64</xdr:row>
      <xdr:rowOff>100018</xdr:rowOff>
    </xdr:to>
    <xdr:cxnSp macro="">
      <xdr:nvCxnSpPr>
        <xdr:cNvPr id="46" name="Conector recto 45">
          <a:extLst>
            <a:ext uri="{FF2B5EF4-FFF2-40B4-BE49-F238E27FC236}">
              <a16:creationId xmlns:a16="http://schemas.microsoft.com/office/drawing/2014/main" id="{FE1E8072-CC90-45A9-9610-53D22C1A93B1}"/>
            </a:ext>
          </a:extLst>
        </xdr:cNvPr>
        <xdr:cNvCxnSpPr/>
      </xdr:nvCxnSpPr>
      <xdr:spPr>
        <a:xfrm flipV="1">
          <a:off x="14920915" y="12468225"/>
          <a:ext cx="3172" cy="92869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450853</xdr:colOff>
      <xdr:row>59</xdr:row>
      <xdr:rowOff>150813</xdr:rowOff>
    </xdr:from>
    <xdr:to>
      <xdr:col>16</xdr:col>
      <xdr:colOff>452437</xdr:colOff>
      <xdr:row>64</xdr:row>
      <xdr:rowOff>109543</xdr:rowOff>
    </xdr:to>
    <xdr:cxnSp macro="">
      <xdr:nvCxnSpPr>
        <xdr:cNvPr id="47" name="Conector recto 46">
          <a:extLst>
            <a:ext uri="{FF2B5EF4-FFF2-40B4-BE49-F238E27FC236}">
              <a16:creationId xmlns:a16="http://schemas.microsoft.com/office/drawing/2014/main" id="{1D2823DC-7C40-4C55-BE28-CBB5FC673603}"/>
            </a:ext>
          </a:extLst>
        </xdr:cNvPr>
        <xdr:cNvCxnSpPr/>
      </xdr:nvCxnSpPr>
      <xdr:spPr>
        <a:xfrm flipV="1">
          <a:off x="15176503" y="12276138"/>
          <a:ext cx="1584" cy="11303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656651</xdr:colOff>
      <xdr:row>62</xdr:row>
      <xdr:rowOff>112568</xdr:rowOff>
    </xdr:from>
    <xdr:to>
      <xdr:col>18</xdr:col>
      <xdr:colOff>129886</xdr:colOff>
      <xdr:row>62</xdr:row>
      <xdr:rowOff>112580</xdr:rowOff>
    </xdr:to>
    <xdr:cxnSp macro="">
      <xdr:nvCxnSpPr>
        <xdr:cNvPr id="48" name="Conector recto 47">
          <a:extLst>
            <a:ext uri="{FF2B5EF4-FFF2-40B4-BE49-F238E27FC236}">
              <a16:creationId xmlns:a16="http://schemas.microsoft.com/office/drawing/2014/main" id="{6A9F24E2-936F-4A88-BAAE-24A30E4334DC}"/>
            </a:ext>
          </a:extLst>
        </xdr:cNvPr>
        <xdr:cNvCxnSpPr/>
      </xdr:nvCxnSpPr>
      <xdr:spPr>
        <a:xfrm flipV="1">
          <a:off x="15382301" y="12914168"/>
          <a:ext cx="997235" cy="1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309562</xdr:colOff>
      <xdr:row>64</xdr:row>
      <xdr:rowOff>134937</xdr:rowOff>
    </xdr:from>
    <xdr:to>
      <xdr:col>13</xdr:col>
      <xdr:colOff>507999</xdr:colOff>
      <xdr:row>65</xdr:row>
      <xdr:rowOff>142874</xdr:rowOff>
    </xdr:to>
    <xdr:sp macro="" textlink="">
      <xdr:nvSpPr>
        <xdr:cNvPr id="49" name="Rectángulo 48">
          <a:extLst>
            <a:ext uri="{FF2B5EF4-FFF2-40B4-BE49-F238E27FC236}">
              <a16:creationId xmlns:a16="http://schemas.microsoft.com/office/drawing/2014/main" id="{9F58AB74-6F47-4401-B11F-CCCD2198218D}"/>
            </a:ext>
          </a:extLst>
        </xdr:cNvPr>
        <xdr:cNvSpPr/>
      </xdr:nvSpPr>
      <xdr:spPr>
        <a:xfrm>
          <a:off x="12511087" y="13431837"/>
          <a:ext cx="198437" cy="19843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1</a:t>
          </a:r>
        </a:p>
      </xdr:txBody>
    </xdr:sp>
    <xdr:clientData/>
  </xdr:twoCellAnchor>
  <xdr:twoCellAnchor>
    <xdr:from>
      <xdr:col>13</xdr:col>
      <xdr:colOff>541337</xdr:colOff>
      <xdr:row>64</xdr:row>
      <xdr:rowOff>144462</xdr:rowOff>
    </xdr:from>
    <xdr:to>
      <xdr:col>13</xdr:col>
      <xdr:colOff>739774</xdr:colOff>
      <xdr:row>65</xdr:row>
      <xdr:rowOff>152399</xdr:rowOff>
    </xdr:to>
    <xdr:sp macro="" textlink="">
      <xdr:nvSpPr>
        <xdr:cNvPr id="50" name="Rectángulo 49">
          <a:extLst>
            <a:ext uri="{FF2B5EF4-FFF2-40B4-BE49-F238E27FC236}">
              <a16:creationId xmlns:a16="http://schemas.microsoft.com/office/drawing/2014/main" id="{B40B36D9-02BE-4A01-910E-11B936BF4043}"/>
            </a:ext>
          </a:extLst>
        </xdr:cNvPr>
        <xdr:cNvSpPr/>
      </xdr:nvSpPr>
      <xdr:spPr>
        <a:xfrm>
          <a:off x="12742862" y="13441362"/>
          <a:ext cx="198437" cy="19843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2</a:t>
          </a:r>
        </a:p>
      </xdr:txBody>
    </xdr:sp>
    <xdr:clientData/>
  </xdr:twoCellAnchor>
  <xdr:twoCellAnchor>
    <xdr:from>
      <xdr:col>13</xdr:col>
      <xdr:colOff>773112</xdr:colOff>
      <xdr:row>64</xdr:row>
      <xdr:rowOff>138112</xdr:rowOff>
    </xdr:from>
    <xdr:to>
      <xdr:col>14</xdr:col>
      <xdr:colOff>146049</xdr:colOff>
      <xdr:row>65</xdr:row>
      <xdr:rowOff>146049</xdr:rowOff>
    </xdr:to>
    <xdr:sp macro="" textlink="">
      <xdr:nvSpPr>
        <xdr:cNvPr id="51" name="Rectángulo 50">
          <a:extLst>
            <a:ext uri="{FF2B5EF4-FFF2-40B4-BE49-F238E27FC236}">
              <a16:creationId xmlns:a16="http://schemas.microsoft.com/office/drawing/2014/main" id="{6E068875-D40E-4B17-B0C1-FA56379E5635}"/>
            </a:ext>
          </a:extLst>
        </xdr:cNvPr>
        <xdr:cNvSpPr/>
      </xdr:nvSpPr>
      <xdr:spPr>
        <a:xfrm>
          <a:off x="12974637" y="13435012"/>
          <a:ext cx="201612" cy="19843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3</a:t>
          </a:r>
        </a:p>
      </xdr:txBody>
    </xdr:sp>
    <xdr:clientData/>
  </xdr:twoCellAnchor>
  <xdr:twoCellAnchor>
    <xdr:from>
      <xdr:col>14</xdr:col>
      <xdr:colOff>203199</xdr:colOff>
      <xdr:row>64</xdr:row>
      <xdr:rowOff>155574</xdr:rowOff>
    </xdr:from>
    <xdr:to>
      <xdr:col>14</xdr:col>
      <xdr:colOff>401636</xdr:colOff>
      <xdr:row>65</xdr:row>
      <xdr:rowOff>163511</xdr:rowOff>
    </xdr:to>
    <xdr:sp macro="" textlink="">
      <xdr:nvSpPr>
        <xdr:cNvPr id="52" name="Rectángulo 51">
          <a:extLst>
            <a:ext uri="{FF2B5EF4-FFF2-40B4-BE49-F238E27FC236}">
              <a16:creationId xmlns:a16="http://schemas.microsoft.com/office/drawing/2014/main" id="{0DC27CEC-8D91-4FF7-B0B5-5D8852967567}"/>
            </a:ext>
          </a:extLst>
        </xdr:cNvPr>
        <xdr:cNvSpPr/>
      </xdr:nvSpPr>
      <xdr:spPr>
        <a:xfrm>
          <a:off x="13233399" y="13452474"/>
          <a:ext cx="198437" cy="19843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4</a:t>
          </a:r>
        </a:p>
      </xdr:txBody>
    </xdr:sp>
    <xdr:clientData/>
  </xdr:twoCellAnchor>
  <xdr:twoCellAnchor>
    <xdr:from>
      <xdr:col>14</xdr:col>
      <xdr:colOff>482599</xdr:colOff>
      <xdr:row>64</xdr:row>
      <xdr:rowOff>149224</xdr:rowOff>
    </xdr:from>
    <xdr:to>
      <xdr:col>14</xdr:col>
      <xdr:colOff>681036</xdr:colOff>
      <xdr:row>65</xdr:row>
      <xdr:rowOff>157161</xdr:rowOff>
    </xdr:to>
    <xdr:sp macro="" textlink="">
      <xdr:nvSpPr>
        <xdr:cNvPr id="53" name="Rectángulo 52">
          <a:extLst>
            <a:ext uri="{FF2B5EF4-FFF2-40B4-BE49-F238E27FC236}">
              <a16:creationId xmlns:a16="http://schemas.microsoft.com/office/drawing/2014/main" id="{0BF6FF77-DAAD-4702-A271-73BF1DD29AFA}"/>
            </a:ext>
          </a:extLst>
        </xdr:cNvPr>
        <xdr:cNvSpPr/>
      </xdr:nvSpPr>
      <xdr:spPr>
        <a:xfrm>
          <a:off x="13512799" y="13446124"/>
          <a:ext cx="198437" cy="19843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5</a:t>
          </a:r>
        </a:p>
      </xdr:txBody>
    </xdr:sp>
    <xdr:clientData/>
  </xdr:twoCellAnchor>
  <xdr:twoCellAnchor>
    <xdr:from>
      <xdr:col>15</xdr:col>
      <xdr:colOff>31749</xdr:colOff>
      <xdr:row>64</xdr:row>
      <xdr:rowOff>166686</xdr:rowOff>
    </xdr:from>
    <xdr:to>
      <xdr:col>15</xdr:col>
      <xdr:colOff>230186</xdr:colOff>
      <xdr:row>65</xdr:row>
      <xdr:rowOff>174623</xdr:rowOff>
    </xdr:to>
    <xdr:sp macro="" textlink="">
      <xdr:nvSpPr>
        <xdr:cNvPr id="54" name="Rectángulo 53">
          <a:extLst>
            <a:ext uri="{FF2B5EF4-FFF2-40B4-BE49-F238E27FC236}">
              <a16:creationId xmlns:a16="http://schemas.microsoft.com/office/drawing/2014/main" id="{55F21DC6-C7CF-4871-97BC-8426359281E7}"/>
            </a:ext>
          </a:extLst>
        </xdr:cNvPr>
        <xdr:cNvSpPr/>
      </xdr:nvSpPr>
      <xdr:spPr>
        <a:xfrm>
          <a:off x="13823949" y="13463586"/>
          <a:ext cx="198437" cy="19843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6</a:t>
          </a:r>
        </a:p>
      </xdr:txBody>
    </xdr:sp>
    <xdr:clientData/>
  </xdr:twoCellAnchor>
  <xdr:twoCellAnchor>
    <xdr:from>
      <xdr:col>15</xdr:col>
      <xdr:colOff>287336</xdr:colOff>
      <xdr:row>64</xdr:row>
      <xdr:rowOff>168274</xdr:rowOff>
    </xdr:from>
    <xdr:to>
      <xdr:col>15</xdr:col>
      <xdr:colOff>485773</xdr:colOff>
      <xdr:row>65</xdr:row>
      <xdr:rowOff>176211</xdr:rowOff>
    </xdr:to>
    <xdr:sp macro="" textlink="">
      <xdr:nvSpPr>
        <xdr:cNvPr id="55" name="Rectángulo 54">
          <a:extLst>
            <a:ext uri="{FF2B5EF4-FFF2-40B4-BE49-F238E27FC236}">
              <a16:creationId xmlns:a16="http://schemas.microsoft.com/office/drawing/2014/main" id="{ED3F70E0-6175-4714-A601-968D3DDD43AA}"/>
            </a:ext>
          </a:extLst>
        </xdr:cNvPr>
        <xdr:cNvSpPr/>
      </xdr:nvSpPr>
      <xdr:spPr>
        <a:xfrm>
          <a:off x="14079536" y="13465174"/>
          <a:ext cx="198437" cy="19843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7</a:t>
          </a:r>
        </a:p>
      </xdr:txBody>
    </xdr:sp>
    <xdr:clientData/>
  </xdr:twoCellAnchor>
  <xdr:twoCellAnchor>
    <xdr:from>
      <xdr:col>15</xdr:col>
      <xdr:colOff>534986</xdr:colOff>
      <xdr:row>64</xdr:row>
      <xdr:rowOff>161924</xdr:rowOff>
    </xdr:from>
    <xdr:to>
      <xdr:col>15</xdr:col>
      <xdr:colOff>733423</xdr:colOff>
      <xdr:row>65</xdr:row>
      <xdr:rowOff>169861</xdr:rowOff>
    </xdr:to>
    <xdr:sp macro="" textlink="">
      <xdr:nvSpPr>
        <xdr:cNvPr id="56" name="Rectángulo 55">
          <a:extLst>
            <a:ext uri="{FF2B5EF4-FFF2-40B4-BE49-F238E27FC236}">
              <a16:creationId xmlns:a16="http://schemas.microsoft.com/office/drawing/2014/main" id="{1B58F4EE-CD9D-48B9-8162-570EBE2EDB0B}"/>
            </a:ext>
          </a:extLst>
        </xdr:cNvPr>
        <xdr:cNvSpPr/>
      </xdr:nvSpPr>
      <xdr:spPr>
        <a:xfrm>
          <a:off x="14327186" y="13458824"/>
          <a:ext cx="198437" cy="19843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8</a:t>
          </a:r>
        </a:p>
      </xdr:txBody>
    </xdr:sp>
    <xdr:clientData/>
  </xdr:twoCellAnchor>
  <xdr:twoCellAnchor>
    <xdr:from>
      <xdr:col>16</xdr:col>
      <xdr:colOff>76199</xdr:colOff>
      <xdr:row>64</xdr:row>
      <xdr:rowOff>163511</xdr:rowOff>
    </xdr:from>
    <xdr:to>
      <xdr:col>16</xdr:col>
      <xdr:colOff>274636</xdr:colOff>
      <xdr:row>65</xdr:row>
      <xdr:rowOff>171448</xdr:rowOff>
    </xdr:to>
    <xdr:sp macro="" textlink="">
      <xdr:nvSpPr>
        <xdr:cNvPr id="57" name="Rectángulo 56">
          <a:extLst>
            <a:ext uri="{FF2B5EF4-FFF2-40B4-BE49-F238E27FC236}">
              <a16:creationId xmlns:a16="http://schemas.microsoft.com/office/drawing/2014/main" id="{8F268F81-1F4E-4AD8-BF0D-838DFBD46039}"/>
            </a:ext>
          </a:extLst>
        </xdr:cNvPr>
        <xdr:cNvSpPr/>
      </xdr:nvSpPr>
      <xdr:spPr>
        <a:xfrm>
          <a:off x="14801849" y="13460411"/>
          <a:ext cx="198437" cy="19843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9</a:t>
          </a:r>
        </a:p>
      </xdr:txBody>
    </xdr:sp>
    <xdr:clientData/>
  </xdr:twoCellAnchor>
  <xdr:twoCellAnchor>
    <xdr:from>
      <xdr:col>16</xdr:col>
      <xdr:colOff>300036</xdr:colOff>
      <xdr:row>64</xdr:row>
      <xdr:rowOff>173036</xdr:rowOff>
    </xdr:from>
    <xdr:to>
      <xdr:col>16</xdr:col>
      <xdr:colOff>635000</xdr:colOff>
      <xdr:row>65</xdr:row>
      <xdr:rowOff>180973</xdr:rowOff>
    </xdr:to>
    <xdr:sp macro="" textlink="">
      <xdr:nvSpPr>
        <xdr:cNvPr id="58" name="Rectángulo 57">
          <a:extLst>
            <a:ext uri="{FF2B5EF4-FFF2-40B4-BE49-F238E27FC236}">
              <a16:creationId xmlns:a16="http://schemas.microsoft.com/office/drawing/2014/main" id="{020591A5-E109-4876-89D2-D3695CE355BD}"/>
            </a:ext>
          </a:extLst>
        </xdr:cNvPr>
        <xdr:cNvSpPr/>
      </xdr:nvSpPr>
      <xdr:spPr>
        <a:xfrm>
          <a:off x="15025686" y="13469936"/>
          <a:ext cx="334964" cy="19843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10</a:t>
          </a:r>
        </a:p>
      </xdr:txBody>
    </xdr:sp>
    <xdr:clientData/>
  </xdr:twoCellAnchor>
  <xdr:twoCellAnchor>
    <xdr:from>
      <xdr:col>16</xdr:col>
      <xdr:colOff>684213</xdr:colOff>
      <xdr:row>62</xdr:row>
      <xdr:rowOff>88900</xdr:rowOff>
    </xdr:from>
    <xdr:to>
      <xdr:col>16</xdr:col>
      <xdr:colOff>690562</xdr:colOff>
      <xdr:row>64</xdr:row>
      <xdr:rowOff>95250</xdr:rowOff>
    </xdr:to>
    <xdr:cxnSp macro="">
      <xdr:nvCxnSpPr>
        <xdr:cNvPr id="59" name="Conector recto 58">
          <a:extLst>
            <a:ext uri="{FF2B5EF4-FFF2-40B4-BE49-F238E27FC236}">
              <a16:creationId xmlns:a16="http://schemas.microsoft.com/office/drawing/2014/main" id="{40DB357F-3B8B-41E6-90C2-70EF555FA81F}"/>
            </a:ext>
          </a:extLst>
        </xdr:cNvPr>
        <xdr:cNvCxnSpPr/>
      </xdr:nvCxnSpPr>
      <xdr:spPr>
        <a:xfrm flipH="1" flipV="1">
          <a:off x="15409863" y="12890500"/>
          <a:ext cx="6349" cy="501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346940</xdr:colOff>
      <xdr:row>62</xdr:row>
      <xdr:rowOff>155718</xdr:rowOff>
    </xdr:from>
    <xdr:to>
      <xdr:col>17</xdr:col>
      <xdr:colOff>602528</xdr:colOff>
      <xdr:row>63</xdr:row>
      <xdr:rowOff>196994</xdr:rowOff>
    </xdr:to>
    <xdr:sp macro="" textlink="">
      <xdr:nvSpPr>
        <xdr:cNvPr id="60" name="Rectángulo 59">
          <a:extLst>
            <a:ext uri="{FF2B5EF4-FFF2-40B4-BE49-F238E27FC236}">
              <a16:creationId xmlns:a16="http://schemas.microsoft.com/office/drawing/2014/main" id="{74219B88-FC17-410F-985F-39F7AED7AC35}"/>
            </a:ext>
          </a:extLst>
        </xdr:cNvPr>
        <xdr:cNvSpPr/>
      </xdr:nvSpPr>
      <xdr:spPr>
        <a:xfrm>
          <a:off x="15834590" y="12957318"/>
          <a:ext cx="255588" cy="279401"/>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g</a:t>
          </a:r>
        </a:p>
      </xdr:txBody>
    </xdr:sp>
    <xdr:clientData/>
  </xdr:twoCellAnchor>
  <xdr:twoCellAnchor>
    <xdr:from>
      <xdr:col>18</xdr:col>
      <xdr:colOff>138545</xdr:colOff>
      <xdr:row>62</xdr:row>
      <xdr:rowOff>147204</xdr:rowOff>
    </xdr:from>
    <xdr:to>
      <xdr:col>18</xdr:col>
      <xdr:colOff>158751</xdr:colOff>
      <xdr:row>64</xdr:row>
      <xdr:rowOff>111126</xdr:rowOff>
    </xdr:to>
    <xdr:cxnSp macro="">
      <xdr:nvCxnSpPr>
        <xdr:cNvPr id="61" name="Conector recto 60">
          <a:extLst>
            <a:ext uri="{FF2B5EF4-FFF2-40B4-BE49-F238E27FC236}">
              <a16:creationId xmlns:a16="http://schemas.microsoft.com/office/drawing/2014/main" id="{ED22C4E0-0CD6-4B04-A3E4-0195CB06563F}"/>
            </a:ext>
          </a:extLst>
        </xdr:cNvPr>
        <xdr:cNvCxnSpPr/>
      </xdr:nvCxnSpPr>
      <xdr:spPr>
        <a:xfrm flipH="1" flipV="1">
          <a:off x="16388195" y="12948804"/>
          <a:ext cx="20206" cy="45922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424655</xdr:colOff>
      <xdr:row>66</xdr:row>
      <xdr:rowOff>19843</xdr:rowOff>
    </xdr:from>
    <xdr:to>
      <xdr:col>14</xdr:col>
      <xdr:colOff>607218</xdr:colOff>
      <xdr:row>68</xdr:row>
      <xdr:rowOff>99218</xdr:rowOff>
    </xdr:to>
    <xdr:sp macro="" textlink="">
      <xdr:nvSpPr>
        <xdr:cNvPr id="62" name="Abrir llave 61">
          <a:extLst>
            <a:ext uri="{FF2B5EF4-FFF2-40B4-BE49-F238E27FC236}">
              <a16:creationId xmlns:a16="http://schemas.microsoft.com/office/drawing/2014/main" id="{128DC0BD-E8DD-4F4A-9A64-0AA4B290D4E7}"/>
            </a:ext>
          </a:extLst>
        </xdr:cNvPr>
        <xdr:cNvSpPr/>
      </xdr:nvSpPr>
      <xdr:spPr>
        <a:xfrm rot="16200000">
          <a:off x="12901611" y="13422312"/>
          <a:ext cx="460375" cy="101123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15</xdr:col>
      <xdr:colOff>164305</xdr:colOff>
      <xdr:row>66</xdr:row>
      <xdr:rowOff>37305</xdr:rowOff>
    </xdr:from>
    <xdr:to>
      <xdr:col>16</xdr:col>
      <xdr:colOff>492125</xdr:colOff>
      <xdr:row>68</xdr:row>
      <xdr:rowOff>116680</xdr:rowOff>
    </xdr:to>
    <xdr:sp macro="" textlink="">
      <xdr:nvSpPr>
        <xdr:cNvPr id="63" name="Abrir llave 62">
          <a:extLst>
            <a:ext uri="{FF2B5EF4-FFF2-40B4-BE49-F238E27FC236}">
              <a16:creationId xmlns:a16="http://schemas.microsoft.com/office/drawing/2014/main" id="{093AE48D-EFA7-45F4-B5E6-A244AD167098}"/>
            </a:ext>
          </a:extLst>
        </xdr:cNvPr>
        <xdr:cNvSpPr/>
      </xdr:nvSpPr>
      <xdr:spPr>
        <a:xfrm rot="16200000">
          <a:off x="14356952" y="13314758"/>
          <a:ext cx="460375" cy="126127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16</xdr:col>
      <xdr:colOff>673893</xdr:colOff>
      <xdr:row>66</xdr:row>
      <xdr:rowOff>23018</xdr:rowOff>
    </xdr:from>
    <xdr:to>
      <xdr:col>18</xdr:col>
      <xdr:colOff>157956</xdr:colOff>
      <xdr:row>68</xdr:row>
      <xdr:rowOff>102393</xdr:rowOff>
    </xdr:to>
    <xdr:sp macro="" textlink="">
      <xdr:nvSpPr>
        <xdr:cNvPr id="64" name="Abrir llave 63">
          <a:extLst>
            <a:ext uri="{FF2B5EF4-FFF2-40B4-BE49-F238E27FC236}">
              <a16:creationId xmlns:a16="http://schemas.microsoft.com/office/drawing/2014/main" id="{C8C3E1BA-E799-4BE9-8662-741BA20795C1}"/>
            </a:ext>
          </a:extLst>
        </xdr:cNvPr>
        <xdr:cNvSpPr/>
      </xdr:nvSpPr>
      <xdr:spPr>
        <a:xfrm rot="16200000">
          <a:off x="15673387" y="13427074"/>
          <a:ext cx="460375" cy="1008063"/>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16</xdr:col>
      <xdr:colOff>596900</xdr:colOff>
      <xdr:row>59</xdr:row>
      <xdr:rowOff>152400</xdr:rowOff>
    </xdr:from>
    <xdr:to>
      <xdr:col>16</xdr:col>
      <xdr:colOff>600076</xdr:colOff>
      <xdr:row>62</xdr:row>
      <xdr:rowOff>4764</xdr:rowOff>
    </xdr:to>
    <xdr:cxnSp macro="">
      <xdr:nvCxnSpPr>
        <xdr:cNvPr id="65" name="Conector recto 64">
          <a:extLst>
            <a:ext uri="{FF2B5EF4-FFF2-40B4-BE49-F238E27FC236}">
              <a16:creationId xmlns:a16="http://schemas.microsoft.com/office/drawing/2014/main" id="{C402117E-C752-470B-A8F2-F447FF278154}"/>
            </a:ext>
          </a:extLst>
        </xdr:cNvPr>
        <xdr:cNvCxnSpPr/>
      </xdr:nvCxnSpPr>
      <xdr:spPr>
        <a:xfrm flipH="1" flipV="1">
          <a:off x="15322550" y="12277725"/>
          <a:ext cx="3176" cy="52863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458789</xdr:colOff>
      <xdr:row>62</xdr:row>
      <xdr:rowOff>6351</xdr:rowOff>
    </xdr:from>
    <xdr:to>
      <xdr:col>16</xdr:col>
      <xdr:colOff>603250</xdr:colOff>
      <xdr:row>62</xdr:row>
      <xdr:rowOff>7937</xdr:rowOff>
    </xdr:to>
    <xdr:cxnSp macro="">
      <xdr:nvCxnSpPr>
        <xdr:cNvPr id="66" name="Conector recto 65">
          <a:extLst>
            <a:ext uri="{FF2B5EF4-FFF2-40B4-BE49-F238E27FC236}">
              <a16:creationId xmlns:a16="http://schemas.microsoft.com/office/drawing/2014/main" id="{7C1F96E3-9B33-4C96-8998-47E2ABA8299F}"/>
            </a:ext>
          </a:extLst>
        </xdr:cNvPr>
        <xdr:cNvCxnSpPr/>
      </xdr:nvCxnSpPr>
      <xdr:spPr>
        <a:xfrm>
          <a:off x="15184439" y="12807951"/>
          <a:ext cx="144461" cy="158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638606</xdr:colOff>
      <xdr:row>59</xdr:row>
      <xdr:rowOff>57004</xdr:rowOff>
    </xdr:from>
    <xdr:to>
      <xdr:col>18</xdr:col>
      <xdr:colOff>614795</xdr:colOff>
      <xdr:row>60</xdr:row>
      <xdr:rowOff>19627</xdr:rowOff>
    </xdr:to>
    <xdr:sp macro="" textlink="">
      <xdr:nvSpPr>
        <xdr:cNvPr id="67" name="Rectángulo 66">
          <a:extLst>
            <a:ext uri="{FF2B5EF4-FFF2-40B4-BE49-F238E27FC236}">
              <a16:creationId xmlns:a16="http://schemas.microsoft.com/office/drawing/2014/main" id="{C95CD515-4F35-4CE5-AAD9-B500A6BF1ACD}"/>
            </a:ext>
          </a:extLst>
        </xdr:cNvPr>
        <xdr:cNvSpPr/>
      </xdr:nvSpPr>
      <xdr:spPr>
        <a:xfrm>
          <a:off x="15364256" y="12182329"/>
          <a:ext cx="1500189" cy="257898"/>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Valor</a:t>
          </a:r>
          <a:r>
            <a:rPr lang="es-CO" sz="1100" baseline="0"/>
            <a:t> de continuidad</a:t>
          </a:r>
          <a:endParaRPr lang="es-CO" sz="1100"/>
        </a:p>
      </xdr:txBody>
    </xdr:sp>
    <xdr:clientData/>
  </xdr:twoCellAnchor>
  <xdr:twoCellAnchor>
    <xdr:from>
      <xdr:col>16</xdr:col>
      <xdr:colOff>739774</xdr:colOff>
      <xdr:row>65</xdr:row>
      <xdr:rowOff>160336</xdr:rowOff>
    </xdr:from>
    <xdr:to>
      <xdr:col>18</xdr:col>
      <xdr:colOff>127000</xdr:colOff>
      <xdr:row>67</xdr:row>
      <xdr:rowOff>19050</xdr:rowOff>
    </xdr:to>
    <xdr:sp macro="" textlink="">
      <xdr:nvSpPr>
        <xdr:cNvPr id="68" name="Rectángulo 67">
          <a:extLst>
            <a:ext uri="{FF2B5EF4-FFF2-40B4-BE49-F238E27FC236}">
              <a16:creationId xmlns:a16="http://schemas.microsoft.com/office/drawing/2014/main" id="{9F3AD527-5A9D-40ED-B21E-9D01CE53B118}"/>
            </a:ext>
          </a:extLst>
        </xdr:cNvPr>
        <xdr:cNvSpPr/>
      </xdr:nvSpPr>
      <xdr:spPr>
        <a:xfrm>
          <a:off x="15465424" y="13647736"/>
          <a:ext cx="911226" cy="23971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Perpetuidad</a:t>
          </a:r>
        </a:p>
      </xdr:txBody>
    </xdr:sp>
    <xdr:clientData/>
  </xdr:twoCellAnchor>
  <xdr:twoCellAnchor>
    <xdr:from>
      <xdr:col>15</xdr:col>
      <xdr:colOff>249237</xdr:colOff>
      <xdr:row>65</xdr:row>
      <xdr:rowOff>177798</xdr:rowOff>
    </xdr:from>
    <xdr:to>
      <xdr:col>16</xdr:col>
      <xdr:colOff>398463</xdr:colOff>
      <xdr:row>67</xdr:row>
      <xdr:rowOff>36512</xdr:rowOff>
    </xdr:to>
    <xdr:sp macro="" textlink="">
      <xdr:nvSpPr>
        <xdr:cNvPr id="69" name="Rectángulo 68">
          <a:extLst>
            <a:ext uri="{FF2B5EF4-FFF2-40B4-BE49-F238E27FC236}">
              <a16:creationId xmlns:a16="http://schemas.microsoft.com/office/drawing/2014/main" id="{F2C6772F-0E4C-4654-9C9C-32191422F54E}"/>
            </a:ext>
          </a:extLst>
        </xdr:cNvPr>
        <xdr:cNvSpPr/>
      </xdr:nvSpPr>
      <xdr:spPr>
        <a:xfrm>
          <a:off x="14041437" y="13665198"/>
          <a:ext cx="1082676" cy="23971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Proyectado</a:t>
          </a:r>
        </a:p>
      </xdr:txBody>
    </xdr:sp>
    <xdr:clientData/>
  </xdr:twoCellAnchor>
  <xdr:twoCellAnchor>
    <xdr:from>
      <xdr:col>13</xdr:col>
      <xdr:colOff>592136</xdr:colOff>
      <xdr:row>65</xdr:row>
      <xdr:rowOff>179385</xdr:rowOff>
    </xdr:from>
    <xdr:to>
      <xdr:col>14</xdr:col>
      <xdr:colOff>492124</xdr:colOff>
      <xdr:row>67</xdr:row>
      <xdr:rowOff>38099</xdr:rowOff>
    </xdr:to>
    <xdr:sp macro="" textlink="">
      <xdr:nvSpPr>
        <xdr:cNvPr id="70" name="Rectángulo 69">
          <a:extLst>
            <a:ext uri="{FF2B5EF4-FFF2-40B4-BE49-F238E27FC236}">
              <a16:creationId xmlns:a16="http://schemas.microsoft.com/office/drawing/2014/main" id="{5F13B284-488A-4B69-A5C3-B9B6E99BC1AF}"/>
            </a:ext>
          </a:extLst>
        </xdr:cNvPr>
        <xdr:cNvSpPr/>
      </xdr:nvSpPr>
      <xdr:spPr>
        <a:xfrm>
          <a:off x="12793661" y="13666785"/>
          <a:ext cx="728663" cy="23971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Histórico</a:t>
          </a:r>
        </a:p>
      </xdr:txBody>
    </xdr:sp>
    <xdr:clientData/>
  </xdr:twoCellAnchor>
  <xdr:twoCellAnchor>
    <xdr:from>
      <xdr:col>18</xdr:col>
      <xdr:colOff>192086</xdr:colOff>
      <xdr:row>61</xdr:row>
      <xdr:rowOff>17460</xdr:rowOff>
    </xdr:from>
    <xdr:to>
      <xdr:col>19</xdr:col>
      <xdr:colOff>357187</xdr:colOff>
      <xdr:row>63</xdr:row>
      <xdr:rowOff>79374</xdr:rowOff>
    </xdr:to>
    <xdr:sp macro="" textlink="">
      <xdr:nvSpPr>
        <xdr:cNvPr id="71" name="Rectángulo 70">
          <a:extLst>
            <a:ext uri="{FF2B5EF4-FFF2-40B4-BE49-F238E27FC236}">
              <a16:creationId xmlns:a16="http://schemas.microsoft.com/office/drawing/2014/main" id="{05057209-4E9E-402F-BD57-E8CF929E024A}"/>
            </a:ext>
          </a:extLst>
        </xdr:cNvPr>
        <xdr:cNvSpPr/>
      </xdr:nvSpPr>
      <xdr:spPr>
        <a:xfrm>
          <a:off x="16441736" y="12628560"/>
          <a:ext cx="927101" cy="490539"/>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Anualidad Perpetua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590136</xdr:colOff>
      <xdr:row>4</xdr:row>
      <xdr:rowOff>25261</xdr:rowOff>
    </xdr:from>
    <xdr:to>
      <xdr:col>18</xdr:col>
      <xdr:colOff>414130</xdr:colOff>
      <xdr:row>34</xdr:row>
      <xdr:rowOff>0</xdr:rowOff>
    </xdr:to>
    <xdr:sp macro="" textlink="">
      <xdr:nvSpPr>
        <xdr:cNvPr id="2" name="CuadroTexto 1">
          <a:extLst>
            <a:ext uri="{FF2B5EF4-FFF2-40B4-BE49-F238E27FC236}">
              <a16:creationId xmlns:a16="http://schemas.microsoft.com/office/drawing/2014/main" id="{D75DDF2D-F50D-417D-AE40-EE9AB43EAE02}"/>
            </a:ext>
          </a:extLst>
        </xdr:cNvPr>
        <xdr:cNvSpPr txBox="1"/>
      </xdr:nvSpPr>
      <xdr:spPr>
        <a:xfrm>
          <a:off x="14220411" y="1120636"/>
          <a:ext cx="5157994" cy="60516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0" i="0">
              <a:solidFill>
                <a:schemeClr val="dk1"/>
              </a:solidFill>
              <a:effectLst/>
              <a:latin typeface="+mn-lt"/>
              <a:ea typeface="+mn-ea"/>
              <a:cs typeface="+mn-cs"/>
            </a:rPr>
            <a:t>La fórmula Altman Z-score fue creada en 1.960 por el profesor de la Universidad de Nueva York </a:t>
          </a:r>
          <a:r>
            <a:rPr lang="es-CO" sz="1400" b="0" i="0" u="sng">
              <a:solidFill>
                <a:schemeClr val="dk1"/>
              </a:solidFill>
              <a:effectLst/>
              <a:latin typeface="+mn-lt"/>
              <a:ea typeface="+mn-ea"/>
              <a:cs typeface="+mn-cs"/>
              <a:hlinkClick xmlns:r="http://schemas.openxmlformats.org/officeDocument/2006/relationships" r:id=""/>
            </a:rPr>
            <a:t>Edward Altman</a:t>
          </a:r>
          <a:r>
            <a:rPr lang="es-CO" sz="1400" b="0" i="0">
              <a:solidFill>
                <a:schemeClr val="dk1"/>
              </a:solidFill>
              <a:effectLst/>
              <a:latin typeface="+mn-lt"/>
              <a:ea typeface="+mn-ea"/>
              <a:cs typeface="+mn-cs"/>
            </a:rPr>
            <a:t>. Esta sencilla fórmula mide la probabilidad de que quiebre una empresa.</a:t>
          </a:r>
        </a:p>
        <a:p>
          <a:endParaRPr lang="es-CO" sz="1400" b="0" i="0">
            <a:solidFill>
              <a:schemeClr val="dk1"/>
            </a:solidFill>
            <a:effectLst/>
            <a:latin typeface="+mn-lt"/>
            <a:ea typeface="+mn-ea"/>
            <a:cs typeface="+mn-cs"/>
          </a:endParaRPr>
        </a:p>
        <a:p>
          <a:r>
            <a:rPr lang="es-CO" sz="1400" b="0" i="0">
              <a:solidFill>
                <a:schemeClr val="dk1"/>
              </a:solidFill>
              <a:effectLst/>
              <a:latin typeface="+mn-lt"/>
              <a:ea typeface="+mn-ea"/>
              <a:cs typeface="+mn-cs"/>
            </a:rPr>
            <a:t>La probabilidad de quiebra de una empresa dependerá del resultado de la fórmula Altman Z-score. Según el resultado, la empresa podrá encontrarse en la zona segura, zona gris o en la zona de peligro.</a:t>
          </a:r>
        </a:p>
        <a:p>
          <a:endParaRPr lang="es-CO" sz="1400" b="0" i="0">
            <a:solidFill>
              <a:schemeClr val="dk1"/>
            </a:solidFill>
            <a:effectLst/>
            <a:latin typeface="+mn-lt"/>
            <a:ea typeface="+mn-ea"/>
            <a:cs typeface="+mn-cs"/>
          </a:endParaRPr>
        </a:p>
        <a:p>
          <a:r>
            <a:rPr lang="es-CO" sz="1400" b="0" i="0">
              <a:solidFill>
                <a:schemeClr val="dk1"/>
              </a:solidFill>
              <a:effectLst/>
              <a:latin typeface="+mn-lt"/>
              <a:ea typeface="+mn-ea"/>
              <a:cs typeface="+mn-cs"/>
            </a:rPr>
            <a:t>La precisión de la fórmula Altman Z-score es de un 72% con 2 años de antelación con respecto a la fecha de la quiebra, con un porcentaje de falsos negativos del 6%.</a:t>
          </a:r>
        </a:p>
        <a:p>
          <a:endParaRPr lang="es-CO" sz="1400" b="0" i="0">
            <a:solidFill>
              <a:schemeClr val="dk1"/>
            </a:solidFill>
            <a:effectLst/>
            <a:latin typeface="+mn-lt"/>
            <a:ea typeface="+mn-ea"/>
            <a:cs typeface="+mn-cs"/>
          </a:endParaRPr>
        </a:p>
        <a:p>
          <a:r>
            <a:rPr lang="es-CO" sz="1400" b="0" i="0">
              <a:solidFill>
                <a:schemeClr val="dk1"/>
              </a:solidFill>
              <a:effectLst/>
              <a:latin typeface="+mn-lt"/>
              <a:ea typeface="+mn-ea"/>
              <a:cs typeface="+mn-cs"/>
            </a:rPr>
            <a:t>En un período de prueba de 31 años, esta fórmula tuvo una precisión de entre un 80% y un 90% a la hora de predecir quiebras un año antes de que sucediesen, con un porcentaje de falsos negativos de entre un 15% y un 20%.</a:t>
          </a:r>
        </a:p>
        <a:p>
          <a:endParaRPr lang="es-CO" sz="1400" b="0" i="0">
            <a:solidFill>
              <a:schemeClr val="dk1"/>
            </a:solidFill>
            <a:effectLst/>
            <a:latin typeface="+mn-lt"/>
            <a:ea typeface="+mn-ea"/>
            <a:cs typeface="+mn-cs"/>
          </a:endParaRPr>
        </a:p>
        <a:p>
          <a:r>
            <a:rPr lang="es-CO" sz="1400" b="0" i="0">
              <a:solidFill>
                <a:schemeClr val="dk1"/>
              </a:solidFill>
              <a:effectLst/>
              <a:latin typeface="+mn-lt"/>
              <a:ea typeface="+mn-ea"/>
              <a:cs typeface="+mn-cs"/>
            </a:rPr>
            <a:t>Por lo tanto, podemos decir que la fórmula de Altman para predecir quiebras es bastante precisa. No obstante, no es una fórmula infalible, por lo que debemos combinar su utilización con un análisis cualitativo de la empresa que ayude a determinar si estamos ante una futura empresa en quiebra.</a:t>
          </a:r>
        </a:p>
        <a:p>
          <a:endParaRPr lang="es-CO" sz="1100"/>
        </a:p>
      </xdr:txBody>
    </xdr:sp>
    <xdr:clientData/>
  </xdr:twoCellAnchor>
  <xdr:twoCellAnchor>
    <xdr:from>
      <xdr:col>9</xdr:col>
      <xdr:colOff>1905278</xdr:colOff>
      <xdr:row>55</xdr:row>
      <xdr:rowOff>182546</xdr:rowOff>
    </xdr:from>
    <xdr:to>
      <xdr:col>15</xdr:col>
      <xdr:colOff>577168</xdr:colOff>
      <xdr:row>73</xdr:row>
      <xdr:rowOff>33170</xdr:rowOff>
    </xdr:to>
    <xdr:graphicFrame macro="">
      <xdr:nvGraphicFramePr>
        <xdr:cNvPr id="3" name="Gráfico 2">
          <a:extLst>
            <a:ext uri="{FF2B5EF4-FFF2-40B4-BE49-F238E27FC236}">
              <a16:creationId xmlns:a16="http://schemas.microsoft.com/office/drawing/2014/main" id="{8B46D724-BD88-4F87-B108-BE3200270A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41246</xdr:colOff>
      <xdr:row>96</xdr:row>
      <xdr:rowOff>18791</xdr:rowOff>
    </xdr:from>
    <xdr:to>
      <xdr:col>8</xdr:col>
      <xdr:colOff>230111</xdr:colOff>
      <xdr:row>116</xdr:row>
      <xdr:rowOff>8770</xdr:rowOff>
    </xdr:to>
    <xdr:graphicFrame macro="">
      <xdr:nvGraphicFramePr>
        <xdr:cNvPr id="4" name="Gráfico 3">
          <a:extLst>
            <a:ext uri="{FF2B5EF4-FFF2-40B4-BE49-F238E27FC236}">
              <a16:creationId xmlns:a16="http://schemas.microsoft.com/office/drawing/2014/main" id="{D99ECC18-375B-4F47-89DC-F5D53CC187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88446</xdr:colOff>
      <xdr:row>56</xdr:row>
      <xdr:rowOff>97971</xdr:rowOff>
    </xdr:from>
    <xdr:to>
      <xdr:col>8</xdr:col>
      <xdr:colOff>299357</xdr:colOff>
      <xdr:row>71</xdr:row>
      <xdr:rowOff>81642</xdr:rowOff>
    </xdr:to>
    <xdr:graphicFrame macro="">
      <xdr:nvGraphicFramePr>
        <xdr:cNvPr id="5" name="Gráfico 4">
          <a:extLst>
            <a:ext uri="{FF2B5EF4-FFF2-40B4-BE49-F238E27FC236}">
              <a16:creationId xmlns:a16="http://schemas.microsoft.com/office/drawing/2014/main" id="{A1B3D118-A22A-4777-B8AB-E25D3E2204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441960</xdr:colOff>
      <xdr:row>3</xdr:row>
      <xdr:rowOff>15240</xdr:rowOff>
    </xdr:from>
    <xdr:to>
      <xdr:col>4</xdr:col>
      <xdr:colOff>624840</xdr:colOff>
      <xdr:row>12</xdr:row>
      <xdr:rowOff>106680</xdr:rowOff>
    </xdr:to>
    <xdr:graphicFrame macro="">
      <xdr:nvGraphicFramePr>
        <xdr:cNvPr id="2" name="Gráfico 1">
          <a:extLst>
            <a:ext uri="{FF2B5EF4-FFF2-40B4-BE49-F238E27FC236}">
              <a16:creationId xmlns:a16="http://schemas.microsoft.com/office/drawing/2014/main" id="{64300DC7-F9E4-4F73-85BA-2AEBAD0B46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3</xdr:row>
      <xdr:rowOff>0</xdr:rowOff>
    </xdr:from>
    <xdr:to>
      <xdr:col>9</xdr:col>
      <xdr:colOff>137160</xdr:colOff>
      <xdr:row>12</xdr:row>
      <xdr:rowOff>144780</xdr:rowOff>
    </xdr:to>
    <xdr:graphicFrame macro="">
      <xdr:nvGraphicFramePr>
        <xdr:cNvPr id="3" name="Gráfico 2">
          <a:extLst>
            <a:ext uri="{FF2B5EF4-FFF2-40B4-BE49-F238E27FC236}">
              <a16:creationId xmlns:a16="http://schemas.microsoft.com/office/drawing/2014/main" id="{483EBB79-3FE6-4471-9BF7-6CB0CCAC91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510540</xdr:colOff>
      <xdr:row>3</xdr:row>
      <xdr:rowOff>15240</xdr:rowOff>
    </xdr:from>
    <xdr:to>
      <xdr:col>14</xdr:col>
      <xdr:colOff>777240</xdr:colOff>
      <xdr:row>13</xdr:row>
      <xdr:rowOff>45720</xdr:rowOff>
    </xdr:to>
    <xdr:graphicFrame macro="">
      <xdr:nvGraphicFramePr>
        <xdr:cNvPr id="4" name="Gráfico 3">
          <a:extLst>
            <a:ext uri="{FF2B5EF4-FFF2-40B4-BE49-F238E27FC236}">
              <a16:creationId xmlns:a16="http://schemas.microsoft.com/office/drawing/2014/main" id="{8F1D8B63-8984-423F-8D8C-F53C3A0C81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396240</xdr:colOff>
      <xdr:row>15</xdr:row>
      <xdr:rowOff>137160</xdr:rowOff>
    </xdr:from>
    <xdr:to>
      <xdr:col>4</xdr:col>
      <xdr:colOff>762000</xdr:colOff>
      <xdr:row>28</xdr:row>
      <xdr:rowOff>22860</xdr:rowOff>
    </xdr:to>
    <xdr:graphicFrame macro="">
      <xdr:nvGraphicFramePr>
        <xdr:cNvPr id="5" name="Gráfico 4">
          <a:extLst>
            <a:ext uri="{FF2B5EF4-FFF2-40B4-BE49-F238E27FC236}">
              <a16:creationId xmlns:a16="http://schemas.microsoft.com/office/drawing/2014/main" id="{8EF08F49-221A-4276-80AA-D027DC275C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161364</xdr:colOff>
      <xdr:row>31</xdr:row>
      <xdr:rowOff>62752</xdr:rowOff>
    </xdr:from>
    <xdr:to>
      <xdr:col>13</xdr:col>
      <xdr:colOff>582704</xdr:colOff>
      <xdr:row>42</xdr:row>
      <xdr:rowOff>71718</xdr:rowOff>
    </xdr:to>
    <xdr:graphicFrame macro="">
      <xdr:nvGraphicFramePr>
        <xdr:cNvPr id="6" name="Gráfico 5">
          <a:extLst>
            <a:ext uri="{FF2B5EF4-FFF2-40B4-BE49-F238E27FC236}">
              <a16:creationId xmlns:a16="http://schemas.microsoft.com/office/drawing/2014/main" id="{851D4FBE-A395-4FB6-9482-360401D40A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83820</xdr:colOff>
      <xdr:row>15</xdr:row>
      <xdr:rowOff>137160</xdr:rowOff>
    </xdr:from>
    <xdr:to>
      <xdr:col>10</xdr:col>
      <xdr:colOff>137160</xdr:colOff>
      <xdr:row>27</xdr:row>
      <xdr:rowOff>114300</xdr:rowOff>
    </xdr:to>
    <xdr:graphicFrame macro="">
      <xdr:nvGraphicFramePr>
        <xdr:cNvPr id="7" name="Gráfico 6">
          <a:extLst>
            <a:ext uri="{FF2B5EF4-FFF2-40B4-BE49-F238E27FC236}">
              <a16:creationId xmlns:a16="http://schemas.microsoft.com/office/drawing/2014/main" id="{32B57F9E-115B-4E15-A96E-A0E7F38588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31</xdr:row>
      <xdr:rowOff>0</xdr:rowOff>
    </xdr:from>
    <xdr:to>
      <xdr:col>6</xdr:col>
      <xdr:colOff>228600</xdr:colOff>
      <xdr:row>42</xdr:row>
      <xdr:rowOff>106680</xdr:rowOff>
    </xdr:to>
    <xdr:graphicFrame macro="">
      <xdr:nvGraphicFramePr>
        <xdr:cNvPr id="8" name="Gráfico 7">
          <a:extLst>
            <a:ext uri="{FF2B5EF4-FFF2-40B4-BE49-F238E27FC236}">
              <a16:creationId xmlns:a16="http://schemas.microsoft.com/office/drawing/2014/main" id="{2051325A-5830-41E6-B19C-CA12CEF904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179294</xdr:colOff>
      <xdr:row>4</xdr:row>
      <xdr:rowOff>33618</xdr:rowOff>
    </xdr:from>
    <xdr:to>
      <xdr:col>21</xdr:col>
      <xdr:colOff>229721</xdr:colOff>
      <xdr:row>13</xdr:row>
      <xdr:rowOff>21292</xdr:rowOff>
    </xdr:to>
    <xdr:graphicFrame macro="">
      <xdr:nvGraphicFramePr>
        <xdr:cNvPr id="9" name="Gráfico 8">
          <a:extLst>
            <a:ext uri="{FF2B5EF4-FFF2-40B4-BE49-F238E27FC236}">
              <a16:creationId xmlns:a16="http://schemas.microsoft.com/office/drawing/2014/main" id="{C205D2EB-54CB-421F-B8B9-D2ADFDB926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514351</xdr:colOff>
      <xdr:row>1</xdr:row>
      <xdr:rowOff>180975</xdr:rowOff>
    </xdr:from>
    <xdr:to>
      <xdr:col>15</xdr:col>
      <xdr:colOff>323851</xdr:colOff>
      <xdr:row>4</xdr:row>
      <xdr:rowOff>142874</xdr:rowOff>
    </xdr:to>
    <xdr:sp macro="" textlink="">
      <xdr:nvSpPr>
        <xdr:cNvPr id="2" name="Forma libre 1">
          <a:extLst>
            <a:ext uri="{FF2B5EF4-FFF2-40B4-BE49-F238E27FC236}">
              <a16:creationId xmlns:a16="http://schemas.microsoft.com/office/drawing/2014/main" id="{00000000-0008-0000-0100-000002000000}"/>
            </a:ext>
          </a:extLst>
        </xdr:cNvPr>
        <xdr:cNvSpPr/>
      </xdr:nvSpPr>
      <xdr:spPr>
        <a:xfrm rot="17984693">
          <a:off x="12182476" y="352425"/>
          <a:ext cx="533399" cy="571500"/>
        </a:xfrm>
        <a:custGeom>
          <a:avLst/>
          <a:gdLst>
            <a:gd name="connsiteX0" fmla="*/ 0 w 533400"/>
            <a:gd name="connsiteY0" fmla="*/ 101957 h 587732"/>
            <a:gd name="connsiteX1" fmla="*/ 238125 w 533400"/>
            <a:gd name="connsiteY1" fmla="*/ 35282 h 587732"/>
            <a:gd name="connsiteX2" fmla="*/ 533400 w 533400"/>
            <a:gd name="connsiteY2" fmla="*/ 587732 h 587732"/>
          </a:gdLst>
          <a:ahLst/>
          <a:cxnLst>
            <a:cxn ang="0">
              <a:pos x="connsiteX0" y="connsiteY0"/>
            </a:cxn>
            <a:cxn ang="0">
              <a:pos x="connsiteX1" y="connsiteY1"/>
            </a:cxn>
            <a:cxn ang="0">
              <a:pos x="connsiteX2" y="connsiteY2"/>
            </a:cxn>
          </a:cxnLst>
          <a:rect l="l" t="t" r="r" b="b"/>
          <a:pathLst>
            <a:path w="533400" h="587732">
              <a:moveTo>
                <a:pt x="0" y="101957"/>
              </a:moveTo>
              <a:cubicBezTo>
                <a:pt x="74612" y="28138"/>
                <a:pt x="149225" y="-45680"/>
                <a:pt x="238125" y="35282"/>
              </a:cubicBezTo>
              <a:cubicBezTo>
                <a:pt x="327025" y="116244"/>
                <a:pt x="533400" y="587732"/>
                <a:pt x="533400" y="587732"/>
              </a:cubicBezTo>
            </a:path>
          </a:pathLst>
        </a:custGeom>
        <a:noFill/>
        <a:ln w="762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561975</xdr:colOff>
      <xdr:row>0</xdr:row>
      <xdr:rowOff>161927</xdr:rowOff>
    </xdr:from>
    <xdr:to>
      <xdr:col>15</xdr:col>
      <xdr:colOff>476250</xdr:colOff>
      <xdr:row>3</xdr:row>
      <xdr:rowOff>95250</xdr:rowOff>
    </xdr:to>
    <xdr:cxnSp macro="">
      <xdr:nvCxnSpPr>
        <xdr:cNvPr id="6" name="Conector angular 5">
          <a:extLst>
            <a:ext uri="{FF2B5EF4-FFF2-40B4-BE49-F238E27FC236}">
              <a16:creationId xmlns:a16="http://schemas.microsoft.com/office/drawing/2014/main" id="{00000000-0008-0000-0100-000006000000}"/>
            </a:ext>
          </a:extLst>
        </xdr:cNvPr>
        <xdr:cNvCxnSpPr/>
      </xdr:nvCxnSpPr>
      <xdr:spPr>
        <a:xfrm flipV="1">
          <a:off x="12211050" y="161927"/>
          <a:ext cx="676275" cy="504823"/>
        </a:xfrm>
        <a:prstGeom prst="bentConnector3">
          <a:avLst>
            <a:gd name="adj1" fmla="val 50000"/>
          </a:avLst>
        </a:prstGeom>
        <a:ln w="7302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685800</xdr:colOff>
      <xdr:row>1</xdr:row>
      <xdr:rowOff>142876</xdr:rowOff>
    </xdr:from>
    <xdr:to>
      <xdr:col>15</xdr:col>
      <xdr:colOff>666750</xdr:colOff>
      <xdr:row>4</xdr:row>
      <xdr:rowOff>66675</xdr:rowOff>
    </xdr:to>
    <xdr:cxnSp macro="">
      <xdr:nvCxnSpPr>
        <xdr:cNvPr id="7" name="Conector angular 6">
          <a:extLst>
            <a:ext uri="{FF2B5EF4-FFF2-40B4-BE49-F238E27FC236}">
              <a16:creationId xmlns:a16="http://schemas.microsoft.com/office/drawing/2014/main" id="{00000000-0008-0000-0100-000007000000}"/>
            </a:ext>
          </a:extLst>
        </xdr:cNvPr>
        <xdr:cNvCxnSpPr/>
      </xdr:nvCxnSpPr>
      <xdr:spPr>
        <a:xfrm flipV="1">
          <a:off x="12334875" y="333376"/>
          <a:ext cx="742950" cy="495299"/>
        </a:xfrm>
        <a:prstGeom prst="bentConnector3">
          <a:avLst>
            <a:gd name="adj1" fmla="val 51282"/>
          </a:avLst>
        </a:prstGeom>
        <a:ln w="7302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142875</xdr:colOff>
      <xdr:row>37</xdr:row>
      <xdr:rowOff>130419</xdr:rowOff>
    </xdr:from>
    <xdr:to>
      <xdr:col>19</xdr:col>
      <xdr:colOff>534865</xdr:colOff>
      <xdr:row>52</xdr:row>
      <xdr:rowOff>175846</xdr:rowOff>
    </xdr:to>
    <xdr:graphicFrame macro="">
      <xdr:nvGraphicFramePr>
        <xdr:cNvPr id="5" name="Gráfico 4">
          <a:extLst>
            <a:ext uri="{FF2B5EF4-FFF2-40B4-BE49-F238E27FC236}">
              <a16:creationId xmlns:a16="http://schemas.microsoft.com/office/drawing/2014/main" id="{B215884D-1880-1A9C-5B1E-B9CAC10FCD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1047750</xdr:colOff>
      <xdr:row>40</xdr:row>
      <xdr:rowOff>0</xdr:rowOff>
    </xdr:from>
    <xdr:to>
      <xdr:col>17</xdr:col>
      <xdr:colOff>1077058</xdr:colOff>
      <xdr:row>51</xdr:row>
      <xdr:rowOff>0</xdr:rowOff>
    </xdr:to>
    <xdr:cxnSp macro="">
      <xdr:nvCxnSpPr>
        <xdr:cNvPr id="9" name="Conector recto 8">
          <a:extLst>
            <a:ext uri="{FF2B5EF4-FFF2-40B4-BE49-F238E27FC236}">
              <a16:creationId xmlns:a16="http://schemas.microsoft.com/office/drawing/2014/main" id="{1088B444-289C-0C89-C059-501D6BF18D35}"/>
            </a:ext>
          </a:extLst>
        </xdr:cNvPr>
        <xdr:cNvCxnSpPr/>
      </xdr:nvCxnSpPr>
      <xdr:spPr>
        <a:xfrm>
          <a:off x="17643231" y="8440615"/>
          <a:ext cx="29308" cy="2146789"/>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twoCellAnchor>
    <xdr:from>
      <xdr:col>16</xdr:col>
      <xdr:colOff>150203</xdr:colOff>
      <xdr:row>53</xdr:row>
      <xdr:rowOff>49822</xdr:rowOff>
    </xdr:from>
    <xdr:to>
      <xdr:col>19</xdr:col>
      <xdr:colOff>549520</xdr:colOff>
      <xdr:row>68</xdr:row>
      <xdr:rowOff>190499</xdr:rowOff>
    </xdr:to>
    <xdr:graphicFrame macro="">
      <xdr:nvGraphicFramePr>
        <xdr:cNvPr id="11" name="Gráfico 10">
          <a:extLst>
            <a:ext uri="{FF2B5EF4-FFF2-40B4-BE49-F238E27FC236}">
              <a16:creationId xmlns:a16="http://schemas.microsoft.com/office/drawing/2014/main" id="{1126376C-E1A4-019F-6858-13589EDFA7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164856</xdr:colOff>
      <xdr:row>69</xdr:row>
      <xdr:rowOff>108437</xdr:rowOff>
    </xdr:from>
    <xdr:to>
      <xdr:col>19</xdr:col>
      <xdr:colOff>564173</xdr:colOff>
      <xdr:row>84</xdr:row>
      <xdr:rowOff>153864</xdr:rowOff>
    </xdr:to>
    <xdr:graphicFrame macro="">
      <xdr:nvGraphicFramePr>
        <xdr:cNvPr id="12" name="Gráfico 11">
          <a:extLst>
            <a:ext uri="{FF2B5EF4-FFF2-40B4-BE49-F238E27FC236}">
              <a16:creationId xmlns:a16="http://schemas.microsoft.com/office/drawing/2014/main" id="{A18482AB-5B61-8C34-886C-A3BA77523A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179509</xdr:colOff>
      <xdr:row>85</xdr:row>
      <xdr:rowOff>13188</xdr:rowOff>
    </xdr:from>
    <xdr:to>
      <xdr:col>19</xdr:col>
      <xdr:colOff>571500</xdr:colOff>
      <xdr:row>101</xdr:row>
      <xdr:rowOff>153865</xdr:rowOff>
    </xdr:to>
    <xdr:graphicFrame macro="">
      <xdr:nvGraphicFramePr>
        <xdr:cNvPr id="13" name="Gráfico 12">
          <a:extLst>
            <a:ext uri="{FF2B5EF4-FFF2-40B4-BE49-F238E27FC236}">
              <a16:creationId xmlns:a16="http://schemas.microsoft.com/office/drawing/2014/main" id="{E86A3450-14CA-BD0E-655A-15E6AA180C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977347</xdr:colOff>
      <xdr:row>17</xdr:row>
      <xdr:rowOff>28160</xdr:rowOff>
    </xdr:from>
    <xdr:to>
      <xdr:col>22</xdr:col>
      <xdr:colOff>944217</xdr:colOff>
      <xdr:row>32</xdr:row>
      <xdr:rowOff>165653</xdr:rowOff>
    </xdr:to>
    <xdr:graphicFrame macro="">
      <xdr:nvGraphicFramePr>
        <xdr:cNvPr id="3" name="Gráfico 2">
          <a:extLst>
            <a:ext uri="{FF2B5EF4-FFF2-40B4-BE49-F238E27FC236}">
              <a16:creationId xmlns:a16="http://schemas.microsoft.com/office/drawing/2014/main" id="{81F16D5E-401A-3A45-5407-8D7B7954F1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22</xdr:col>
      <xdr:colOff>967154</xdr:colOff>
      <xdr:row>18</xdr:row>
      <xdr:rowOff>205154</xdr:rowOff>
    </xdr:from>
    <xdr:to>
      <xdr:col>28</xdr:col>
      <xdr:colOff>14654</xdr:colOff>
      <xdr:row>27</xdr:row>
      <xdr:rowOff>124558</xdr:rowOff>
    </xdr:to>
    <xdr:sp macro="" textlink="">
      <xdr:nvSpPr>
        <xdr:cNvPr id="4" name="CuadroTexto 3">
          <a:extLst>
            <a:ext uri="{FF2B5EF4-FFF2-40B4-BE49-F238E27FC236}">
              <a16:creationId xmlns:a16="http://schemas.microsoft.com/office/drawing/2014/main" id="{A37FCCBB-5923-46F2-91AA-C3211258DAD8}"/>
            </a:ext>
          </a:extLst>
        </xdr:cNvPr>
        <xdr:cNvSpPr txBox="1"/>
      </xdr:nvSpPr>
      <xdr:spPr>
        <a:xfrm>
          <a:off x="23262981" y="3853962"/>
          <a:ext cx="5693019" cy="20149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i="1" u="sng"/>
            <a:t>SOBRE LA PROYECCIÓN DE ESTADOS</a:t>
          </a:r>
          <a:r>
            <a:rPr lang="es-CO" sz="1100" b="1" i="1" u="sng" baseline="0"/>
            <a:t> FINANCIEROS</a:t>
          </a:r>
          <a:r>
            <a:rPr lang="es-CO" sz="1100" b="1" i="1" u="sng"/>
            <a:t>:</a:t>
          </a:r>
          <a:r>
            <a:rPr lang="es-CO" sz="1100" b="1" i="1" u="sng" baseline="0"/>
            <a:t> </a:t>
          </a:r>
          <a:r>
            <a:rPr lang="es-CO" sz="1100" i="1"/>
            <a:t>En</a:t>
          </a:r>
          <a:r>
            <a:rPr lang="es-CO" sz="1100" i="1" baseline="0"/>
            <a:t> esta sección usted podrá desarrollar el método de proyección de estados financieros, ya sea de manera estadistica, es decir, pronisticando crecimientos lineales basados en históricos con tasas de crecimiento para cada año, reflejando la empresa en sus condiciones normales y creciendo estadisticamente.</a:t>
          </a:r>
        </a:p>
        <a:p>
          <a:endParaRPr lang="es-CO" sz="1100" i="1" baseline="0"/>
        </a:p>
        <a:p>
          <a:r>
            <a:rPr lang="es-CO" sz="1100" i="1" baseline="0"/>
            <a:t>Usted puede aplicar crecimientos operativos basados en rotaciones de inventarios, proyecciones de lineas de negocio, participaciones y planes de crecimiento en rubros específicos.</a:t>
          </a:r>
        </a:p>
        <a:p>
          <a:endParaRPr lang="es-CO" sz="1100" i="1" baseline="0"/>
        </a:p>
        <a:p>
          <a:r>
            <a:rPr lang="es-CO" sz="1100" i="1" baseline="0"/>
            <a:t>El presente modelo puede ser afectado por diferentes métodos matématicos de proyecciones, aplique los más coherentes para cada caso y verifique que la proyección no sea afectada discrecionalmnete o con supuestos sin fundamento.</a:t>
          </a:r>
          <a:endParaRPr lang="es-CO" sz="1100" i="1"/>
        </a:p>
      </xdr:txBody>
    </xdr:sp>
    <xdr:clientData/>
  </xdr:twoCellAnchor>
</xdr:wsDr>
</file>

<file path=xl/drawings/drawing3.xml><?xml version="1.0" encoding="utf-8"?>
<c:userShapes xmlns:c="http://schemas.openxmlformats.org/drawingml/2006/chart">
  <cdr:relSizeAnchor xmlns:cdr="http://schemas.openxmlformats.org/drawingml/2006/chartDrawing">
    <cdr:from>
      <cdr:x>0.51944</cdr:x>
      <cdr:y>0.17357</cdr:y>
    </cdr:from>
    <cdr:to>
      <cdr:x>0.52493</cdr:x>
      <cdr:y>0.87086</cdr:y>
    </cdr:to>
    <cdr:cxnSp macro="">
      <cdr:nvCxnSpPr>
        <cdr:cNvPr id="2" name="Conector recto 1">
          <a:extLst xmlns:a="http://schemas.openxmlformats.org/drawingml/2006/main">
            <a:ext uri="{FF2B5EF4-FFF2-40B4-BE49-F238E27FC236}">
              <a16:creationId xmlns:a16="http://schemas.microsoft.com/office/drawing/2014/main" id="{1088B444-289C-0C89-C059-501D6BF18D35}"/>
            </a:ext>
          </a:extLst>
        </cdr:cNvPr>
        <cdr:cNvCxnSpPr/>
      </cdr:nvCxnSpPr>
      <cdr:spPr>
        <a:xfrm xmlns:a="http://schemas.openxmlformats.org/drawingml/2006/main">
          <a:off x="2776416" y="534377"/>
          <a:ext cx="29308" cy="2146789"/>
        </a:xfrm>
        <a:prstGeom xmlns:a="http://schemas.openxmlformats.org/drawingml/2006/main" prst="line">
          <a:avLst/>
        </a:prstGeom>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4.xml><?xml version="1.0" encoding="utf-8"?>
<c:userShapes xmlns:c="http://schemas.openxmlformats.org/drawingml/2006/chart">
  <cdr:relSizeAnchor xmlns:cdr="http://schemas.openxmlformats.org/drawingml/2006/chartDrawing">
    <cdr:from>
      <cdr:x>0.51122</cdr:x>
      <cdr:y>0.16846</cdr:y>
    </cdr:from>
    <cdr:to>
      <cdr:x>0.5167</cdr:x>
      <cdr:y>0.88449</cdr:y>
    </cdr:to>
    <cdr:cxnSp macro="">
      <cdr:nvCxnSpPr>
        <cdr:cNvPr id="2" name="Conector recto 1">
          <a:extLst xmlns:a="http://schemas.openxmlformats.org/drawingml/2006/main">
            <a:ext uri="{FF2B5EF4-FFF2-40B4-BE49-F238E27FC236}">
              <a16:creationId xmlns:a16="http://schemas.microsoft.com/office/drawing/2014/main" id="{BB5E96F6-A298-1043-DC69-DCFA489CC4C5}"/>
            </a:ext>
          </a:extLst>
        </cdr:cNvPr>
        <cdr:cNvCxnSpPr/>
      </cdr:nvCxnSpPr>
      <cdr:spPr>
        <a:xfrm xmlns:a="http://schemas.openxmlformats.org/drawingml/2006/main">
          <a:off x="2732454" y="505069"/>
          <a:ext cx="29308" cy="2146789"/>
        </a:xfrm>
        <a:prstGeom xmlns:a="http://schemas.openxmlformats.org/drawingml/2006/main" prst="line">
          <a:avLst/>
        </a:prstGeom>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5.xml><?xml version="1.0" encoding="utf-8"?>
<c:userShapes xmlns:c="http://schemas.openxmlformats.org/drawingml/2006/chart">
  <cdr:relSizeAnchor xmlns:cdr="http://schemas.openxmlformats.org/drawingml/2006/chartDrawing">
    <cdr:from>
      <cdr:x>0.52153</cdr:x>
      <cdr:y>0.15346</cdr:y>
    </cdr:from>
    <cdr:to>
      <cdr:x>0.53054</cdr:x>
      <cdr:y>0.88201</cdr:y>
    </cdr:to>
    <cdr:cxnSp macro="">
      <cdr:nvCxnSpPr>
        <cdr:cNvPr id="2" name="Conector recto 1">
          <a:extLst xmlns:a="http://schemas.openxmlformats.org/drawingml/2006/main">
            <a:ext uri="{FF2B5EF4-FFF2-40B4-BE49-F238E27FC236}">
              <a16:creationId xmlns:a16="http://schemas.microsoft.com/office/drawing/2014/main" id="{066631AC-E18F-949E-0D57-3E6C29A62449}"/>
            </a:ext>
          </a:extLst>
        </cdr:cNvPr>
        <cdr:cNvCxnSpPr/>
      </cdr:nvCxnSpPr>
      <cdr:spPr>
        <a:xfrm xmlns:a="http://schemas.openxmlformats.org/drawingml/2006/main">
          <a:off x="2783742" y="505068"/>
          <a:ext cx="48115" cy="2397859"/>
        </a:xfrm>
        <a:prstGeom xmlns:a="http://schemas.openxmlformats.org/drawingml/2006/main" prst="line">
          <a:avLst/>
        </a:prstGeom>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13</xdr:col>
      <xdr:colOff>206375</xdr:colOff>
      <xdr:row>52</xdr:row>
      <xdr:rowOff>103188</xdr:rowOff>
    </xdr:from>
    <xdr:to>
      <xdr:col>18</xdr:col>
      <xdr:colOff>190500</xdr:colOff>
      <xdr:row>52</xdr:row>
      <xdr:rowOff>111126</xdr:rowOff>
    </xdr:to>
    <xdr:cxnSp macro="">
      <xdr:nvCxnSpPr>
        <xdr:cNvPr id="3" name="Conector recto 2">
          <a:extLst>
            <a:ext uri="{FF2B5EF4-FFF2-40B4-BE49-F238E27FC236}">
              <a16:creationId xmlns:a16="http://schemas.microsoft.com/office/drawing/2014/main" id="{00000000-0008-0000-0200-000003000000}"/>
            </a:ext>
          </a:extLst>
        </xdr:cNvPr>
        <xdr:cNvCxnSpPr/>
      </xdr:nvCxnSpPr>
      <xdr:spPr>
        <a:xfrm flipV="1">
          <a:off x="13692188" y="10818813"/>
          <a:ext cx="3857625" cy="79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428625</xdr:colOff>
      <xdr:row>50</xdr:row>
      <xdr:rowOff>71437</xdr:rowOff>
    </xdr:from>
    <xdr:to>
      <xdr:col>13</xdr:col>
      <xdr:colOff>428625</xdr:colOff>
      <xdr:row>52</xdr:row>
      <xdr:rowOff>111126</xdr:rowOff>
    </xdr:to>
    <xdr:cxnSp macro="">
      <xdr:nvCxnSpPr>
        <xdr:cNvPr id="5" name="Conector recto 4">
          <a:extLst>
            <a:ext uri="{FF2B5EF4-FFF2-40B4-BE49-F238E27FC236}">
              <a16:creationId xmlns:a16="http://schemas.microsoft.com/office/drawing/2014/main" id="{00000000-0008-0000-0200-000005000000}"/>
            </a:ext>
          </a:extLst>
        </xdr:cNvPr>
        <xdr:cNvCxnSpPr/>
      </xdr:nvCxnSpPr>
      <xdr:spPr>
        <a:xfrm flipV="1">
          <a:off x="13914438" y="10398125"/>
          <a:ext cx="0" cy="4286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642937</xdr:colOff>
      <xdr:row>49</xdr:row>
      <xdr:rowOff>134938</xdr:rowOff>
    </xdr:from>
    <xdr:to>
      <xdr:col>13</xdr:col>
      <xdr:colOff>652463</xdr:colOff>
      <xdr:row>52</xdr:row>
      <xdr:rowOff>112714</xdr:rowOff>
    </xdr:to>
    <xdr:cxnSp macro="">
      <xdr:nvCxnSpPr>
        <xdr:cNvPr id="7" name="Conector recto 6">
          <a:extLst>
            <a:ext uri="{FF2B5EF4-FFF2-40B4-BE49-F238E27FC236}">
              <a16:creationId xmlns:a16="http://schemas.microsoft.com/office/drawing/2014/main" id="{00000000-0008-0000-0200-000007000000}"/>
            </a:ext>
          </a:extLst>
        </xdr:cNvPr>
        <xdr:cNvCxnSpPr/>
      </xdr:nvCxnSpPr>
      <xdr:spPr>
        <a:xfrm flipH="1" flipV="1">
          <a:off x="14128750" y="10263188"/>
          <a:ext cx="9526" cy="56515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63500</xdr:colOff>
      <xdr:row>50</xdr:row>
      <xdr:rowOff>79375</xdr:rowOff>
    </xdr:from>
    <xdr:to>
      <xdr:col>14</xdr:col>
      <xdr:colOff>66676</xdr:colOff>
      <xdr:row>52</xdr:row>
      <xdr:rowOff>122240</xdr:rowOff>
    </xdr:to>
    <xdr:cxnSp macro="">
      <xdr:nvCxnSpPr>
        <xdr:cNvPr id="9" name="Conector recto 8">
          <a:extLst>
            <a:ext uri="{FF2B5EF4-FFF2-40B4-BE49-F238E27FC236}">
              <a16:creationId xmlns:a16="http://schemas.microsoft.com/office/drawing/2014/main" id="{00000000-0008-0000-0200-000009000000}"/>
            </a:ext>
          </a:extLst>
        </xdr:cNvPr>
        <xdr:cNvCxnSpPr/>
      </xdr:nvCxnSpPr>
      <xdr:spPr>
        <a:xfrm flipH="1" flipV="1">
          <a:off x="14374813" y="10406063"/>
          <a:ext cx="3176" cy="43180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322263</xdr:colOff>
      <xdr:row>49</xdr:row>
      <xdr:rowOff>7938</xdr:rowOff>
    </xdr:from>
    <xdr:to>
      <xdr:col>14</xdr:col>
      <xdr:colOff>325437</xdr:colOff>
      <xdr:row>52</xdr:row>
      <xdr:rowOff>115890</xdr:rowOff>
    </xdr:to>
    <xdr:cxnSp macro="">
      <xdr:nvCxnSpPr>
        <xdr:cNvPr id="11" name="Conector recto 10">
          <a:extLst>
            <a:ext uri="{FF2B5EF4-FFF2-40B4-BE49-F238E27FC236}">
              <a16:creationId xmlns:a16="http://schemas.microsoft.com/office/drawing/2014/main" id="{00000000-0008-0000-0200-00000B000000}"/>
            </a:ext>
          </a:extLst>
        </xdr:cNvPr>
        <xdr:cNvCxnSpPr/>
      </xdr:nvCxnSpPr>
      <xdr:spPr>
        <a:xfrm flipV="1">
          <a:off x="14633576" y="10136188"/>
          <a:ext cx="3174" cy="69532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601663</xdr:colOff>
      <xdr:row>49</xdr:row>
      <xdr:rowOff>119063</xdr:rowOff>
    </xdr:from>
    <xdr:to>
      <xdr:col>14</xdr:col>
      <xdr:colOff>603250</xdr:colOff>
      <xdr:row>52</xdr:row>
      <xdr:rowOff>117478</xdr:rowOff>
    </xdr:to>
    <xdr:cxnSp macro="">
      <xdr:nvCxnSpPr>
        <xdr:cNvPr id="14" name="Conector recto 13">
          <a:extLst>
            <a:ext uri="{FF2B5EF4-FFF2-40B4-BE49-F238E27FC236}">
              <a16:creationId xmlns:a16="http://schemas.microsoft.com/office/drawing/2014/main" id="{00000000-0008-0000-0200-00000E000000}"/>
            </a:ext>
          </a:extLst>
        </xdr:cNvPr>
        <xdr:cNvCxnSpPr/>
      </xdr:nvCxnSpPr>
      <xdr:spPr>
        <a:xfrm flipV="1">
          <a:off x="14912976" y="10247313"/>
          <a:ext cx="1587" cy="58579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150813</xdr:colOff>
      <xdr:row>49</xdr:row>
      <xdr:rowOff>112713</xdr:rowOff>
    </xdr:from>
    <xdr:to>
      <xdr:col>15</xdr:col>
      <xdr:colOff>152400</xdr:colOff>
      <xdr:row>52</xdr:row>
      <xdr:rowOff>111128</xdr:rowOff>
    </xdr:to>
    <xdr:cxnSp macro="">
      <xdr:nvCxnSpPr>
        <xdr:cNvPr id="16" name="Conector recto 15">
          <a:extLst>
            <a:ext uri="{FF2B5EF4-FFF2-40B4-BE49-F238E27FC236}">
              <a16:creationId xmlns:a16="http://schemas.microsoft.com/office/drawing/2014/main" id="{00000000-0008-0000-0200-000010000000}"/>
            </a:ext>
          </a:extLst>
        </xdr:cNvPr>
        <xdr:cNvCxnSpPr/>
      </xdr:nvCxnSpPr>
      <xdr:spPr>
        <a:xfrm flipV="1">
          <a:off x="15224126" y="10240963"/>
          <a:ext cx="1587" cy="58579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404812</xdr:colOff>
      <xdr:row>49</xdr:row>
      <xdr:rowOff>39688</xdr:rowOff>
    </xdr:from>
    <xdr:to>
      <xdr:col>15</xdr:col>
      <xdr:colOff>406401</xdr:colOff>
      <xdr:row>52</xdr:row>
      <xdr:rowOff>112716</xdr:rowOff>
    </xdr:to>
    <xdr:cxnSp macro="">
      <xdr:nvCxnSpPr>
        <xdr:cNvPr id="17" name="Conector recto 16">
          <a:extLst>
            <a:ext uri="{FF2B5EF4-FFF2-40B4-BE49-F238E27FC236}">
              <a16:creationId xmlns:a16="http://schemas.microsoft.com/office/drawing/2014/main" id="{00000000-0008-0000-0200-000011000000}"/>
            </a:ext>
          </a:extLst>
        </xdr:cNvPr>
        <xdr:cNvCxnSpPr/>
      </xdr:nvCxnSpPr>
      <xdr:spPr>
        <a:xfrm flipH="1" flipV="1">
          <a:off x="15478125" y="10167938"/>
          <a:ext cx="1589" cy="6604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677865</xdr:colOff>
      <xdr:row>48</xdr:row>
      <xdr:rowOff>127000</xdr:rowOff>
    </xdr:from>
    <xdr:to>
      <xdr:col>15</xdr:col>
      <xdr:colOff>682625</xdr:colOff>
      <xdr:row>52</xdr:row>
      <xdr:rowOff>114305</xdr:rowOff>
    </xdr:to>
    <xdr:cxnSp macro="">
      <xdr:nvCxnSpPr>
        <xdr:cNvPr id="19" name="Conector recto 18">
          <a:extLst>
            <a:ext uri="{FF2B5EF4-FFF2-40B4-BE49-F238E27FC236}">
              <a16:creationId xmlns:a16="http://schemas.microsoft.com/office/drawing/2014/main" id="{00000000-0008-0000-0200-000013000000}"/>
            </a:ext>
          </a:extLst>
        </xdr:cNvPr>
        <xdr:cNvCxnSpPr/>
      </xdr:nvCxnSpPr>
      <xdr:spPr>
        <a:xfrm flipV="1">
          <a:off x="15751178" y="10064750"/>
          <a:ext cx="4760" cy="76518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195265</xdr:colOff>
      <xdr:row>48</xdr:row>
      <xdr:rowOff>47625</xdr:rowOff>
    </xdr:from>
    <xdr:to>
      <xdr:col>16</xdr:col>
      <xdr:colOff>198437</xdr:colOff>
      <xdr:row>52</xdr:row>
      <xdr:rowOff>100018</xdr:rowOff>
    </xdr:to>
    <xdr:cxnSp macro="">
      <xdr:nvCxnSpPr>
        <xdr:cNvPr id="21" name="Conector recto 20">
          <a:extLst>
            <a:ext uri="{FF2B5EF4-FFF2-40B4-BE49-F238E27FC236}">
              <a16:creationId xmlns:a16="http://schemas.microsoft.com/office/drawing/2014/main" id="{00000000-0008-0000-0200-000015000000}"/>
            </a:ext>
          </a:extLst>
        </xdr:cNvPr>
        <xdr:cNvCxnSpPr/>
      </xdr:nvCxnSpPr>
      <xdr:spPr>
        <a:xfrm flipV="1">
          <a:off x="16030578" y="9985375"/>
          <a:ext cx="3172" cy="83026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450853</xdr:colOff>
      <xdr:row>47</xdr:row>
      <xdr:rowOff>150813</xdr:rowOff>
    </xdr:from>
    <xdr:to>
      <xdr:col>16</xdr:col>
      <xdr:colOff>452437</xdr:colOff>
      <xdr:row>52</xdr:row>
      <xdr:rowOff>109543</xdr:rowOff>
    </xdr:to>
    <xdr:cxnSp macro="">
      <xdr:nvCxnSpPr>
        <xdr:cNvPr id="23" name="Conector recto 22">
          <a:extLst>
            <a:ext uri="{FF2B5EF4-FFF2-40B4-BE49-F238E27FC236}">
              <a16:creationId xmlns:a16="http://schemas.microsoft.com/office/drawing/2014/main" id="{00000000-0008-0000-0200-000017000000}"/>
            </a:ext>
          </a:extLst>
        </xdr:cNvPr>
        <xdr:cNvCxnSpPr/>
      </xdr:nvCxnSpPr>
      <xdr:spPr>
        <a:xfrm flipV="1">
          <a:off x="16286166" y="9898063"/>
          <a:ext cx="1584" cy="9271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682628</xdr:colOff>
      <xdr:row>48</xdr:row>
      <xdr:rowOff>63500</xdr:rowOff>
    </xdr:from>
    <xdr:to>
      <xdr:col>18</xdr:col>
      <xdr:colOff>166687</xdr:colOff>
      <xdr:row>50</xdr:row>
      <xdr:rowOff>95259</xdr:rowOff>
    </xdr:to>
    <xdr:cxnSp macro="">
      <xdr:nvCxnSpPr>
        <xdr:cNvPr id="25" name="Conector recto 24">
          <a:extLst>
            <a:ext uri="{FF2B5EF4-FFF2-40B4-BE49-F238E27FC236}">
              <a16:creationId xmlns:a16="http://schemas.microsoft.com/office/drawing/2014/main" id="{00000000-0008-0000-0200-000019000000}"/>
            </a:ext>
          </a:extLst>
        </xdr:cNvPr>
        <xdr:cNvCxnSpPr/>
      </xdr:nvCxnSpPr>
      <xdr:spPr>
        <a:xfrm flipV="1">
          <a:off x="16517941" y="10001250"/>
          <a:ext cx="1008059" cy="42069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309562</xdr:colOff>
      <xdr:row>52</xdr:row>
      <xdr:rowOff>134937</xdr:rowOff>
    </xdr:from>
    <xdr:to>
      <xdr:col>13</xdr:col>
      <xdr:colOff>507999</xdr:colOff>
      <xdr:row>53</xdr:row>
      <xdr:rowOff>142874</xdr:rowOff>
    </xdr:to>
    <xdr:sp macro="" textlink="">
      <xdr:nvSpPr>
        <xdr:cNvPr id="27" name="Rectángulo 26">
          <a:extLst>
            <a:ext uri="{FF2B5EF4-FFF2-40B4-BE49-F238E27FC236}">
              <a16:creationId xmlns:a16="http://schemas.microsoft.com/office/drawing/2014/main" id="{00000000-0008-0000-0200-00001B000000}"/>
            </a:ext>
          </a:extLst>
        </xdr:cNvPr>
        <xdr:cNvSpPr/>
      </xdr:nvSpPr>
      <xdr:spPr>
        <a:xfrm>
          <a:off x="13795375" y="10850562"/>
          <a:ext cx="198437" cy="2063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1</a:t>
          </a:r>
        </a:p>
      </xdr:txBody>
    </xdr:sp>
    <xdr:clientData/>
  </xdr:twoCellAnchor>
  <xdr:twoCellAnchor>
    <xdr:from>
      <xdr:col>13</xdr:col>
      <xdr:colOff>541337</xdr:colOff>
      <xdr:row>52</xdr:row>
      <xdr:rowOff>144462</xdr:rowOff>
    </xdr:from>
    <xdr:to>
      <xdr:col>13</xdr:col>
      <xdr:colOff>739774</xdr:colOff>
      <xdr:row>53</xdr:row>
      <xdr:rowOff>152399</xdr:rowOff>
    </xdr:to>
    <xdr:sp macro="" textlink="">
      <xdr:nvSpPr>
        <xdr:cNvPr id="28" name="Rectángulo 27">
          <a:extLst>
            <a:ext uri="{FF2B5EF4-FFF2-40B4-BE49-F238E27FC236}">
              <a16:creationId xmlns:a16="http://schemas.microsoft.com/office/drawing/2014/main" id="{00000000-0008-0000-0200-00001C000000}"/>
            </a:ext>
          </a:extLst>
        </xdr:cNvPr>
        <xdr:cNvSpPr/>
      </xdr:nvSpPr>
      <xdr:spPr>
        <a:xfrm>
          <a:off x="14027150" y="10860087"/>
          <a:ext cx="198437" cy="2063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2</a:t>
          </a:r>
        </a:p>
      </xdr:txBody>
    </xdr:sp>
    <xdr:clientData/>
  </xdr:twoCellAnchor>
  <xdr:twoCellAnchor>
    <xdr:from>
      <xdr:col>13</xdr:col>
      <xdr:colOff>773112</xdr:colOff>
      <xdr:row>52</xdr:row>
      <xdr:rowOff>138112</xdr:rowOff>
    </xdr:from>
    <xdr:to>
      <xdr:col>14</xdr:col>
      <xdr:colOff>146049</xdr:colOff>
      <xdr:row>53</xdr:row>
      <xdr:rowOff>146049</xdr:rowOff>
    </xdr:to>
    <xdr:sp macro="" textlink="">
      <xdr:nvSpPr>
        <xdr:cNvPr id="29" name="Rectángulo 28">
          <a:extLst>
            <a:ext uri="{FF2B5EF4-FFF2-40B4-BE49-F238E27FC236}">
              <a16:creationId xmlns:a16="http://schemas.microsoft.com/office/drawing/2014/main" id="{00000000-0008-0000-0200-00001D000000}"/>
            </a:ext>
          </a:extLst>
        </xdr:cNvPr>
        <xdr:cNvSpPr/>
      </xdr:nvSpPr>
      <xdr:spPr>
        <a:xfrm>
          <a:off x="14258925" y="10853737"/>
          <a:ext cx="198437" cy="2063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3</a:t>
          </a:r>
        </a:p>
      </xdr:txBody>
    </xdr:sp>
    <xdr:clientData/>
  </xdr:twoCellAnchor>
  <xdr:twoCellAnchor>
    <xdr:from>
      <xdr:col>14</xdr:col>
      <xdr:colOff>203199</xdr:colOff>
      <xdr:row>52</xdr:row>
      <xdr:rowOff>155574</xdr:rowOff>
    </xdr:from>
    <xdr:to>
      <xdr:col>14</xdr:col>
      <xdr:colOff>401636</xdr:colOff>
      <xdr:row>53</xdr:row>
      <xdr:rowOff>163511</xdr:rowOff>
    </xdr:to>
    <xdr:sp macro="" textlink="">
      <xdr:nvSpPr>
        <xdr:cNvPr id="30" name="Rectángulo 29">
          <a:extLst>
            <a:ext uri="{FF2B5EF4-FFF2-40B4-BE49-F238E27FC236}">
              <a16:creationId xmlns:a16="http://schemas.microsoft.com/office/drawing/2014/main" id="{00000000-0008-0000-0200-00001E000000}"/>
            </a:ext>
          </a:extLst>
        </xdr:cNvPr>
        <xdr:cNvSpPr/>
      </xdr:nvSpPr>
      <xdr:spPr>
        <a:xfrm>
          <a:off x="14514512" y="10871199"/>
          <a:ext cx="198437" cy="2063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4</a:t>
          </a:r>
        </a:p>
      </xdr:txBody>
    </xdr:sp>
    <xdr:clientData/>
  </xdr:twoCellAnchor>
  <xdr:twoCellAnchor>
    <xdr:from>
      <xdr:col>14</xdr:col>
      <xdr:colOff>482599</xdr:colOff>
      <xdr:row>52</xdr:row>
      <xdr:rowOff>149224</xdr:rowOff>
    </xdr:from>
    <xdr:to>
      <xdr:col>14</xdr:col>
      <xdr:colOff>681036</xdr:colOff>
      <xdr:row>53</xdr:row>
      <xdr:rowOff>157161</xdr:rowOff>
    </xdr:to>
    <xdr:sp macro="" textlink="">
      <xdr:nvSpPr>
        <xdr:cNvPr id="31" name="Rectángulo 30">
          <a:extLst>
            <a:ext uri="{FF2B5EF4-FFF2-40B4-BE49-F238E27FC236}">
              <a16:creationId xmlns:a16="http://schemas.microsoft.com/office/drawing/2014/main" id="{00000000-0008-0000-0200-00001F000000}"/>
            </a:ext>
          </a:extLst>
        </xdr:cNvPr>
        <xdr:cNvSpPr/>
      </xdr:nvSpPr>
      <xdr:spPr>
        <a:xfrm>
          <a:off x="14793912" y="10864849"/>
          <a:ext cx="198437" cy="2063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5</a:t>
          </a:r>
        </a:p>
      </xdr:txBody>
    </xdr:sp>
    <xdr:clientData/>
  </xdr:twoCellAnchor>
  <xdr:twoCellAnchor>
    <xdr:from>
      <xdr:col>15</xdr:col>
      <xdr:colOff>31749</xdr:colOff>
      <xdr:row>52</xdr:row>
      <xdr:rowOff>166686</xdr:rowOff>
    </xdr:from>
    <xdr:to>
      <xdr:col>15</xdr:col>
      <xdr:colOff>230186</xdr:colOff>
      <xdr:row>53</xdr:row>
      <xdr:rowOff>174623</xdr:rowOff>
    </xdr:to>
    <xdr:sp macro="" textlink="">
      <xdr:nvSpPr>
        <xdr:cNvPr id="32" name="Rectángulo 31">
          <a:extLst>
            <a:ext uri="{FF2B5EF4-FFF2-40B4-BE49-F238E27FC236}">
              <a16:creationId xmlns:a16="http://schemas.microsoft.com/office/drawing/2014/main" id="{00000000-0008-0000-0200-000020000000}"/>
            </a:ext>
          </a:extLst>
        </xdr:cNvPr>
        <xdr:cNvSpPr/>
      </xdr:nvSpPr>
      <xdr:spPr>
        <a:xfrm>
          <a:off x="15105062" y="10882311"/>
          <a:ext cx="198437" cy="2063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6</a:t>
          </a:r>
        </a:p>
      </xdr:txBody>
    </xdr:sp>
    <xdr:clientData/>
  </xdr:twoCellAnchor>
  <xdr:twoCellAnchor>
    <xdr:from>
      <xdr:col>15</xdr:col>
      <xdr:colOff>287336</xdr:colOff>
      <xdr:row>52</xdr:row>
      <xdr:rowOff>168274</xdr:rowOff>
    </xdr:from>
    <xdr:to>
      <xdr:col>15</xdr:col>
      <xdr:colOff>485773</xdr:colOff>
      <xdr:row>53</xdr:row>
      <xdr:rowOff>176211</xdr:rowOff>
    </xdr:to>
    <xdr:sp macro="" textlink="">
      <xdr:nvSpPr>
        <xdr:cNvPr id="33" name="Rectángulo 32">
          <a:extLst>
            <a:ext uri="{FF2B5EF4-FFF2-40B4-BE49-F238E27FC236}">
              <a16:creationId xmlns:a16="http://schemas.microsoft.com/office/drawing/2014/main" id="{00000000-0008-0000-0200-000021000000}"/>
            </a:ext>
          </a:extLst>
        </xdr:cNvPr>
        <xdr:cNvSpPr/>
      </xdr:nvSpPr>
      <xdr:spPr>
        <a:xfrm>
          <a:off x="15360649" y="10883899"/>
          <a:ext cx="198437" cy="2063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7</a:t>
          </a:r>
        </a:p>
      </xdr:txBody>
    </xdr:sp>
    <xdr:clientData/>
  </xdr:twoCellAnchor>
  <xdr:twoCellAnchor>
    <xdr:from>
      <xdr:col>15</xdr:col>
      <xdr:colOff>534986</xdr:colOff>
      <xdr:row>52</xdr:row>
      <xdr:rowOff>161924</xdr:rowOff>
    </xdr:from>
    <xdr:to>
      <xdr:col>15</xdr:col>
      <xdr:colOff>733423</xdr:colOff>
      <xdr:row>53</xdr:row>
      <xdr:rowOff>169861</xdr:rowOff>
    </xdr:to>
    <xdr:sp macro="" textlink="">
      <xdr:nvSpPr>
        <xdr:cNvPr id="34" name="Rectángulo 33">
          <a:extLst>
            <a:ext uri="{FF2B5EF4-FFF2-40B4-BE49-F238E27FC236}">
              <a16:creationId xmlns:a16="http://schemas.microsoft.com/office/drawing/2014/main" id="{00000000-0008-0000-0200-000022000000}"/>
            </a:ext>
          </a:extLst>
        </xdr:cNvPr>
        <xdr:cNvSpPr/>
      </xdr:nvSpPr>
      <xdr:spPr>
        <a:xfrm>
          <a:off x="15608299" y="10877549"/>
          <a:ext cx="198437" cy="2063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8</a:t>
          </a:r>
        </a:p>
      </xdr:txBody>
    </xdr:sp>
    <xdr:clientData/>
  </xdr:twoCellAnchor>
  <xdr:twoCellAnchor>
    <xdr:from>
      <xdr:col>16</xdr:col>
      <xdr:colOff>76199</xdr:colOff>
      <xdr:row>52</xdr:row>
      <xdr:rowOff>163511</xdr:rowOff>
    </xdr:from>
    <xdr:to>
      <xdr:col>16</xdr:col>
      <xdr:colOff>274636</xdr:colOff>
      <xdr:row>53</xdr:row>
      <xdr:rowOff>171448</xdr:rowOff>
    </xdr:to>
    <xdr:sp macro="" textlink="">
      <xdr:nvSpPr>
        <xdr:cNvPr id="35" name="Rectángulo 34">
          <a:extLst>
            <a:ext uri="{FF2B5EF4-FFF2-40B4-BE49-F238E27FC236}">
              <a16:creationId xmlns:a16="http://schemas.microsoft.com/office/drawing/2014/main" id="{00000000-0008-0000-0200-000023000000}"/>
            </a:ext>
          </a:extLst>
        </xdr:cNvPr>
        <xdr:cNvSpPr/>
      </xdr:nvSpPr>
      <xdr:spPr>
        <a:xfrm>
          <a:off x="15911512" y="10879136"/>
          <a:ext cx="198437" cy="2063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9</a:t>
          </a:r>
        </a:p>
      </xdr:txBody>
    </xdr:sp>
    <xdr:clientData/>
  </xdr:twoCellAnchor>
  <xdr:twoCellAnchor>
    <xdr:from>
      <xdr:col>16</xdr:col>
      <xdr:colOff>300036</xdr:colOff>
      <xdr:row>52</xdr:row>
      <xdr:rowOff>173036</xdr:rowOff>
    </xdr:from>
    <xdr:to>
      <xdr:col>16</xdr:col>
      <xdr:colOff>635000</xdr:colOff>
      <xdr:row>53</xdr:row>
      <xdr:rowOff>180973</xdr:rowOff>
    </xdr:to>
    <xdr:sp macro="" textlink="">
      <xdr:nvSpPr>
        <xdr:cNvPr id="36" name="Rectángulo 35">
          <a:extLst>
            <a:ext uri="{FF2B5EF4-FFF2-40B4-BE49-F238E27FC236}">
              <a16:creationId xmlns:a16="http://schemas.microsoft.com/office/drawing/2014/main" id="{00000000-0008-0000-0200-000024000000}"/>
            </a:ext>
          </a:extLst>
        </xdr:cNvPr>
        <xdr:cNvSpPr/>
      </xdr:nvSpPr>
      <xdr:spPr>
        <a:xfrm>
          <a:off x="16135349" y="10888661"/>
          <a:ext cx="334964" cy="2063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10</a:t>
          </a:r>
        </a:p>
      </xdr:txBody>
    </xdr:sp>
    <xdr:clientData/>
  </xdr:twoCellAnchor>
  <xdr:twoCellAnchor>
    <xdr:from>
      <xdr:col>16</xdr:col>
      <xdr:colOff>684213</xdr:colOff>
      <xdr:row>50</xdr:row>
      <xdr:rowOff>88900</xdr:rowOff>
    </xdr:from>
    <xdr:to>
      <xdr:col>16</xdr:col>
      <xdr:colOff>690562</xdr:colOff>
      <xdr:row>52</xdr:row>
      <xdr:rowOff>95250</xdr:rowOff>
    </xdr:to>
    <xdr:cxnSp macro="">
      <xdr:nvCxnSpPr>
        <xdr:cNvPr id="40" name="Conector recto 39">
          <a:extLst>
            <a:ext uri="{FF2B5EF4-FFF2-40B4-BE49-F238E27FC236}">
              <a16:creationId xmlns:a16="http://schemas.microsoft.com/office/drawing/2014/main" id="{00000000-0008-0000-0200-000028000000}"/>
            </a:ext>
          </a:extLst>
        </xdr:cNvPr>
        <xdr:cNvCxnSpPr/>
      </xdr:nvCxnSpPr>
      <xdr:spPr>
        <a:xfrm flipH="1" flipV="1">
          <a:off x="16519526" y="10415588"/>
          <a:ext cx="6349" cy="39528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355599</xdr:colOff>
      <xdr:row>49</xdr:row>
      <xdr:rowOff>173036</xdr:rowOff>
    </xdr:from>
    <xdr:to>
      <xdr:col>17</xdr:col>
      <xdr:colOff>611187</xdr:colOff>
      <xdr:row>51</xdr:row>
      <xdr:rowOff>23812</xdr:rowOff>
    </xdr:to>
    <xdr:sp macro="" textlink="">
      <xdr:nvSpPr>
        <xdr:cNvPr id="42" name="Rectángulo 41">
          <a:extLst>
            <a:ext uri="{FF2B5EF4-FFF2-40B4-BE49-F238E27FC236}">
              <a16:creationId xmlns:a16="http://schemas.microsoft.com/office/drawing/2014/main" id="{00000000-0008-0000-0200-00002A000000}"/>
            </a:ext>
          </a:extLst>
        </xdr:cNvPr>
        <xdr:cNvSpPr/>
      </xdr:nvSpPr>
      <xdr:spPr>
        <a:xfrm>
          <a:off x="16952912" y="10301286"/>
          <a:ext cx="255588" cy="23971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g</a:t>
          </a:r>
        </a:p>
      </xdr:txBody>
    </xdr:sp>
    <xdr:clientData/>
  </xdr:twoCellAnchor>
  <xdr:twoCellAnchor>
    <xdr:from>
      <xdr:col>18</xdr:col>
      <xdr:colOff>155573</xdr:colOff>
      <xdr:row>48</xdr:row>
      <xdr:rowOff>63500</xdr:rowOff>
    </xdr:from>
    <xdr:to>
      <xdr:col>18</xdr:col>
      <xdr:colOff>158750</xdr:colOff>
      <xdr:row>52</xdr:row>
      <xdr:rowOff>111125</xdr:rowOff>
    </xdr:to>
    <xdr:cxnSp macro="">
      <xdr:nvCxnSpPr>
        <xdr:cNvPr id="43" name="Conector recto 42">
          <a:extLst>
            <a:ext uri="{FF2B5EF4-FFF2-40B4-BE49-F238E27FC236}">
              <a16:creationId xmlns:a16="http://schemas.microsoft.com/office/drawing/2014/main" id="{00000000-0008-0000-0200-00002B000000}"/>
            </a:ext>
          </a:extLst>
        </xdr:cNvPr>
        <xdr:cNvCxnSpPr/>
      </xdr:nvCxnSpPr>
      <xdr:spPr>
        <a:xfrm flipH="1" flipV="1">
          <a:off x="17514886" y="10001250"/>
          <a:ext cx="3177" cy="825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424655</xdr:colOff>
      <xdr:row>54</xdr:row>
      <xdr:rowOff>19843</xdr:rowOff>
    </xdr:from>
    <xdr:to>
      <xdr:col>14</xdr:col>
      <xdr:colOff>607218</xdr:colOff>
      <xdr:row>56</xdr:row>
      <xdr:rowOff>99218</xdr:rowOff>
    </xdr:to>
    <xdr:sp macro="" textlink="">
      <xdr:nvSpPr>
        <xdr:cNvPr id="46" name="Abrir llave 45">
          <a:extLst>
            <a:ext uri="{FF2B5EF4-FFF2-40B4-BE49-F238E27FC236}">
              <a16:creationId xmlns:a16="http://schemas.microsoft.com/office/drawing/2014/main" id="{00000000-0008-0000-0200-00002E000000}"/>
            </a:ext>
          </a:extLst>
        </xdr:cNvPr>
        <xdr:cNvSpPr/>
      </xdr:nvSpPr>
      <xdr:spPr>
        <a:xfrm rot="16200000">
          <a:off x="14184312" y="10850562"/>
          <a:ext cx="460375" cy="1008063"/>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15</xdr:col>
      <xdr:colOff>164305</xdr:colOff>
      <xdr:row>54</xdr:row>
      <xdr:rowOff>37305</xdr:rowOff>
    </xdr:from>
    <xdr:to>
      <xdr:col>16</xdr:col>
      <xdr:colOff>492125</xdr:colOff>
      <xdr:row>56</xdr:row>
      <xdr:rowOff>116680</xdr:rowOff>
    </xdr:to>
    <xdr:sp macro="" textlink="">
      <xdr:nvSpPr>
        <xdr:cNvPr id="47" name="Abrir llave 46">
          <a:extLst>
            <a:ext uri="{FF2B5EF4-FFF2-40B4-BE49-F238E27FC236}">
              <a16:creationId xmlns:a16="http://schemas.microsoft.com/office/drawing/2014/main" id="{00000000-0008-0000-0200-00002F000000}"/>
            </a:ext>
          </a:extLst>
        </xdr:cNvPr>
        <xdr:cNvSpPr/>
      </xdr:nvSpPr>
      <xdr:spPr>
        <a:xfrm rot="16200000">
          <a:off x="15552340" y="10827146"/>
          <a:ext cx="460375" cy="108982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16</xdr:col>
      <xdr:colOff>673893</xdr:colOff>
      <xdr:row>54</xdr:row>
      <xdr:rowOff>23018</xdr:rowOff>
    </xdr:from>
    <xdr:to>
      <xdr:col>18</xdr:col>
      <xdr:colOff>157956</xdr:colOff>
      <xdr:row>56</xdr:row>
      <xdr:rowOff>102393</xdr:rowOff>
    </xdr:to>
    <xdr:sp macro="" textlink="">
      <xdr:nvSpPr>
        <xdr:cNvPr id="48" name="Abrir llave 47">
          <a:extLst>
            <a:ext uri="{FF2B5EF4-FFF2-40B4-BE49-F238E27FC236}">
              <a16:creationId xmlns:a16="http://schemas.microsoft.com/office/drawing/2014/main" id="{00000000-0008-0000-0200-000030000000}"/>
            </a:ext>
          </a:extLst>
        </xdr:cNvPr>
        <xdr:cNvSpPr/>
      </xdr:nvSpPr>
      <xdr:spPr>
        <a:xfrm rot="16200000">
          <a:off x="16783050" y="10853737"/>
          <a:ext cx="460375" cy="1008063"/>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16</xdr:col>
      <xdr:colOff>596900</xdr:colOff>
      <xdr:row>47</xdr:row>
      <xdr:rowOff>152400</xdr:rowOff>
    </xdr:from>
    <xdr:to>
      <xdr:col>16</xdr:col>
      <xdr:colOff>600076</xdr:colOff>
      <xdr:row>50</xdr:row>
      <xdr:rowOff>4764</xdr:rowOff>
    </xdr:to>
    <xdr:cxnSp macro="">
      <xdr:nvCxnSpPr>
        <xdr:cNvPr id="49" name="Conector recto 48">
          <a:extLst>
            <a:ext uri="{FF2B5EF4-FFF2-40B4-BE49-F238E27FC236}">
              <a16:creationId xmlns:a16="http://schemas.microsoft.com/office/drawing/2014/main" id="{00000000-0008-0000-0200-000031000000}"/>
            </a:ext>
          </a:extLst>
        </xdr:cNvPr>
        <xdr:cNvCxnSpPr/>
      </xdr:nvCxnSpPr>
      <xdr:spPr>
        <a:xfrm flipH="1" flipV="1">
          <a:off x="16432213" y="9899650"/>
          <a:ext cx="3176" cy="43180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458789</xdr:colOff>
      <xdr:row>50</xdr:row>
      <xdr:rowOff>6351</xdr:rowOff>
    </xdr:from>
    <xdr:to>
      <xdr:col>16</xdr:col>
      <xdr:colOff>603250</xdr:colOff>
      <xdr:row>50</xdr:row>
      <xdr:rowOff>7937</xdr:rowOff>
    </xdr:to>
    <xdr:cxnSp macro="">
      <xdr:nvCxnSpPr>
        <xdr:cNvPr id="50" name="Conector recto 49">
          <a:extLst>
            <a:ext uri="{FF2B5EF4-FFF2-40B4-BE49-F238E27FC236}">
              <a16:creationId xmlns:a16="http://schemas.microsoft.com/office/drawing/2014/main" id="{00000000-0008-0000-0200-000032000000}"/>
            </a:ext>
          </a:extLst>
        </xdr:cNvPr>
        <xdr:cNvCxnSpPr/>
      </xdr:nvCxnSpPr>
      <xdr:spPr>
        <a:xfrm>
          <a:off x="16294102" y="10333039"/>
          <a:ext cx="144461" cy="158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655925</xdr:colOff>
      <xdr:row>47</xdr:row>
      <xdr:rowOff>39687</xdr:rowOff>
    </xdr:from>
    <xdr:to>
      <xdr:col>18</xdr:col>
      <xdr:colOff>571500</xdr:colOff>
      <xdr:row>48</xdr:row>
      <xdr:rowOff>77931</xdr:rowOff>
    </xdr:to>
    <xdr:sp macro="" textlink="">
      <xdr:nvSpPr>
        <xdr:cNvPr id="53" name="Rectángulo 52">
          <a:extLst>
            <a:ext uri="{FF2B5EF4-FFF2-40B4-BE49-F238E27FC236}">
              <a16:creationId xmlns:a16="http://schemas.microsoft.com/office/drawing/2014/main" id="{00000000-0008-0000-0200-000035000000}"/>
            </a:ext>
          </a:extLst>
        </xdr:cNvPr>
        <xdr:cNvSpPr/>
      </xdr:nvSpPr>
      <xdr:spPr>
        <a:xfrm>
          <a:off x="17012948" y="9807142"/>
          <a:ext cx="1439575" cy="22874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Valor</a:t>
          </a:r>
          <a:r>
            <a:rPr lang="es-CO" sz="1100" baseline="0"/>
            <a:t> de continuidad</a:t>
          </a:r>
          <a:endParaRPr lang="es-CO" sz="1100"/>
        </a:p>
      </xdr:txBody>
    </xdr:sp>
    <xdr:clientData/>
  </xdr:twoCellAnchor>
  <xdr:twoCellAnchor>
    <xdr:from>
      <xdr:col>16</xdr:col>
      <xdr:colOff>739774</xdr:colOff>
      <xdr:row>53</xdr:row>
      <xdr:rowOff>160336</xdr:rowOff>
    </xdr:from>
    <xdr:to>
      <xdr:col>18</xdr:col>
      <xdr:colOff>127000</xdr:colOff>
      <xdr:row>55</xdr:row>
      <xdr:rowOff>19050</xdr:rowOff>
    </xdr:to>
    <xdr:sp macro="" textlink="">
      <xdr:nvSpPr>
        <xdr:cNvPr id="54" name="Rectángulo 53">
          <a:extLst>
            <a:ext uri="{FF2B5EF4-FFF2-40B4-BE49-F238E27FC236}">
              <a16:creationId xmlns:a16="http://schemas.microsoft.com/office/drawing/2014/main" id="{00000000-0008-0000-0200-000036000000}"/>
            </a:ext>
          </a:extLst>
        </xdr:cNvPr>
        <xdr:cNvSpPr/>
      </xdr:nvSpPr>
      <xdr:spPr>
        <a:xfrm>
          <a:off x="16575087" y="11074399"/>
          <a:ext cx="911226" cy="23971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Perpetuidad</a:t>
          </a:r>
        </a:p>
      </xdr:txBody>
    </xdr:sp>
    <xdr:clientData/>
  </xdr:twoCellAnchor>
  <xdr:twoCellAnchor>
    <xdr:from>
      <xdr:col>15</xdr:col>
      <xdr:colOff>249237</xdr:colOff>
      <xdr:row>53</xdr:row>
      <xdr:rowOff>177798</xdr:rowOff>
    </xdr:from>
    <xdr:to>
      <xdr:col>16</xdr:col>
      <xdr:colOff>398463</xdr:colOff>
      <xdr:row>55</xdr:row>
      <xdr:rowOff>36512</xdr:rowOff>
    </xdr:to>
    <xdr:sp macro="" textlink="">
      <xdr:nvSpPr>
        <xdr:cNvPr id="55" name="Rectángulo 54">
          <a:extLst>
            <a:ext uri="{FF2B5EF4-FFF2-40B4-BE49-F238E27FC236}">
              <a16:creationId xmlns:a16="http://schemas.microsoft.com/office/drawing/2014/main" id="{00000000-0008-0000-0200-000037000000}"/>
            </a:ext>
          </a:extLst>
        </xdr:cNvPr>
        <xdr:cNvSpPr/>
      </xdr:nvSpPr>
      <xdr:spPr>
        <a:xfrm>
          <a:off x="15322550" y="11091861"/>
          <a:ext cx="911226" cy="23971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Proyectado</a:t>
          </a:r>
        </a:p>
      </xdr:txBody>
    </xdr:sp>
    <xdr:clientData/>
  </xdr:twoCellAnchor>
  <xdr:twoCellAnchor>
    <xdr:from>
      <xdr:col>13</xdr:col>
      <xdr:colOff>592136</xdr:colOff>
      <xdr:row>53</xdr:row>
      <xdr:rowOff>179385</xdr:rowOff>
    </xdr:from>
    <xdr:to>
      <xdr:col>14</xdr:col>
      <xdr:colOff>492124</xdr:colOff>
      <xdr:row>55</xdr:row>
      <xdr:rowOff>38099</xdr:rowOff>
    </xdr:to>
    <xdr:sp macro="" textlink="">
      <xdr:nvSpPr>
        <xdr:cNvPr id="56" name="Rectángulo 55">
          <a:extLst>
            <a:ext uri="{FF2B5EF4-FFF2-40B4-BE49-F238E27FC236}">
              <a16:creationId xmlns:a16="http://schemas.microsoft.com/office/drawing/2014/main" id="{00000000-0008-0000-0200-000038000000}"/>
            </a:ext>
          </a:extLst>
        </xdr:cNvPr>
        <xdr:cNvSpPr/>
      </xdr:nvSpPr>
      <xdr:spPr>
        <a:xfrm>
          <a:off x="14077949" y="11093448"/>
          <a:ext cx="725488" cy="23971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Histórico</a:t>
          </a:r>
        </a:p>
      </xdr:txBody>
    </xdr:sp>
    <xdr:clientData/>
  </xdr:twoCellAnchor>
  <xdr:twoCellAnchor>
    <xdr:from>
      <xdr:col>18</xdr:col>
      <xdr:colOff>192086</xdr:colOff>
      <xdr:row>49</xdr:row>
      <xdr:rowOff>17460</xdr:rowOff>
    </xdr:from>
    <xdr:to>
      <xdr:col>19</xdr:col>
      <xdr:colOff>357187</xdr:colOff>
      <xdr:row>51</xdr:row>
      <xdr:rowOff>79374</xdr:rowOff>
    </xdr:to>
    <xdr:sp macro="" textlink="">
      <xdr:nvSpPr>
        <xdr:cNvPr id="58" name="Rectángulo 57">
          <a:extLst>
            <a:ext uri="{FF2B5EF4-FFF2-40B4-BE49-F238E27FC236}">
              <a16:creationId xmlns:a16="http://schemas.microsoft.com/office/drawing/2014/main" id="{00000000-0008-0000-0200-00003A000000}"/>
            </a:ext>
          </a:extLst>
        </xdr:cNvPr>
        <xdr:cNvSpPr/>
      </xdr:nvSpPr>
      <xdr:spPr>
        <a:xfrm>
          <a:off x="17551399" y="10145710"/>
          <a:ext cx="927101" cy="45085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Crecimiento Constante</a:t>
          </a:r>
        </a:p>
      </xdr:txBody>
    </xdr:sp>
    <xdr:clientData/>
  </xdr:twoCellAnchor>
  <xdr:twoCellAnchor>
    <xdr:from>
      <xdr:col>13</xdr:col>
      <xdr:colOff>206375</xdr:colOff>
      <xdr:row>64</xdr:row>
      <xdr:rowOff>103188</xdr:rowOff>
    </xdr:from>
    <xdr:to>
      <xdr:col>18</xdr:col>
      <xdr:colOff>190500</xdr:colOff>
      <xdr:row>64</xdr:row>
      <xdr:rowOff>111126</xdr:rowOff>
    </xdr:to>
    <xdr:cxnSp macro="">
      <xdr:nvCxnSpPr>
        <xdr:cNvPr id="37" name="Conector recto 36">
          <a:extLst>
            <a:ext uri="{FF2B5EF4-FFF2-40B4-BE49-F238E27FC236}">
              <a16:creationId xmlns:a16="http://schemas.microsoft.com/office/drawing/2014/main" id="{00000000-0008-0000-0200-000025000000}"/>
            </a:ext>
          </a:extLst>
        </xdr:cNvPr>
        <xdr:cNvCxnSpPr/>
      </xdr:nvCxnSpPr>
      <xdr:spPr>
        <a:xfrm flipV="1">
          <a:off x="14034943" y="10814483"/>
          <a:ext cx="4036580" cy="79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428625</xdr:colOff>
      <xdr:row>62</xdr:row>
      <xdr:rowOff>71437</xdr:rowOff>
    </xdr:from>
    <xdr:to>
      <xdr:col>13</xdr:col>
      <xdr:colOff>428625</xdr:colOff>
      <xdr:row>64</xdr:row>
      <xdr:rowOff>111126</xdr:rowOff>
    </xdr:to>
    <xdr:cxnSp macro="">
      <xdr:nvCxnSpPr>
        <xdr:cNvPr id="38" name="Conector recto 37">
          <a:extLst>
            <a:ext uri="{FF2B5EF4-FFF2-40B4-BE49-F238E27FC236}">
              <a16:creationId xmlns:a16="http://schemas.microsoft.com/office/drawing/2014/main" id="{00000000-0008-0000-0200-000026000000}"/>
            </a:ext>
          </a:extLst>
        </xdr:cNvPr>
        <xdr:cNvCxnSpPr/>
      </xdr:nvCxnSpPr>
      <xdr:spPr>
        <a:xfrm flipV="1">
          <a:off x="14257193" y="10393073"/>
          <a:ext cx="0" cy="42934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642937</xdr:colOff>
      <xdr:row>61</xdr:row>
      <xdr:rowOff>134938</xdr:rowOff>
    </xdr:from>
    <xdr:to>
      <xdr:col>13</xdr:col>
      <xdr:colOff>652463</xdr:colOff>
      <xdr:row>64</xdr:row>
      <xdr:rowOff>112714</xdr:rowOff>
    </xdr:to>
    <xdr:cxnSp macro="">
      <xdr:nvCxnSpPr>
        <xdr:cNvPr id="39" name="Conector recto 38">
          <a:extLst>
            <a:ext uri="{FF2B5EF4-FFF2-40B4-BE49-F238E27FC236}">
              <a16:creationId xmlns:a16="http://schemas.microsoft.com/office/drawing/2014/main" id="{00000000-0008-0000-0200-000027000000}"/>
            </a:ext>
          </a:extLst>
        </xdr:cNvPr>
        <xdr:cNvCxnSpPr/>
      </xdr:nvCxnSpPr>
      <xdr:spPr>
        <a:xfrm flipH="1" flipV="1">
          <a:off x="14471505" y="10257415"/>
          <a:ext cx="9526" cy="5665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63500</xdr:colOff>
      <xdr:row>62</xdr:row>
      <xdr:rowOff>79375</xdr:rowOff>
    </xdr:from>
    <xdr:to>
      <xdr:col>14</xdr:col>
      <xdr:colOff>66676</xdr:colOff>
      <xdr:row>64</xdr:row>
      <xdr:rowOff>122240</xdr:rowOff>
    </xdr:to>
    <xdr:cxnSp macro="">
      <xdr:nvCxnSpPr>
        <xdr:cNvPr id="41" name="Conector recto 40">
          <a:extLst>
            <a:ext uri="{FF2B5EF4-FFF2-40B4-BE49-F238E27FC236}">
              <a16:creationId xmlns:a16="http://schemas.microsoft.com/office/drawing/2014/main" id="{00000000-0008-0000-0200-000029000000}"/>
            </a:ext>
          </a:extLst>
        </xdr:cNvPr>
        <xdr:cNvCxnSpPr/>
      </xdr:nvCxnSpPr>
      <xdr:spPr>
        <a:xfrm flipH="1" flipV="1">
          <a:off x="14723341" y="10401011"/>
          <a:ext cx="3176" cy="432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322263</xdr:colOff>
      <xdr:row>61</xdr:row>
      <xdr:rowOff>7938</xdr:rowOff>
    </xdr:from>
    <xdr:to>
      <xdr:col>14</xdr:col>
      <xdr:colOff>325437</xdr:colOff>
      <xdr:row>64</xdr:row>
      <xdr:rowOff>115890</xdr:rowOff>
    </xdr:to>
    <xdr:cxnSp macro="">
      <xdr:nvCxnSpPr>
        <xdr:cNvPr id="44" name="Conector recto 43">
          <a:extLst>
            <a:ext uri="{FF2B5EF4-FFF2-40B4-BE49-F238E27FC236}">
              <a16:creationId xmlns:a16="http://schemas.microsoft.com/office/drawing/2014/main" id="{00000000-0008-0000-0200-00002C000000}"/>
            </a:ext>
          </a:extLst>
        </xdr:cNvPr>
        <xdr:cNvCxnSpPr/>
      </xdr:nvCxnSpPr>
      <xdr:spPr>
        <a:xfrm flipV="1">
          <a:off x="14982104" y="10130415"/>
          <a:ext cx="3174" cy="6967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601663</xdr:colOff>
      <xdr:row>61</xdr:row>
      <xdr:rowOff>119063</xdr:rowOff>
    </xdr:from>
    <xdr:to>
      <xdr:col>14</xdr:col>
      <xdr:colOff>603250</xdr:colOff>
      <xdr:row>64</xdr:row>
      <xdr:rowOff>117478</xdr:rowOff>
    </xdr:to>
    <xdr:cxnSp macro="">
      <xdr:nvCxnSpPr>
        <xdr:cNvPr id="45" name="Conector recto 44">
          <a:extLst>
            <a:ext uri="{FF2B5EF4-FFF2-40B4-BE49-F238E27FC236}">
              <a16:creationId xmlns:a16="http://schemas.microsoft.com/office/drawing/2014/main" id="{00000000-0008-0000-0200-00002D000000}"/>
            </a:ext>
          </a:extLst>
        </xdr:cNvPr>
        <xdr:cNvCxnSpPr/>
      </xdr:nvCxnSpPr>
      <xdr:spPr>
        <a:xfrm flipV="1">
          <a:off x="15261504" y="10241540"/>
          <a:ext cx="1587" cy="58723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150813</xdr:colOff>
      <xdr:row>61</xdr:row>
      <xdr:rowOff>112713</xdr:rowOff>
    </xdr:from>
    <xdr:to>
      <xdr:col>15</xdr:col>
      <xdr:colOff>152400</xdr:colOff>
      <xdr:row>64</xdr:row>
      <xdr:rowOff>111128</xdr:rowOff>
    </xdr:to>
    <xdr:cxnSp macro="">
      <xdr:nvCxnSpPr>
        <xdr:cNvPr id="51" name="Conector recto 50">
          <a:extLst>
            <a:ext uri="{FF2B5EF4-FFF2-40B4-BE49-F238E27FC236}">
              <a16:creationId xmlns:a16="http://schemas.microsoft.com/office/drawing/2014/main" id="{00000000-0008-0000-0200-000033000000}"/>
            </a:ext>
          </a:extLst>
        </xdr:cNvPr>
        <xdr:cNvCxnSpPr/>
      </xdr:nvCxnSpPr>
      <xdr:spPr>
        <a:xfrm flipV="1">
          <a:off x="15572654" y="10235190"/>
          <a:ext cx="1587" cy="58723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404812</xdr:colOff>
      <xdr:row>61</xdr:row>
      <xdr:rowOff>39688</xdr:rowOff>
    </xdr:from>
    <xdr:to>
      <xdr:col>15</xdr:col>
      <xdr:colOff>406401</xdr:colOff>
      <xdr:row>64</xdr:row>
      <xdr:rowOff>112716</xdr:rowOff>
    </xdr:to>
    <xdr:cxnSp macro="">
      <xdr:nvCxnSpPr>
        <xdr:cNvPr id="52" name="Conector recto 51">
          <a:extLst>
            <a:ext uri="{FF2B5EF4-FFF2-40B4-BE49-F238E27FC236}">
              <a16:creationId xmlns:a16="http://schemas.microsoft.com/office/drawing/2014/main" id="{00000000-0008-0000-0200-000034000000}"/>
            </a:ext>
          </a:extLst>
        </xdr:cNvPr>
        <xdr:cNvCxnSpPr/>
      </xdr:nvCxnSpPr>
      <xdr:spPr>
        <a:xfrm flipH="1" flipV="1">
          <a:off x="15826653" y="10162165"/>
          <a:ext cx="1589" cy="66184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677865</xdr:colOff>
      <xdr:row>60</xdr:row>
      <xdr:rowOff>127000</xdr:rowOff>
    </xdr:from>
    <xdr:to>
      <xdr:col>15</xdr:col>
      <xdr:colOff>682625</xdr:colOff>
      <xdr:row>64</xdr:row>
      <xdr:rowOff>114305</xdr:rowOff>
    </xdr:to>
    <xdr:cxnSp macro="">
      <xdr:nvCxnSpPr>
        <xdr:cNvPr id="57" name="Conector recto 56">
          <a:extLst>
            <a:ext uri="{FF2B5EF4-FFF2-40B4-BE49-F238E27FC236}">
              <a16:creationId xmlns:a16="http://schemas.microsoft.com/office/drawing/2014/main" id="{00000000-0008-0000-0200-000039000000}"/>
            </a:ext>
          </a:extLst>
        </xdr:cNvPr>
        <xdr:cNvCxnSpPr/>
      </xdr:nvCxnSpPr>
      <xdr:spPr>
        <a:xfrm flipV="1">
          <a:off x="16099706" y="10058977"/>
          <a:ext cx="4760" cy="76662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195265</xdr:colOff>
      <xdr:row>60</xdr:row>
      <xdr:rowOff>47625</xdr:rowOff>
    </xdr:from>
    <xdr:to>
      <xdr:col>16</xdr:col>
      <xdr:colOff>198437</xdr:colOff>
      <xdr:row>64</xdr:row>
      <xdr:rowOff>100018</xdr:rowOff>
    </xdr:to>
    <xdr:cxnSp macro="">
      <xdr:nvCxnSpPr>
        <xdr:cNvPr id="59" name="Conector recto 58">
          <a:extLst>
            <a:ext uri="{FF2B5EF4-FFF2-40B4-BE49-F238E27FC236}">
              <a16:creationId xmlns:a16="http://schemas.microsoft.com/office/drawing/2014/main" id="{00000000-0008-0000-0200-00003B000000}"/>
            </a:ext>
          </a:extLst>
        </xdr:cNvPr>
        <xdr:cNvCxnSpPr/>
      </xdr:nvCxnSpPr>
      <xdr:spPr>
        <a:xfrm flipV="1">
          <a:off x="16552288" y="9979602"/>
          <a:ext cx="3172" cy="83171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450853</xdr:colOff>
      <xdr:row>59</xdr:row>
      <xdr:rowOff>150813</xdr:rowOff>
    </xdr:from>
    <xdr:to>
      <xdr:col>16</xdr:col>
      <xdr:colOff>452437</xdr:colOff>
      <xdr:row>64</xdr:row>
      <xdr:rowOff>109543</xdr:rowOff>
    </xdr:to>
    <xdr:cxnSp macro="">
      <xdr:nvCxnSpPr>
        <xdr:cNvPr id="60" name="Conector recto 59">
          <a:extLst>
            <a:ext uri="{FF2B5EF4-FFF2-40B4-BE49-F238E27FC236}">
              <a16:creationId xmlns:a16="http://schemas.microsoft.com/office/drawing/2014/main" id="{00000000-0008-0000-0200-00003C000000}"/>
            </a:ext>
          </a:extLst>
        </xdr:cNvPr>
        <xdr:cNvCxnSpPr/>
      </xdr:nvCxnSpPr>
      <xdr:spPr>
        <a:xfrm flipV="1">
          <a:off x="16807876" y="9892290"/>
          <a:ext cx="1584" cy="92854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656651</xdr:colOff>
      <xdr:row>62</xdr:row>
      <xdr:rowOff>112568</xdr:rowOff>
    </xdr:from>
    <xdr:to>
      <xdr:col>18</xdr:col>
      <xdr:colOff>129886</xdr:colOff>
      <xdr:row>62</xdr:row>
      <xdr:rowOff>112580</xdr:rowOff>
    </xdr:to>
    <xdr:cxnSp macro="">
      <xdr:nvCxnSpPr>
        <xdr:cNvPr id="61" name="Conector recto 60">
          <a:extLst>
            <a:ext uri="{FF2B5EF4-FFF2-40B4-BE49-F238E27FC236}">
              <a16:creationId xmlns:a16="http://schemas.microsoft.com/office/drawing/2014/main" id="{00000000-0008-0000-0200-00003D000000}"/>
            </a:ext>
          </a:extLst>
        </xdr:cNvPr>
        <xdr:cNvCxnSpPr/>
      </xdr:nvCxnSpPr>
      <xdr:spPr>
        <a:xfrm flipV="1">
          <a:off x="17013674" y="12850091"/>
          <a:ext cx="997235" cy="1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309562</xdr:colOff>
      <xdr:row>64</xdr:row>
      <xdr:rowOff>134937</xdr:rowOff>
    </xdr:from>
    <xdr:to>
      <xdr:col>13</xdr:col>
      <xdr:colOff>507999</xdr:colOff>
      <xdr:row>65</xdr:row>
      <xdr:rowOff>142874</xdr:rowOff>
    </xdr:to>
    <xdr:sp macro="" textlink="">
      <xdr:nvSpPr>
        <xdr:cNvPr id="62" name="Rectángulo 61">
          <a:extLst>
            <a:ext uri="{FF2B5EF4-FFF2-40B4-BE49-F238E27FC236}">
              <a16:creationId xmlns:a16="http://schemas.microsoft.com/office/drawing/2014/main" id="{00000000-0008-0000-0200-00003E000000}"/>
            </a:ext>
          </a:extLst>
        </xdr:cNvPr>
        <xdr:cNvSpPr/>
      </xdr:nvSpPr>
      <xdr:spPr>
        <a:xfrm>
          <a:off x="14138130" y="10846232"/>
          <a:ext cx="198437" cy="20709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1</a:t>
          </a:r>
        </a:p>
      </xdr:txBody>
    </xdr:sp>
    <xdr:clientData/>
  </xdr:twoCellAnchor>
  <xdr:twoCellAnchor>
    <xdr:from>
      <xdr:col>13</xdr:col>
      <xdr:colOff>541337</xdr:colOff>
      <xdr:row>64</xdr:row>
      <xdr:rowOff>144462</xdr:rowOff>
    </xdr:from>
    <xdr:to>
      <xdr:col>13</xdr:col>
      <xdr:colOff>739774</xdr:colOff>
      <xdr:row>65</xdr:row>
      <xdr:rowOff>152399</xdr:rowOff>
    </xdr:to>
    <xdr:sp macro="" textlink="">
      <xdr:nvSpPr>
        <xdr:cNvPr id="63" name="Rectángulo 62">
          <a:extLst>
            <a:ext uri="{FF2B5EF4-FFF2-40B4-BE49-F238E27FC236}">
              <a16:creationId xmlns:a16="http://schemas.microsoft.com/office/drawing/2014/main" id="{00000000-0008-0000-0200-00003F000000}"/>
            </a:ext>
          </a:extLst>
        </xdr:cNvPr>
        <xdr:cNvSpPr/>
      </xdr:nvSpPr>
      <xdr:spPr>
        <a:xfrm>
          <a:off x="14369905" y="10855757"/>
          <a:ext cx="198437" cy="20709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2</a:t>
          </a:r>
        </a:p>
      </xdr:txBody>
    </xdr:sp>
    <xdr:clientData/>
  </xdr:twoCellAnchor>
  <xdr:twoCellAnchor>
    <xdr:from>
      <xdr:col>13</xdr:col>
      <xdr:colOff>773112</xdr:colOff>
      <xdr:row>64</xdr:row>
      <xdr:rowOff>138112</xdr:rowOff>
    </xdr:from>
    <xdr:to>
      <xdr:col>14</xdr:col>
      <xdr:colOff>146049</xdr:colOff>
      <xdr:row>65</xdr:row>
      <xdr:rowOff>146049</xdr:rowOff>
    </xdr:to>
    <xdr:sp macro="" textlink="">
      <xdr:nvSpPr>
        <xdr:cNvPr id="64" name="Rectángulo 63">
          <a:extLst>
            <a:ext uri="{FF2B5EF4-FFF2-40B4-BE49-F238E27FC236}">
              <a16:creationId xmlns:a16="http://schemas.microsoft.com/office/drawing/2014/main" id="{00000000-0008-0000-0200-000040000000}"/>
            </a:ext>
          </a:extLst>
        </xdr:cNvPr>
        <xdr:cNvSpPr/>
      </xdr:nvSpPr>
      <xdr:spPr>
        <a:xfrm>
          <a:off x="14601680" y="10849407"/>
          <a:ext cx="204210" cy="20709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3</a:t>
          </a:r>
        </a:p>
      </xdr:txBody>
    </xdr:sp>
    <xdr:clientData/>
  </xdr:twoCellAnchor>
  <xdr:twoCellAnchor>
    <xdr:from>
      <xdr:col>14</xdr:col>
      <xdr:colOff>203199</xdr:colOff>
      <xdr:row>64</xdr:row>
      <xdr:rowOff>155574</xdr:rowOff>
    </xdr:from>
    <xdr:to>
      <xdr:col>14</xdr:col>
      <xdr:colOff>401636</xdr:colOff>
      <xdr:row>65</xdr:row>
      <xdr:rowOff>163511</xdr:rowOff>
    </xdr:to>
    <xdr:sp macro="" textlink="">
      <xdr:nvSpPr>
        <xdr:cNvPr id="65" name="Rectángulo 64">
          <a:extLst>
            <a:ext uri="{FF2B5EF4-FFF2-40B4-BE49-F238E27FC236}">
              <a16:creationId xmlns:a16="http://schemas.microsoft.com/office/drawing/2014/main" id="{00000000-0008-0000-0200-000041000000}"/>
            </a:ext>
          </a:extLst>
        </xdr:cNvPr>
        <xdr:cNvSpPr/>
      </xdr:nvSpPr>
      <xdr:spPr>
        <a:xfrm>
          <a:off x="14863040" y="10866869"/>
          <a:ext cx="198437" cy="20709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4</a:t>
          </a:r>
        </a:p>
      </xdr:txBody>
    </xdr:sp>
    <xdr:clientData/>
  </xdr:twoCellAnchor>
  <xdr:twoCellAnchor>
    <xdr:from>
      <xdr:col>14</xdr:col>
      <xdr:colOff>482599</xdr:colOff>
      <xdr:row>64</xdr:row>
      <xdr:rowOff>149224</xdr:rowOff>
    </xdr:from>
    <xdr:to>
      <xdr:col>14</xdr:col>
      <xdr:colOff>681036</xdr:colOff>
      <xdr:row>65</xdr:row>
      <xdr:rowOff>157161</xdr:rowOff>
    </xdr:to>
    <xdr:sp macro="" textlink="">
      <xdr:nvSpPr>
        <xdr:cNvPr id="66" name="Rectángulo 65">
          <a:extLst>
            <a:ext uri="{FF2B5EF4-FFF2-40B4-BE49-F238E27FC236}">
              <a16:creationId xmlns:a16="http://schemas.microsoft.com/office/drawing/2014/main" id="{00000000-0008-0000-0200-000042000000}"/>
            </a:ext>
          </a:extLst>
        </xdr:cNvPr>
        <xdr:cNvSpPr/>
      </xdr:nvSpPr>
      <xdr:spPr>
        <a:xfrm>
          <a:off x="15142440" y="10860519"/>
          <a:ext cx="198437" cy="20709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5</a:t>
          </a:r>
        </a:p>
      </xdr:txBody>
    </xdr:sp>
    <xdr:clientData/>
  </xdr:twoCellAnchor>
  <xdr:twoCellAnchor>
    <xdr:from>
      <xdr:col>15</xdr:col>
      <xdr:colOff>31749</xdr:colOff>
      <xdr:row>64</xdr:row>
      <xdr:rowOff>166686</xdr:rowOff>
    </xdr:from>
    <xdr:to>
      <xdr:col>15</xdr:col>
      <xdr:colOff>230186</xdr:colOff>
      <xdr:row>65</xdr:row>
      <xdr:rowOff>174623</xdr:rowOff>
    </xdr:to>
    <xdr:sp macro="" textlink="">
      <xdr:nvSpPr>
        <xdr:cNvPr id="67" name="Rectángulo 66">
          <a:extLst>
            <a:ext uri="{FF2B5EF4-FFF2-40B4-BE49-F238E27FC236}">
              <a16:creationId xmlns:a16="http://schemas.microsoft.com/office/drawing/2014/main" id="{00000000-0008-0000-0200-000043000000}"/>
            </a:ext>
          </a:extLst>
        </xdr:cNvPr>
        <xdr:cNvSpPr/>
      </xdr:nvSpPr>
      <xdr:spPr>
        <a:xfrm>
          <a:off x="15453590" y="10877981"/>
          <a:ext cx="198437" cy="20709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6</a:t>
          </a:r>
        </a:p>
      </xdr:txBody>
    </xdr:sp>
    <xdr:clientData/>
  </xdr:twoCellAnchor>
  <xdr:twoCellAnchor>
    <xdr:from>
      <xdr:col>15</xdr:col>
      <xdr:colOff>287336</xdr:colOff>
      <xdr:row>64</xdr:row>
      <xdr:rowOff>168274</xdr:rowOff>
    </xdr:from>
    <xdr:to>
      <xdr:col>15</xdr:col>
      <xdr:colOff>485773</xdr:colOff>
      <xdr:row>65</xdr:row>
      <xdr:rowOff>176211</xdr:rowOff>
    </xdr:to>
    <xdr:sp macro="" textlink="">
      <xdr:nvSpPr>
        <xdr:cNvPr id="68" name="Rectángulo 67">
          <a:extLst>
            <a:ext uri="{FF2B5EF4-FFF2-40B4-BE49-F238E27FC236}">
              <a16:creationId xmlns:a16="http://schemas.microsoft.com/office/drawing/2014/main" id="{00000000-0008-0000-0200-000044000000}"/>
            </a:ext>
          </a:extLst>
        </xdr:cNvPr>
        <xdr:cNvSpPr/>
      </xdr:nvSpPr>
      <xdr:spPr>
        <a:xfrm>
          <a:off x="15709177" y="10879569"/>
          <a:ext cx="198437" cy="20709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7</a:t>
          </a:r>
        </a:p>
      </xdr:txBody>
    </xdr:sp>
    <xdr:clientData/>
  </xdr:twoCellAnchor>
  <xdr:twoCellAnchor>
    <xdr:from>
      <xdr:col>15</xdr:col>
      <xdr:colOff>534986</xdr:colOff>
      <xdr:row>64</xdr:row>
      <xdr:rowOff>161924</xdr:rowOff>
    </xdr:from>
    <xdr:to>
      <xdr:col>15</xdr:col>
      <xdr:colOff>733423</xdr:colOff>
      <xdr:row>65</xdr:row>
      <xdr:rowOff>169861</xdr:rowOff>
    </xdr:to>
    <xdr:sp macro="" textlink="">
      <xdr:nvSpPr>
        <xdr:cNvPr id="69" name="Rectángulo 68">
          <a:extLst>
            <a:ext uri="{FF2B5EF4-FFF2-40B4-BE49-F238E27FC236}">
              <a16:creationId xmlns:a16="http://schemas.microsoft.com/office/drawing/2014/main" id="{00000000-0008-0000-0200-000045000000}"/>
            </a:ext>
          </a:extLst>
        </xdr:cNvPr>
        <xdr:cNvSpPr/>
      </xdr:nvSpPr>
      <xdr:spPr>
        <a:xfrm>
          <a:off x="15956827" y="10873219"/>
          <a:ext cx="198437" cy="20709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8</a:t>
          </a:r>
        </a:p>
      </xdr:txBody>
    </xdr:sp>
    <xdr:clientData/>
  </xdr:twoCellAnchor>
  <xdr:twoCellAnchor>
    <xdr:from>
      <xdr:col>16</xdr:col>
      <xdr:colOff>76199</xdr:colOff>
      <xdr:row>64</xdr:row>
      <xdr:rowOff>163511</xdr:rowOff>
    </xdr:from>
    <xdr:to>
      <xdr:col>16</xdr:col>
      <xdr:colOff>274636</xdr:colOff>
      <xdr:row>65</xdr:row>
      <xdr:rowOff>171448</xdr:rowOff>
    </xdr:to>
    <xdr:sp macro="" textlink="">
      <xdr:nvSpPr>
        <xdr:cNvPr id="70" name="Rectángulo 69">
          <a:extLst>
            <a:ext uri="{FF2B5EF4-FFF2-40B4-BE49-F238E27FC236}">
              <a16:creationId xmlns:a16="http://schemas.microsoft.com/office/drawing/2014/main" id="{00000000-0008-0000-0200-000046000000}"/>
            </a:ext>
          </a:extLst>
        </xdr:cNvPr>
        <xdr:cNvSpPr/>
      </xdr:nvSpPr>
      <xdr:spPr>
        <a:xfrm>
          <a:off x="16433222" y="10874806"/>
          <a:ext cx="198437" cy="20709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9</a:t>
          </a:r>
        </a:p>
      </xdr:txBody>
    </xdr:sp>
    <xdr:clientData/>
  </xdr:twoCellAnchor>
  <xdr:twoCellAnchor>
    <xdr:from>
      <xdr:col>16</xdr:col>
      <xdr:colOff>300036</xdr:colOff>
      <xdr:row>64</xdr:row>
      <xdr:rowOff>173036</xdr:rowOff>
    </xdr:from>
    <xdr:to>
      <xdr:col>16</xdr:col>
      <xdr:colOff>635000</xdr:colOff>
      <xdr:row>65</xdr:row>
      <xdr:rowOff>180973</xdr:rowOff>
    </xdr:to>
    <xdr:sp macro="" textlink="">
      <xdr:nvSpPr>
        <xdr:cNvPr id="71" name="Rectángulo 70">
          <a:extLst>
            <a:ext uri="{FF2B5EF4-FFF2-40B4-BE49-F238E27FC236}">
              <a16:creationId xmlns:a16="http://schemas.microsoft.com/office/drawing/2014/main" id="{00000000-0008-0000-0200-000047000000}"/>
            </a:ext>
          </a:extLst>
        </xdr:cNvPr>
        <xdr:cNvSpPr/>
      </xdr:nvSpPr>
      <xdr:spPr>
        <a:xfrm>
          <a:off x="16657059" y="10884331"/>
          <a:ext cx="334964" cy="20709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10</a:t>
          </a:r>
        </a:p>
      </xdr:txBody>
    </xdr:sp>
    <xdr:clientData/>
  </xdr:twoCellAnchor>
  <xdr:twoCellAnchor>
    <xdr:from>
      <xdr:col>16</xdr:col>
      <xdr:colOff>684213</xdr:colOff>
      <xdr:row>62</xdr:row>
      <xdr:rowOff>88900</xdr:rowOff>
    </xdr:from>
    <xdr:to>
      <xdr:col>16</xdr:col>
      <xdr:colOff>690562</xdr:colOff>
      <xdr:row>64</xdr:row>
      <xdr:rowOff>95250</xdr:rowOff>
    </xdr:to>
    <xdr:cxnSp macro="">
      <xdr:nvCxnSpPr>
        <xdr:cNvPr id="72" name="Conector recto 71">
          <a:extLst>
            <a:ext uri="{FF2B5EF4-FFF2-40B4-BE49-F238E27FC236}">
              <a16:creationId xmlns:a16="http://schemas.microsoft.com/office/drawing/2014/main" id="{00000000-0008-0000-0200-000048000000}"/>
            </a:ext>
          </a:extLst>
        </xdr:cNvPr>
        <xdr:cNvCxnSpPr/>
      </xdr:nvCxnSpPr>
      <xdr:spPr>
        <a:xfrm flipH="1" flipV="1">
          <a:off x="17041236" y="12826423"/>
          <a:ext cx="6349" cy="50857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346940</xdr:colOff>
      <xdr:row>62</xdr:row>
      <xdr:rowOff>155718</xdr:rowOff>
    </xdr:from>
    <xdr:to>
      <xdr:col>17</xdr:col>
      <xdr:colOff>602528</xdr:colOff>
      <xdr:row>63</xdr:row>
      <xdr:rowOff>196994</xdr:rowOff>
    </xdr:to>
    <xdr:sp macro="" textlink="">
      <xdr:nvSpPr>
        <xdr:cNvPr id="73" name="Rectángulo 72">
          <a:extLst>
            <a:ext uri="{FF2B5EF4-FFF2-40B4-BE49-F238E27FC236}">
              <a16:creationId xmlns:a16="http://schemas.microsoft.com/office/drawing/2014/main" id="{00000000-0008-0000-0200-000049000000}"/>
            </a:ext>
          </a:extLst>
        </xdr:cNvPr>
        <xdr:cNvSpPr/>
      </xdr:nvSpPr>
      <xdr:spPr>
        <a:xfrm>
          <a:off x="17465963" y="12893241"/>
          <a:ext cx="255588" cy="28373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g</a:t>
          </a:r>
        </a:p>
      </xdr:txBody>
    </xdr:sp>
    <xdr:clientData/>
  </xdr:twoCellAnchor>
  <xdr:twoCellAnchor>
    <xdr:from>
      <xdr:col>18</xdr:col>
      <xdr:colOff>138545</xdr:colOff>
      <xdr:row>62</xdr:row>
      <xdr:rowOff>147204</xdr:rowOff>
    </xdr:from>
    <xdr:to>
      <xdr:col>18</xdr:col>
      <xdr:colOff>158751</xdr:colOff>
      <xdr:row>64</xdr:row>
      <xdr:rowOff>111126</xdr:rowOff>
    </xdr:to>
    <xdr:cxnSp macro="">
      <xdr:nvCxnSpPr>
        <xdr:cNvPr id="74" name="Conector recto 73">
          <a:extLst>
            <a:ext uri="{FF2B5EF4-FFF2-40B4-BE49-F238E27FC236}">
              <a16:creationId xmlns:a16="http://schemas.microsoft.com/office/drawing/2014/main" id="{00000000-0008-0000-0200-00004A000000}"/>
            </a:ext>
          </a:extLst>
        </xdr:cNvPr>
        <xdr:cNvCxnSpPr/>
      </xdr:nvCxnSpPr>
      <xdr:spPr>
        <a:xfrm flipH="1" flipV="1">
          <a:off x="18019568" y="12884727"/>
          <a:ext cx="20206" cy="46614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424655</xdr:colOff>
      <xdr:row>66</xdr:row>
      <xdr:rowOff>19843</xdr:rowOff>
    </xdr:from>
    <xdr:to>
      <xdr:col>14</xdr:col>
      <xdr:colOff>607218</xdr:colOff>
      <xdr:row>68</xdr:row>
      <xdr:rowOff>99218</xdr:rowOff>
    </xdr:to>
    <xdr:sp macro="" textlink="">
      <xdr:nvSpPr>
        <xdr:cNvPr id="75" name="Abrir llave 74">
          <a:extLst>
            <a:ext uri="{FF2B5EF4-FFF2-40B4-BE49-F238E27FC236}">
              <a16:creationId xmlns:a16="http://schemas.microsoft.com/office/drawing/2014/main" id="{00000000-0008-0000-0200-00004B000000}"/>
            </a:ext>
          </a:extLst>
        </xdr:cNvPr>
        <xdr:cNvSpPr/>
      </xdr:nvSpPr>
      <xdr:spPr>
        <a:xfrm rot="16200000">
          <a:off x="14529953" y="10844068"/>
          <a:ext cx="460375" cy="1013836"/>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15</xdr:col>
      <xdr:colOff>164305</xdr:colOff>
      <xdr:row>66</xdr:row>
      <xdr:rowOff>37305</xdr:rowOff>
    </xdr:from>
    <xdr:to>
      <xdr:col>16</xdr:col>
      <xdr:colOff>492125</xdr:colOff>
      <xdr:row>68</xdr:row>
      <xdr:rowOff>116680</xdr:rowOff>
    </xdr:to>
    <xdr:sp macro="" textlink="">
      <xdr:nvSpPr>
        <xdr:cNvPr id="76" name="Abrir llave 75">
          <a:extLst>
            <a:ext uri="{FF2B5EF4-FFF2-40B4-BE49-F238E27FC236}">
              <a16:creationId xmlns:a16="http://schemas.microsoft.com/office/drawing/2014/main" id="{00000000-0008-0000-0200-00004C000000}"/>
            </a:ext>
          </a:extLst>
        </xdr:cNvPr>
        <xdr:cNvSpPr/>
      </xdr:nvSpPr>
      <xdr:spPr>
        <a:xfrm rot="16200000">
          <a:off x="15987459" y="10736947"/>
          <a:ext cx="460375" cy="1263002"/>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16</xdr:col>
      <xdr:colOff>673893</xdr:colOff>
      <xdr:row>66</xdr:row>
      <xdr:rowOff>23018</xdr:rowOff>
    </xdr:from>
    <xdr:to>
      <xdr:col>18</xdr:col>
      <xdr:colOff>157956</xdr:colOff>
      <xdr:row>68</xdr:row>
      <xdr:rowOff>102393</xdr:rowOff>
    </xdr:to>
    <xdr:sp macro="" textlink="">
      <xdr:nvSpPr>
        <xdr:cNvPr id="77" name="Abrir llave 76">
          <a:extLst>
            <a:ext uri="{FF2B5EF4-FFF2-40B4-BE49-F238E27FC236}">
              <a16:creationId xmlns:a16="http://schemas.microsoft.com/office/drawing/2014/main" id="{00000000-0008-0000-0200-00004D000000}"/>
            </a:ext>
          </a:extLst>
        </xdr:cNvPr>
        <xdr:cNvSpPr/>
      </xdr:nvSpPr>
      <xdr:spPr>
        <a:xfrm rot="16200000">
          <a:off x="17304760" y="10850129"/>
          <a:ext cx="460375" cy="1008063"/>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16</xdr:col>
      <xdr:colOff>596900</xdr:colOff>
      <xdr:row>59</xdr:row>
      <xdr:rowOff>152400</xdr:rowOff>
    </xdr:from>
    <xdr:to>
      <xdr:col>16</xdr:col>
      <xdr:colOff>600076</xdr:colOff>
      <xdr:row>62</xdr:row>
      <xdr:rowOff>4764</xdr:rowOff>
    </xdr:to>
    <xdr:cxnSp macro="">
      <xdr:nvCxnSpPr>
        <xdr:cNvPr id="78" name="Conector recto 77">
          <a:extLst>
            <a:ext uri="{FF2B5EF4-FFF2-40B4-BE49-F238E27FC236}">
              <a16:creationId xmlns:a16="http://schemas.microsoft.com/office/drawing/2014/main" id="{00000000-0008-0000-0200-00004E000000}"/>
            </a:ext>
          </a:extLst>
        </xdr:cNvPr>
        <xdr:cNvCxnSpPr/>
      </xdr:nvCxnSpPr>
      <xdr:spPr>
        <a:xfrm flipH="1" flipV="1">
          <a:off x="16953923" y="9893877"/>
          <a:ext cx="3176" cy="43252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458789</xdr:colOff>
      <xdr:row>62</xdr:row>
      <xdr:rowOff>6351</xdr:rowOff>
    </xdr:from>
    <xdr:to>
      <xdr:col>16</xdr:col>
      <xdr:colOff>603250</xdr:colOff>
      <xdr:row>62</xdr:row>
      <xdr:rowOff>7937</xdr:rowOff>
    </xdr:to>
    <xdr:cxnSp macro="">
      <xdr:nvCxnSpPr>
        <xdr:cNvPr id="79" name="Conector recto 78">
          <a:extLst>
            <a:ext uri="{FF2B5EF4-FFF2-40B4-BE49-F238E27FC236}">
              <a16:creationId xmlns:a16="http://schemas.microsoft.com/office/drawing/2014/main" id="{00000000-0008-0000-0200-00004F000000}"/>
            </a:ext>
          </a:extLst>
        </xdr:cNvPr>
        <xdr:cNvCxnSpPr/>
      </xdr:nvCxnSpPr>
      <xdr:spPr>
        <a:xfrm>
          <a:off x="16815812" y="10327987"/>
          <a:ext cx="144461" cy="158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638606</xdr:colOff>
      <xdr:row>59</xdr:row>
      <xdr:rowOff>57004</xdr:rowOff>
    </xdr:from>
    <xdr:to>
      <xdr:col>18</xdr:col>
      <xdr:colOff>614795</xdr:colOff>
      <xdr:row>60</xdr:row>
      <xdr:rowOff>19627</xdr:rowOff>
    </xdr:to>
    <xdr:sp macro="" textlink="">
      <xdr:nvSpPr>
        <xdr:cNvPr id="80" name="Rectángulo 79">
          <a:extLst>
            <a:ext uri="{FF2B5EF4-FFF2-40B4-BE49-F238E27FC236}">
              <a16:creationId xmlns:a16="http://schemas.microsoft.com/office/drawing/2014/main" id="{00000000-0008-0000-0200-000050000000}"/>
            </a:ext>
          </a:extLst>
        </xdr:cNvPr>
        <xdr:cNvSpPr/>
      </xdr:nvSpPr>
      <xdr:spPr>
        <a:xfrm>
          <a:off x="16995629" y="12145095"/>
          <a:ext cx="1500189" cy="25703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Valor</a:t>
          </a:r>
          <a:r>
            <a:rPr lang="es-CO" sz="1100" baseline="0"/>
            <a:t> de continuidad</a:t>
          </a:r>
          <a:endParaRPr lang="es-CO" sz="1100"/>
        </a:p>
      </xdr:txBody>
    </xdr:sp>
    <xdr:clientData/>
  </xdr:twoCellAnchor>
  <xdr:twoCellAnchor>
    <xdr:from>
      <xdr:col>16</xdr:col>
      <xdr:colOff>739774</xdr:colOff>
      <xdr:row>65</xdr:row>
      <xdr:rowOff>160336</xdr:rowOff>
    </xdr:from>
    <xdr:to>
      <xdr:col>18</xdr:col>
      <xdr:colOff>127000</xdr:colOff>
      <xdr:row>67</xdr:row>
      <xdr:rowOff>19050</xdr:rowOff>
    </xdr:to>
    <xdr:sp macro="" textlink="">
      <xdr:nvSpPr>
        <xdr:cNvPr id="81" name="Rectángulo 80">
          <a:extLst>
            <a:ext uri="{FF2B5EF4-FFF2-40B4-BE49-F238E27FC236}">
              <a16:creationId xmlns:a16="http://schemas.microsoft.com/office/drawing/2014/main" id="{00000000-0008-0000-0200-000051000000}"/>
            </a:ext>
          </a:extLst>
        </xdr:cNvPr>
        <xdr:cNvSpPr/>
      </xdr:nvSpPr>
      <xdr:spPr>
        <a:xfrm>
          <a:off x="17096797" y="11070791"/>
          <a:ext cx="911226" cy="23971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Perpetuidad</a:t>
          </a:r>
        </a:p>
      </xdr:txBody>
    </xdr:sp>
    <xdr:clientData/>
  </xdr:twoCellAnchor>
  <xdr:twoCellAnchor>
    <xdr:from>
      <xdr:col>15</xdr:col>
      <xdr:colOff>249237</xdr:colOff>
      <xdr:row>65</xdr:row>
      <xdr:rowOff>177798</xdr:rowOff>
    </xdr:from>
    <xdr:to>
      <xdr:col>16</xdr:col>
      <xdr:colOff>398463</xdr:colOff>
      <xdr:row>67</xdr:row>
      <xdr:rowOff>36512</xdr:rowOff>
    </xdr:to>
    <xdr:sp macro="" textlink="">
      <xdr:nvSpPr>
        <xdr:cNvPr id="82" name="Rectángulo 81">
          <a:extLst>
            <a:ext uri="{FF2B5EF4-FFF2-40B4-BE49-F238E27FC236}">
              <a16:creationId xmlns:a16="http://schemas.microsoft.com/office/drawing/2014/main" id="{00000000-0008-0000-0200-000052000000}"/>
            </a:ext>
          </a:extLst>
        </xdr:cNvPr>
        <xdr:cNvSpPr/>
      </xdr:nvSpPr>
      <xdr:spPr>
        <a:xfrm>
          <a:off x="15671078" y="11088253"/>
          <a:ext cx="1084408" cy="23971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Proyectado</a:t>
          </a:r>
        </a:p>
      </xdr:txBody>
    </xdr:sp>
    <xdr:clientData/>
  </xdr:twoCellAnchor>
  <xdr:twoCellAnchor>
    <xdr:from>
      <xdr:col>13</xdr:col>
      <xdr:colOff>592136</xdr:colOff>
      <xdr:row>65</xdr:row>
      <xdr:rowOff>179385</xdr:rowOff>
    </xdr:from>
    <xdr:to>
      <xdr:col>14</xdr:col>
      <xdr:colOff>492124</xdr:colOff>
      <xdr:row>67</xdr:row>
      <xdr:rowOff>38099</xdr:rowOff>
    </xdr:to>
    <xdr:sp macro="" textlink="">
      <xdr:nvSpPr>
        <xdr:cNvPr id="83" name="Rectángulo 82">
          <a:extLst>
            <a:ext uri="{FF2B5EF4-FFF2-40B4-BE49-F238E27FC236}">
              <a16:creationId xmlns:a16="http://schemas.microsoft.com/office/drawing/2014/main" id="{00000000-0008-0000-0200-000053000000}"/>
            </a:ext>
          </a:extLst>
        </xdr:cNvPr>
        <xdr:cNvSpPr/>
      </xdr:nvSpPr>
      <xdr:spPr>
        <a:xfrm>
          <a:off x="14420704" y="11089840"/>
          <a:ext cx="731261" cy="23971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Histórico</a:t>
          </a:r>
        </a:p>
      </xdr:txBody>
    </xdr:sp>
    <xdr:clientData/>
  </xdr:twoCellAnchor>
  <xdr:twoCellAnchor>
    <xdr:from>
      <xdr:col>18</xdr:col>
      <xdr:colOff>192086</xdr:colOff>
      <xdr:row>61</xdr:row>
      <xdr:rowOff>17460</xdr:rowOff>
    </xdr:from>
    <xdr:to>
      <xdr:col>19</xdr:col>
      <xdr:colOff>357187</xdr:colOff>
      <xdr:row>63</xdr:row>
      <xdr:rowOff>79374</xdr:rowOff>
    </xdr:to>
    <xdr:sp macro="" textlink="">
      <xdr:nvSpPr>
        <xdr:cNvPr id="84" name="Rectángulo 83">
          <a:extLst>
            <a:ext uri="{FF2B5EF4-FFF2-40B4-BE49-F238E27FC236}">
              <a16:creationId xmlns:a16="http://schemas.microsoft.com/office/drawing/2014/main" id="{00000000-0008-0000-0200-000054000000}"/>
            </a:ext>
          </a:extLst>
        </xdr:cNvPr>
        <xdr:cNvSpPr/>
      </xdr:nvSpPr>
      <xdr:spPr>
        <a:xfrm>
          <a:off x="18073109" y="10139937"/>
          <a:ext cx="927101" cy="451573"/>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Anualidad Perpetua </a:t>
          </a:r>
        </a:p>
      </xdr:txBody>
    </xdr:sp>
    <xdr:clientData/>
  </xdr:twoCellAnchor>
  <xdr:twoCellAnchor editAs="oneCell">
    <xdr:from>
      <xdr:col>5</xdr:col>
      <xdr:colOff>904875</xdr:colOff>
      <xdr:row>179</xdr:row>
      <xdr:rowOff>47224</xdr:rowOff>
    </xdr:from>
    <xdr:to>
      <xdr:col>7</xdr:col>
      <xdr:colOff>1012073</xdr:colOff>
      <xdr:row>182</xdr:row>
      <xdr:rowOff>142875</xdr:rowOff>
    </xdr:to>
    <xdr:pic>
      <xdr:nvPicPr>
        <xdr:cNvPr id="4" name="Imagen 3">
          <a:extLst>
            <a:ext uri="{FF2B5EF4-FFF2-40B4-BE49-F238E27FC236}">
              <a16:creationId xmlns:a16="http://schemas.microsoft.com/office/drawing/2014/main" id="{287E99E3-82A5-4416-90B7-6B56B0B971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05350" y="35727874"/>
          <a:ext cx="2383673" cy="667151"/>
        </a:xfrm>
        <a:prstGeom prst="rect">
          <a:avLst/>
        </a:prstGeom>
      </xdr:spPr>
    </xdr:pic>
    <xdr:clientData/>
  </xdr:twoCellAnchor>
  <xdr:twoCellAnchor editAs="oneCell">
    <xdr:from>
      <xdr:col>7</xdr:col>
      <xdr:colOff>1257301</xdr:colOff>
      <xdr:row>179</xdr:row>
      <xdr:rowOff>85724</xdr:rowOff>
    </xdr:from>
    <xdr:to>
      <xdr:col>9</xdr:col>
      <xdr:colOff>974298</xdr:colOff>
      <xdr:row>182</xdr:row>
      <xdr:rowOff>19049</xdr:rowOff>
    </xdr:to>
    <xdr:pic>
      <xdr:nvPicPr>
        <xdr:cNvPr id="8" name="Imagen 7">
          <a:extLst>
            <a:ext uri="{FF2B5EF4-FFF2-40B4-BE49-F238E27FC236}">
              <a16:creationId xmlns:a16="http://schemas.microsoft.com/office/drawing/2014/main" id="{E43AA509-A477-43A5-AEF0-5FB1F2A28C8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34251" y="35766374"/>
          <a:ext cx="2584022" cy="504825"/>
        </a:xfrm>
        <a:prstGeom prst="rect">
          <a:avLst/>
        </a:prstGeom>
      </xdr:spPr>
    </xdr:pic>
    <xdr:clientData/>
  </xdr:twoCellAnchor>
  <xdr:twoCellAnchor>
    <xdr:from>
      <xdr:col>1</xdr:col>
      <xdr:colOff>114300</xdr:colOff>
      <xdr:row>144</xdr:row>
      <xdr:rowOff>76199</xdr:rowOff>
    </xdr:from>
    <xdr:to>
      <xdr:col>5</xdr:col>
      <xdr:colOff>1047750</xdr:colOff>
      <xdr:row>158</xdr:row>
      <xdr:rowOff>95249</xdr:rowOff>
    </xdr:to>
    <xdr:graphicFrame macro="">
      <xdr:nvGraphicFramePr>
        <xdr:cNvPr id="12" name="Gráfico 11">
          <a:extLst>
            <a:ext uri="{FF2B5EF4-FFF2-40B4-BE49-F238E27FC236}">
              <a16:creationId xmlns:a16="http://schemas.microsoft.com/office/drawing/2014/main" id="{16EF548E-90EB-4905-9722-AFCC530955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433387</xdr:colOff>
      <xdr:row>144</xdr:row>
      <xdr:rowOff>119062</xdr:rowOff>
    </xdr:from>
    <xdr:to>
      <xdr:col>9</xdr:col>
      <xdr:colOff>971550</xdr:colOff>
      <xdr:row>158</xdr:row>
      <xdr:rowOff>95250</xdr:rowOff>
    </xdr:to>
    <xdr:graphicFrame macro="">
      <xdr:nvGraphicFramePr>
        <xdr:cNvPr id="13" name="Gráfico 12">
          <a:extLst>
            <a:ext uri="{FF2B5EF4-FFF2-40B4-BE49-F238E27FC236}">
              <a16:creationId xmlns:a16="http://schemas.microsoft.com/office/drawing/2014/main" id="{0226B140-AA06-4735-AE93-A5463E050F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14</xdr:col>
      <xdr:colOff>514351</xdr:colOff>
      <xdr:row>1</xdr:row>
      <xdr:rowOff>180975</xdr:rowOff>
    </xdr:from>
    <xdr:to>
      <xdr:col>15</xdr:col>
      <xdr:colOff>323851</xdr:colOff>
      <xdr:row>4</xdr:row>
      <xdr:rowOff>142874</xdr:rowOff>
    </xdr:to>
    <xdr:sp macro="" textlink="">
      <xdr:nvSpPr>
        <xdr:cNvPr id="2" name="Forma libre 1">
          <a:extLst>
            <a:ext uri="{FF2B5EF4-FFF2-40B4-BE49-F238E27FC236}">
              <a16:creationId xmlns:a16="http://schemas.microsoft.com/office/drawing/2014/main" id="{5EE1890B-4342-4AD0-A88D-AD6638EBC320}"/>
            </a:ext>
          </a:extLst>
        </xdr:cNvPr>
        <xdr:cNvSpPr/>
      </xdr:nvSpPr>
      <xdr:spPr>
        <a:xfrm rot="17984693">
          <a:off x="13630276" y="247650"/>
          <a:ext cx="533399" cy="781050"/>
        </a:xfrm>
        <a:custGeom>
          <a:avLst/>
          <a:gdLst>
            <a:gd name="connsiteX0" fmla="*/ 0 w 533400"/>
            <a:gd name="connsiteY0" fmla="*/ 101957 h 587732"/>
            <a:gd name="connsiteX1" fmla="*/ 238125 w 533400"/>
            <a:gd name="connsiteY1" fmla="*/ 35282 h 587732"/>
            <a:gd name="connsiteX2" fmla="*/ 533400 w 533400"/>
            <a:gd name="connsiteY2" fmla="*/ 587732 h 587732"/>
          </a:gdLst>
          <a:ahLst/>
          <a:cxnLst>
            <a:cxn ang="0">
              <a:pos x="connsiteX0" y="connsiteY0"/>
            </a:cxn>
            <a:cxn ang="0">
              <a:pos x="connsiteX1" y="connsiteY1"/>
            </a:cxn>
            <a:cxn ang="0">
              <a:pos x="connsiteX2" y="connsiteY2"/>
            </a:cxn>
          </a:cxnLst>
          <a:rect l="l" t="t" r="r" b="b"/>
          <a:pathLst>
            <a:path w="533400" h="587732">
              <a:moveTo>
                <a:pt x="0" y="101957"/>
              </a:moveTo>
              <a:cubicBezTo>
                <a:pt x="74612" y="28138"/>
                <a:pt x="149225" y="-45680"/>
                <a:pt x="238125" y="35282"/>
              </a:cubicBezTo>
              <a:cubicBezTo>
                <a:pt x="327025" y="116244"/>
                <a:pt x="533400" y="587732"/>
                <a:pt x="533400" y="587732"/>
              </a:cubicBezTo>
            </a:path>
          </a:pathLst>
        </a:custGeom>
        <a:noFill/>
        <a:ln w="762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xdr:col>
      <xdr:colOff>561975</xdr:colOff>
      <xdr:row>0</xdr:row>
      <xdr:rowOff>161927</xdr:rowOff>
    </xdr:from>
    <xdr:to>
      <xdr:col>15</xdr:col>
      <xdr:colOff>476250</xdr:colOff>
      <xdr:row>3</xdr:row>
      <xdr:rowOff>95250</xdr:rowOff>
    </xdr:to>
    <xdr:cxnSp macro="">
      <xdr:nvCxnSpPr>
        <xdr:cNvPr id="3" name="Conector angular 5">
          <a:extLst>
            <a:ext uri="{FF2B5EF4-FFF2-40B4-BE49-F238E27FC236}">
              <a16:creationId xmlns:a16="http://schemas.microsoft.com/office/drawing/2014/main" id="{C2E7F5C7-EABF-4C5B-B837-8EF414A6F1DE}"/>
            </a:ext>
          </a:extLst>
        </xdr:cNvPr>
        <xdr:cNvCxnSpPr/>
      </xdr:nvCxnSpPr>
      <xdr:spPr>
        <a:xfrm flipV="1">
          <a:off x="13554075" y="161927"/>
          <a:ext cx="885825" cy="504823"/>
        </a:xfrm>
        <a:prstGeom prst="bentConnector3">
          <a:avLst>
            <a:gd name="adj1" fmla="val 50000"/>
          </a:avLst>
        </a:prstGeom>
        <a:ln w="7302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685800</xdr:colOff>
      <xdr:row>1</xdr:row>
      <xdr:rowOff>142876</xdr:rowOff>
    </xdr:from>
    <xdr:to>
      <xdr:col>15</xdr:col>
      <xdr:colOff>666750</xdr:colOff>
      <xdr:row>4</xdr:row>
      <xdr:rowOff>66675</xdr:rowOff>
    </xdr:to>
    <xdr:cxnSp macro="">
      <xdr:nvCxnSpPr>
        <xdr:cNvPr id="4" name="Conector angular 6">
          <a:extLst>
            <a:ext uri="{FF2B5EF4-FFF2-40B4-BE49-F238E27FC236}">
              <a16:creationId xmlns:a16="http://schemas.microsoft.com/office/drawing/2014/main" id="{682D866A-BF52-4B78-8BE0-2DC4C7B25C5A}"/>
            </a:ext>
          </a:extLst>
        </xdr:cNvPr>
        <xdr:cNvCxnSpPr/>
      </xdr:nvCxnSpPr>
      <xdr:spPr>
        <a:xfrm flipV="1">
          <a:off x="13677900" y="333376"/>
          <a:ext cx="952500" cy="495299"/>
        </a:xfrm>
        <a:prstGeom prst="bentConnector3">
          <a:avLst>
            <a:gd name="adj1" fmla="val 51282"/>
          </a:avLst>
        </a:prstGeom>
        <a:ln w="7302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142875</xdr:colOff>
      <xdr:row>37</xdr:row>
      <xdr:rowOff>130419</xdr:rowOff>
    </xdr:from>
    <xdr:to>
      <xdr:col>19</xdr:col>
      <xdr:colOff>534865</xdr:colOff>
      <xdr:row>53</xdr:row>
      <xdr:rowOff>175846</xdr:rowOff>
    </xdr:to>
    <xdr:graphicFrame macro="">
      <xdr:nvGraphicFramePr>
        <xdr:cNvPr id="6" name="Gráfico 5">
          <a:extLst>
            <a:ext uri="{FF2B5EF4-FFF2-40B4-BE49-F238E27FC236}">
              <a16:creationId xmlns:a16="http://schemas.microsoft.com/office/drawing/2014/main" id="{9330B605-33D6-43BA-A52A-83F99A5346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1047750</xdr:colOff>
      <xdr:row>41</xdr:row>
      <xdr:rowOff>0</xdr:rowOff>
    </xdr:from>
    <xdr:to>
      <xdr:col>17</xdr:col>
      <xdr:colOff>1077058</xdr:colOff>
      <xdr:row>52</xdr:row>
      <xdr:rowOff>0</xdr:rowOff>
    </xdr:to>
    <xdr:cxnSp macro="">
      <xdr:nvCxnSpPr>
        <xdr:cNvPr id="7" name="Conector recto 6">
          <a:extLst>
            <a:ext uri="{FF2B5EF4-FFF2-40B4-BE49-F238E27FC236}">
              <a16:creationId xmlns:a16="http://schemas.microsoft.com/office/drawing/2014/main" id="{74F0D4B1-E26D-416C-BA3F-4962835ADAC7}"/>
            </a:ext>
          </a:extLst>
        </xdr:cNvPr>
        <xdr:cNvCxnSpPr/>
      </xdr:nvCxnSpPr>
      <xdr:spPr>
        <a:xfrm>
          <a:off x="17630775" y="8486775"/>
          <a:ext cx="29308" cy="2162175"/>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twoCellAnchor>
    <xdr:from>
      <xdr:col>20</xdr:col>
      <xdr:colOff>764887</xdr:colOff>
      <xdr:row>48</xdr:row>
      <xdr:rowOff>78687</xdr:rowOff>
    </xdr:from>
    <xdr:to>
      <xdr:col>24</xdr:col>
      <xdr:colOff>333043</xdr:colOff>
      <xdr:row>62</xdr:row>
      <xdr:rowOff>144319</xdr:rowOff>
    </xdr:to>
    <xdr:graphicFrame macro="">
      <xdr:nvGraphicFramePr>
        <xdr:cNvPr id="8" name="Gráfico 7">
          <a:extLst>
            <a:ext uri="{FF2B5EF4-FFF2-40B4-BE49-F238E27FC236}">
              <a16:creationId xmlns:a16="http://schemas.microsoft.com/office/drawing/2014/main" id="{0297FF55-BD57-42E5-B2F7-7D40DB4B4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101356</xdr:colOff>
      <xdr:row>66</xdr:row>
      <xdr:rowOff>36278</xdr:rowOff>
    </xdr:from>
    <xdr:to>
      <xdr:col>26</xdr:col>
      <xdr:colOff>506447</xdr:colOff>
      <xdr:row>81</xdr:row>
      <xdr:rowOff>81705</xdr:rowOff>
    </xdr:to>
    <xdr:graphicFrame macro="">
      <xdr:nvGraphicFramePr>
        <xdr:cNvPr id="9" name="Gráfico 8">
          <a:extLst>
            <a:ext uri="{FF2B5EF4-FFF2-40B4-BE49-F238E27FC236}">
              <a16:creationId xmlns:a16="http://schemas.microsoft.com/office/drawing/2014/main" id="{F072754B-1A6E-4570-849B-4F87399687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179509</xdr:colOff>
      <xdr:row>86</xdr:row>
      <xdr:rowOff>13188</xdr:rowOff>
    </xdr:from>
    <xdr:to>
      <xdr:col>19</xdr:col>
      <xdr:colOff>571500</xdr:colOff>
      <xdr:row>102</xdr:row>
      <xdr:rowOff>153865</xdr:rowOff>
    </xdr:to>
    <xdr:graphicFrame macro="">
      <xdr:nvGraphicFramePr>
        <xdr:cNvPr id="10" name="Gráfico 9">
          <a:extLst>
            <a:ext uri="{FF2B5EF4-FFF2-40B4-BE49-F238E27FC236}">
              <a16:creationId xmlns:a16="http://schemas.microsoft.com/office/drawing/2014/main" id="{408DD2F6-EF5B-4DC8-8CA4-9133922D3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1212273</xdr:colOff>
      <xdr:row>90</xdr:row>
      <xdr:rowOff>86591</xdr:rowOff>
    </xdr:from>
    <xdr:to>
      <xdr:col>19</xdr:col>
      <xdr:colOff>129886</xdr:colOff>
      <xdr:row>95</xdr:row>
      <xdr:rowOff>202046</xdr:rowOff>
    </xdr:to>
    <xdr:cxnSp macro="">
      <xdr:nvCxnSpPr>
        <xdr:cNvPr id="11" name="Conector recto 10">
          <a:extLst>
            <a:ext uri="{FF2B5EF4-FFF2-40B4-BE49-F238E27FC236}">
              <a16:creationId xmlns:a16="http://schemas.microsoft.com/office/drawing/2014/main" id="{D57CA454-3CC2-4F21-94F2-BB99F4BBCCD6}"/>
            </a:ext>
          </a:extLst>
        </xdr:cNvPr>
        <xdr:cNvCxnSpPr/>
      </xdr:nvCxnSpPr>
      <xdr:spPr>
        <a:xfrm flipV="1">
          <a:off x="21359091" y="18443864"/>
          <a:ext cx="3867727" cy="11112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c:userShapes xmlns:c="http://schemas.openxmlformats.org/drawingml/2006/chart">
  <cdr:relSizeAnchor xmlns:cdr="http://schemas.openxmlformats.org/drawingml/2006/chartDrawing">
    <cdr:from>
      <cdr:x>0.51944</cdr:x>
      <cdr:y>0.17357</cdr:y>
    </cdr:from>
    <cdr:to>
      <cdr:x>0.52493</cdr:x>
      <cdr:y>0.87086</cdr:y>
    </cdr:to>
    <cdr:cxnSp macro="">
      <cdr:nvCxnSpPr>
        <cdr:cNvPr id="2" name="Conector recto 1">
          <a:extLst xmlns:a="http://schemas.openxmlformats.org/drawingml/2006/main">
            <a:ext uri="{FF2B5EF4-FFF2-40B4-BE49-F238E27FC236}">
              <a16:creationId xmlns:a16="http://schemas.microsoft.com/office/drawing/2014/main" id="{1088B444-289C-0C89-C059-501D6BF18D35}"/>
            </a:ext>
          </a:extLst>
        </cdr:cNvPr>
        <cdr:cNvCxnSpPr/>
      </cdr:nvCxnSpPr>
      <cdr:spPr>
        <a:xfrm xmlns:a="http://schemas.openxmlformats.org/drawingml/2006/main">
          <a:off x="2776416" y="534377"/>
          <a:ext cx="29308" cy="2146789"/>
        </a:xfrm>
        <a:prstGeom xmlns:a="http://schemas.openxmlformats.org/drawingml/2006/main" prst="line">
          <a:avLst/>
        </a:prstGeom>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9.xml><?xml version="1.0" encoding="utf-8"?>
<c:userShapes xmlns:c="http://schemas.openxmlformats.org/drawingml/2006/chart">
  <cdr:relSizeAnchor xmlns:cdr="http://schemas.openxmlformats.org/drawingml/2006/chartDrawing">
    <cdr:from>
      <cdr:x>0.51122</cdr:x>
      <cdr:y>0.16846</cdr:y>
    </cdr:from>
    <cdr:to>
      <cdr:x>0.5167</cdr:x>
      <cdr:y>0.88449</cdr:y>
    </cdr:to>
    <cdr:cxnSp macro="">
      <cdr:nvCxnSpPr>
        <cdr:cNvPr id="2" name="Conector recto 1">
          <a:extLst xmlns:a="http://schemas.openxmlformats.org/drawingml/2006/main">
            <a:ext uri="{FF2B5EF4-FFF2-40B4-BE49-F238E27FC236}">
              <a16:creationId xmlns:a16="http://schemas.microsoft.com/office/drawing/2014/main" id="{BB5E96F6-A298-1043-DC69-DCFA489CC4C5}"/>
            </a:ext>
          </a:extLst>
        </cdr:cNvPr>
        <cdr:cNvCxnSpPr/>
      </cdr:nvCxnSpPr>
      <cdr:spPr>
        <a:xfrm xmlns:a="http://schemas.openxmlformats.org/drawingml/2006/main">
          <a:off x="2732454" y="505069"/>
          <a:ext cx="29308" cy="2146789"/>
        </a:xfrm>
        <a:prstGeom xmlns:a="http://schemas.openxmlformats.org/drawingml/2006/main" prst="line">
          <a:avLst/>
        </a:prstGeom>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oris%20Garzon\Desktop\CASO%20FINAL%20DIAGN&#211;STICO%20FINANCIE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ÓN FINANCIERA"/>
      <sheetName val="Análisis de Estructural"/>
      <sheetName val="Inductores de Rentabilidad"/>
      <sheetName val="Inductores Operativos y Financi"/>
      <sheetName val="Flujo de Caja"/>
      <sheetName val="Razones Financieras"/>
      <sheetName val="Análisis Gráfico"/>
      <sheetName val="Predictor de Quiebra Altman"/>
      <sheetName val="Costo de la deuda Kd"/>
    </sheetNames>
    <sheetDataSet>
      <sheetData sheetId="0"/>
      <sheetData sheetId="1">
        <row r="17">
          <cell r="C17">
            <v>389755309.097</v>
          </cell>
        </row>
      </sheetData>
      <sheetData sheetId="2">
        <row r="70">
          <cell r="C70">
            <v>-2.3208058566274578E-3</v>
          </cell>
        </row>
      </sheetData>
      <sheetData sheetId="3">
        <row r="30">
          <cell r="C30">
            <v>26814345.425999999</v>
          </cell>
        </row>
      </sheetData>
      <sheetData sheetId="4"/>
      <sheetData sheetId="5">
        <row r="6">
          <cell r="C6">
            <v>2017</v>
          </cell>
          <cell r="D6">
            <v>2018</v>
          </cell>
          <cell r="E6">
            <v>2019</v>
          </cell>
          <cell r="F6">
            <v>2020</v>
          </cell>
          <cell r="G6">
            <v>2021</v>
          </cell>
        </row>
      </sheetData>
      <sheetData sheetId="6"/>
      <sheetData sheetId="7">
        <row r="40">
          <cell r="D40">
            <v>2017</v>
          </cell>
          <cell r="E40">
            <v>2018</v>
          </cell>
          <cell r="F40">
            <v>2019</v>
          </cell>
          <cell r="G40">
            <v>2020</v>
          </cell>
          <cell r="H40">
            <v>2021</v>
          </cell>
        </row>
        <row r="63">
          <cell r="D63">
            <v>0</v>
          </cell>
          <cell r="E63">
            <v>0</v>
          </cell>
          <cell r="F63">
            <v>0</v>
          </cell>
          <cell r="G63">
            <v>0</v>
          </cell>
          <cell r="H63">
            <v>0</v>
          </cell>
        </row>
        <row r="64">
          <cell r="D64">
            <v>1.81</v>
          </cell>
          <cell r="E64">
            <v>1.81</v>
          </cell>
          <cell r="F64">
            <v>1.81</v>
          </cell>
          <cell r="G64">
            <v>1.81</v>
          </cell>
          <cell r="H64">
            <v>1.81</v>
          </cell>
        </row>
        <row r="65">
          <cell r="D65">
            <v>2.99</v>
          </cell>
          <cell r="E65">
            <v>2.99</v>
          </cell>
          <cell r="F65">
            <v>2.99</v>
          </cell>
          <cell r="G65">
            <v>2.99</v>
          </cell>
          <cell r="H65">
            <v>2.99</v>
          </cell>
        </row>
        <row r="66">
          <cell r="D66">
            <v>1.4135869081272705</v>
          </cell>
          <cell r="E66">
            <v>1.5960744626153009</v>
          </cell>
          <cell r="F66">
            <v>1.8293456838085114</v>
          </cell>
          <cell r="G66">
            <v>1.1087881140817215</v>
          </cell>
          <cell r="H66">
            <v>1.5870564775439087</v>
          </cell>
        </row>
        <row r="82">
          <cell r="D82">
            <v>2017</v>
          </cell>
          <cell r="E82">
            <v>2018</v>
          </cell>
          <cell r="F82">
            <v>2019</v>
          </cell>
          <cell r="G82">
            <v>2020</v>
          </cell>
          <cell r="H82">
            <v>2021</v>
          </cell>
        </row>
        <row r="102">
          <cell r="D102">
            <v>0</v>
          </cell>
          <cell r="E102">
            <v>0</v>
          </cell>
          <cell r="F102">
            <v>0</v>
          </cell>
          <cell r="G102">
            <v>0</v>
          </cell>
          <cell r="H102">
            <v>0</v>
          </cell>
        </row>
        <row r="103">
          <cell r="D103">
            <v>1</v>
          </cell>
          <cell r="E103">
            <v>1</v>
          </cell>
          <cell r="F103">
            <v>1</v>
          </cell>
          <cell r="G103">
            <v>1</v>
          </cell>
          <cell r="H103">
            <v>1</v>
          </cell>
        </row>
        <row r="104">
          <cell r="D104">
            <v>2.6</v>
          </cell>
          <cell r="E104">
            <v>2.6</v>
          </cell>
          <cell r="F104">
            <v>2.6</v>
          </cell>
          <cell r="G104">
            <v>2.6</v>
          </cell>
          <cell r="H104">
            <v>2.6</v>
          </cell>
        </row>
        <row r="105">
          <cell r="D105">
            <v>2.8996291293096754</v>
          </cell>
          <cell r="E105">
            <v>3.2827846412962125</v>
          </cell>
          <cell r="F105">
            <v>3.5867262516372289</v>
          </cell>
          <cell r="G105">
            <v>2.4200529608999535</v>
          </cell>
          <cell r="H105">
            <v>2.4853286211889207</v>
          </cell>
        </row>
      </sheetData>
      <sheetData sheetId="8"/>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789568-414E-42A7-A254-FDEE530D702A}" name="Table1" displayName="Table1" ref="A10:P106" totalsRowShown="0" headerRowDxfId="25" headerRowBorderDxfId="24" tableBorderDxfId="23" totalsRowBorderDxfId="22">
  <autoFilter ref="A10:P106" xr:uid="{3F740327-87D7-414B-A5AD-2415D5DF4CC1}"/>
  <tableColumns count="16">
    <tableColumn id="1" xr3:uid="{83B71357-7960-4AFF-B746-5FA33F231D1B}" name="Industry Name" dataDxfId="21"/>
    <tableColumn id="2" xr3:uid="{799B4807-58D3-4866-AAA5-27FCC18B1065}" name="Number of firms" dataDxfId="20"/>
    <tableColumn id="3" xr3:uid="{1ED46A79-6A66-4833-B195-136D300447CF}" name="Beta " dataDxfId="19"/>
    <tableColumn id="4" xr3:uid="{30754D31-CAD8-4B4A-B2F5-1A8041F9B853}" name="D/E Ratio" dataDxfId="18"/>
    <tableColumn id="5" xr3:uid="{FF78C893-1CA7-4E11-9014-B4B604F73F0A}" name="Effective Tax rate" dataDxfId="17"/>
    <tableColumn id="6" xr3:uid="{677410E7-7B23-4B18-BD94-5A00BF4E4A3E}" name="Unlevered beta" dataDxfId="16">
      <calculatedColumnFormula>IF($F$8="Effective",C11/(1+(1-E11)*D11),C11/(1+(1-$F$9)*D11))</calculatedColumnFormula>
    </tableColumn>
    <tableColumn id="7" xr3:uid="{CE1E4D01-0C0E-4473-8663-6FBE20BA612E}" name="Cash/Firm value" dataDxfId="15"/>
    <tableColumn id="8" xr3:uid="{FBAA1904-22A7-4FB8-8191-425857D0B31F}" name="Unlevered beta corrected for cash" dataDxfId="14">
      <calculatedColumnFormula>F11/(1-G11)</calculatedColumnFormula>
    </tableColumn>
    <tableColumn id="9" xr3:uid="{A0F4BB35-1B89-466D-A613-EA0D80E86E9C}" name="HiLo Risk" dataDxfId="13"/>
    <tableColumn id="10" xr3:uid="{EA4F49E8-01E5-4BEC-B22D-410DEA682142}" name="Standard deviation of equity" dataDxfId="12"/>
    <tableColumn id="11" xr3:uid="{4F2052BA-136E-4FC6-B319-87835CB8A56D}" name="Standard deviation in operating income (last 10 years)" dataDxfId="11"/>
    <tableColumn id="12" xr3:uid="{2CEA0EFA-782A-495D-843C-821CC6BCECFC}" name="2019" dataDxfId="10"/>
    <tableColumn id="13" xr3:uid="{80E5BEC7-18C4-46DF-BDC9-D4DACD30E741}" name="2020" dataDxfId="9"/>
    <tableColumn id="14" xr3:uid="{1A6FC922-29EE-47D7-947E-8A67B6F7E622}" name="2021" dataDxfId="8"/>
    <tableColumn id="16" xr3:uid="{2E637062-05E1-4B82-9F71-8DDDAB1A13FE}" name="2022" dataDxfId="7"/>
    <tableColumn id="15" xr3:uid="{995EF892-2AEC-4252-B1F0-C7B2AFB028D9}" name="Average (2019-23)" dataDxfId="6">
      <calculatedColumnFormula>AVERAGE(H11,L11:O11)</calculatedColumnFormula>
    </tableColumn>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Downloads/Presentaci&#195;&#179;n%20Proyecciones%20Econ&#195;&#179;micas%20Colombia%202021-2025%20-%20Marzo%202021%20(4).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8.xml.rels><?xml version="1.0" encoding="UTF-8" standalone="yes"?>
<Relationships xmlns="http://schemas.openxmlformats.org/package/2006/relationships"><Relationship Id="rId3" Type="http://schemas.openxmlformats.org/officeDocument/2006/relationships/hyperlink" Target="http://www.stern.nyu.edu/~adamodar/New_Home_Page/data.html" TargetMode="External"/><Relationship Id="rId7" Type="http://schemas.openxmlformats.org/officeDocument/2006/relationships/table" Target="../tables/table1.xml"/><Relationship Id="rId2" Type="http://schemas.openxmlformats.org/officeDocument/2006/relationships/hyperlink" Target="http://www.damodaran.com/" TargetMode="External"/><Relationship Id="rId1" Type="http://schemas.openxmlformats.org/officeDocument/2006/relationships/hyperlink" Target="mailto:adamodar@stern.nyu.edu?subject=Data%20on%20website" TargetMode="External"/><Relationship Id="rId6" Type="http://schemas.openxmlformats.org/officeDocument/2006/relationships/hyperlink" Target="https://youtu.be/rxmttgceSjg" TargetMode="External"/><Relationship Id="rId5" Type="http://schemas.openxmlformats.org/officeDocument/2006/relationships/hyperlink" Target="http://www.stern.nyu.edu/~adamodar/New_Home_Page/datafile/variable.htm" TargetMode="External"/><Relationship Id="rId4" Type="http://schemas.openxmlformats.org/officeDocument/2006/relationships/hyperlink" Target="http://www.stern.nyu.edu/~adamodar/pc/datasets/indname.xls"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9" tint="-0.499984740745262"/>
  </sheetPr>
  <dimension ref="B1:AC114"/>
  <sheetViews>
    <sheetView topLeftCell="A60" zoomScale="85" zoomScaleNormal="85" workbookViewId="0">
      <selection activeCell="B72" sqref="B72:K72"/>
    </sheetView>
  </sheetViews>
  <sheetFormatPr baseColWidth="10" defaultColWidth="11.42578125" defaultRowHeight="15"/>
  <cols>
    <col min="1" max="1" width="2" style="1" customWidth="1"/>
    <col min="2" max="4" width="11.42578125" style="1"/>
    <col min="5" max="5" width="7.5703125" style="1" customWidth="1"/>
    <col min="6" max="6" width="1.140625" style="1" customWidth="1"/>
    <col min="7" max="11" width="15.7109375" style="1" bestFit="1" customWidth="1"/>
    <col min="12" max="16" width="11.5703125" style="1" bestFit="1" customWidth="1"/>
    <col min="17" max="17" width="19.7109375" style="1" customWidth="1"/>
    <col min="18" max="18" width="11.42578125" style="1"/>
    <col min="19" max="19" width="20.140625" style="1" customWidth="1"/>
    <col min="20" max="20" width="14.42578125" style="1" customWidth="1"/>
    <col min="21" max="21" width="11.42578125" style="1"/>
    <col min="22" max="22" width="15" style="1" bestFit="1" customWidth="1"/>
    <col min="23" max="23" width="12.5703125" style="1" customWidth="1"/>
    <col min="24" max="25" width="11.42578125" style="1"/>
    <col min="26" max="26" width="9.7109375" style="1" bestFit="1" customWidth="1"/>
    <col min="27" max="27" width="14.5703125" style="1" bestFit="1" customWidth="1"/>
    <col min="28" max="28" width="11.42578125" style="1"/>
    <col min="29" max="29" width="12.28515625" style="1" bestFit="1" customWidth="1"/>
    <col min="30" max="16384" width="11.42578125" style="1"/>
  </cols>
  <sheetData>
    <row r="1" spans="2:16" ht="15" customHeight="1">
      <c r="B1" s="605" t="s">
        <v>0</v>
      </c>
      <c r="C1" s="606"/>
      <c r="D1" s="606"/>
      <c r="E1" s="606"/>
      <c r="F1" s="606"/>
      <c r="G1" s="606"/>
      <c r="H1" s="606"/>
      <c r="I1" s="606"/>
      <c r="J1" s="606"/>
      <c r="K1" s="606"/>
      <c r="L1" s="606"/>
      <c r="M1" s="606"/>
      <c r="N1" s="606"/>
      <c r="O1" s="606"/>
      <c r="P1" s="607"/>
    </row>
    <row r="2" spans="2:16" ht="15" customHeight="1">
      <c r="B2" s="608"/>
      <c r="C2" s="609"/>
      <c r="D2" s="609"/>
      <c r="E2" s="609"/>
      <c r="F2" s="609"/>
      <c r="G2" s="609"/>
      <c r="H2" s="609"/>
      <c r="I2" s="609"/>
      <c r="J2" s="609"/>
      <c r="K2" s="609"/>
      <c r="L2" s="609"/>
      <c r="M2" s="609"/>
      <c r="N2" s="609"/>
      <c r="O2" s="609"/>
      <c r="P2" s="610"/>
    </row>
    <row r="3" spans="2:16" ht="15" customHeight="1">
      <c r="B3" s="608"/>
      <c r="C3" s="609"/>
      <c r="D3" s="609"/>
      <c r="E3" s="609"/>
      <c r="F3" s="609"/>
      <c r="G3" s="609"/>
      <c r="H3" s="609"/>
      <c r="I3" s="609"/>
      <c r="J3" s="609"/>
      <c r="K3" s="609"/>
      <c r="L3" s="609"/>
      <c r="M3" s="609"/>
      <c r="N3" s="609"/>
      <c r="O3" s="609"/>
      <c r="P3" s="610"/>
    </row>
    <row r="4" spans="2:16" ht="15" customHeight="1">
      <c r="B4" s="608"/>
      <c r="C4" s="609"/>
      <c r="D4" s="609"/>
      <c r="E4" s="609"/>
      <c r="F4" s="609"/>
      <c r="G4" s="609"/>
      <c r="H4" s="609"/>
      <c r="I4" s="609"/>
      <c r="J4" s="609"/>
      <c r="K4" s="609"/>
      <c r="L4" s="609"/>
      <c r="M4" s="609"/>
      <c r="N4" s="609"/>
      <c r="O4" s="609"/>
      <c r="P4" s="610"/>
    </row>
    <row r="5" spans="2:16" ht="15" customHeight="1" thickBot="1">
      <c r="B5" s="611"/>
      <c r="C5" s="612"/>
      <c r="D5" s="612"/>
      <c r="E5" s="612"/>
      <c r="F5" s="612"/>
      <c r="G5" s="612"/>
      <c r="H5" s="612"/>
      <c r="I5" s="612"/>
      <c r="J5" s="612"/>
      <c r="K5" s="612"/>
      <c r="L5" s="612"/>
      <c r="M5" s="612"/>
      <c r="N5" s="612"/>
      <c r="O5" s="612"/>
      <c r="P5" s="613"/>
    </row>
    <row r="6" spans="2:16">
      <c r="B6" s="94" t="s">
        <v>265</v>
      </c>
      <c r="C6" s="95"/>
      <c r="D6" s="95"/>
      <c r="E6" s="95"/>
      <c r="F6" s="95"/>
      <c r="G6" s="95"/>
      <c r="H6" s="95"/>
      <c r="I6" s="95"/>
      <c r="J6" s="95"/>
      <c r="K6" s="95"/>
      <c r="L6" s="95"/>
      <c r="M6" s="95"/>
      <c r="N6" s="95"/>
      <c r="O6" s="95"/>
      <c r="P6" s="95"/>
    </row>
    <row r="7" spans="2:16" ht="15.75" thickBot="1"/>
    <row r="8" spans="2:16">
      <c r="B8" s="614"/>
      <c r="C8" s="615"/>
      <c r="D8" s="615"/>
      <c r="E8" s="615"/>
      <c r="F8" s="615"/>
      <c r="G8" s="615"/>
      <c r="H8" s="615"/>
      <c r="I8" s="615"/>
      <c r="J8" s="615"/>
      <c r="K8" s="615"/>
      <c r="L8" s="615"/>
      <c r="M8" s="615"/>
      <c r="N8" s="615"/>
      <c r="O8" s="615"/>
      <c r="P8" s="616"/>
    </row>
    <row r="9" spans="2:16" ht="15" customHeight="1">
      <c r="B9" s="617" t="s">
        <v>1</v>
      </c>
      <c r="C9" s="618"/>
      <c r="D9" s="618"/>
      <c r="E9" s="618"/>
      <c r="F9" s="618"/>
      <c r="G9" s="618"/>
      <c r="H9" s="618"/>
      <c r="I9" s="618"/>
      <c r="J9" s="618"/>
      <c r="K9" s="618"/>
      <c r="L9" s="618"/>
      <c r="M9" s="618"/>
      <c r="N9" s="618"/>
      <c r="O9" s="618"/>
      <c r="P9" s="619"/>
    </row>
    <row r="10" spans="2:16" ht="15.75" customHeight="1" thickBot="1">
      <c r="B10" s="620"/>
      <c r="C10" s="621"/>
      <c r="D10" s="621"/>
      <c r="E10" s="621"/>
      <c r="F10" s="621"/>
      <c r="G10" s="621"/>
      <c r="H10" s="621"/>
      <c r="I10" s="621"/>
      <c r="J10" s="621"/>
      <c r="K10" s="621"/>
      <c r="L10" s="621"/>
      <c r="M10" s="621"/>
      <c r="N10" s="621"/>
      <c r="O10" s="621"/>
      <c r="P10" s="622"/>
    </row>
    <row r="11" spans="2:16" ht="23.25">
      <c r="B11" s="623" t="s">
        <v>345</v>
      </c>
      <c r="C11" s="624"/>
      <c r="D11" s="624"/>
      <c r="E11" s="624"/>
      <c r="F11" s="624"/>
      <c r="G11" s="624"/>
      <c r="H11" s="624"/>
      <c r="I11" s="624"/>
      <c r="J11" s="624"/>
      <c r="K11" s="624"/>
      <c r="L11" s="624"/>
      <c r="M11" s="624"/>
      <c r="N11" s="624"/>
      <c r="O11" s="624"/>
      <c r="P11" s="624"/>
    </row>
    <row r="12" spans="2:16">
      <c r="B12" s="591" t="s">
        <v>14</v>
      </c>
      <c r="C12" s="592"/>
      <c r="D12" s="592"/>
      <c r="E12" s="592"/>
      <c r="F12" s="592"/>
      <c r="G12" s="592"/>
      <c r="H12" s="592"/>
      <c r="I12" s="592"/>
      <c r="J12" s="592"/>
      <c r="K12" s="592"/>
      <c r="L12" s="592"/>
      <c r="M12" s="592"/>
      <c r="N12" s="592"/>
      <c r="O12" s="592"/>
      <c r="P12" s="592"/>
    </row>
    <row r="13" spans="2:16">
      <c r="B13" s="591" t="s">
        <v>618</v>
      </c>
      <c r="C13" s="592"/>
      <c r="D13" s="592"/>
      <c r="E13" s="592"/>
      <c r="F13" s="592"/>
      <c r="G13" s="592"/>
      <c r="H13" s="592"/>
      <c r="I13" s="592"/>
      <c r="J13" s="592"/>
      <c r="K13" s="592"/>
      <c r="L13" s="592"/>
      <c r="M13" s="592"/>
      <c r="N13" s="592"/>
      <c r="O13" s="592"/>
      <c r="P13" s="592"/>
    </row>
    <row r="14" spans="2:16" ht="15.75" thickBot="1">
      <c r="B14" s="593" t="s">
        <v>2</v>
      </c>
      <c r="C14" s="594"/>
      <c r="D14" s="594"/>
      <c r="E14" s="594"/>
      <c r="F14" s="594"/>
      <c r="G14" s="594"/>
      <c r="H14" s="594"/>
      <c r="I14" s="594"/>
      <c r="J14" s="594"/>
      <c r="K14" s="594"/>
      <c r="L14" s="594"/>
      <c r="M14" s="594"/>
      <c r="N14" s="594"/>
      <c r="O14" s="594"/>
      <c r="P14" s="594"/>
    </row>
    <row r="15" spans="2:16" ht="15.75" thickBot="1">
      <c r="B15" s="604" t="s">
        <v>7</v>
      </c>
      <c r="C15" s="604"/>
      <c r="D15" s="604"/>
      <c r="E15" s="604"/>
      <c r="F15" s="604"/>
      <c r="G15" s="443">
        <v>2018</v>
      </c>
      <c r="H15" s="443">
        <v>2019</v>
      </c>
      <c r="I15" s="443">
        <v>2020</v>
      </c>
      <c r="J15" s="443">
        <v>2021</v>
      </c>
      <c r="K15" s="444">
        <v>2022</v>
      </c>
      <c r="L15" s="479">
        <f>G15</f>
        <v>2018</v>
      </c>
      <c r="M15" s="480">
        <f>L15+1</f>
        <v>2019</v>
      </c>
      <c r="N15" s="480">
        <f>M15+1</f>
        <v>2020</v>
      </c>
      <c r="O15" s="480">
        <f>N15+1</f>
        <v>2021</v>
      </c>
      <c r="P15" s="481">
        <f>O15+1</f>
        <v>2022</v>
      </c>
    </row>
    <row r="16" spans="2:16">
      <c r="B16" s="595" t="s">
        <v>8</v>
      </c>
      <c r="C16" s="596"/>
      <c r="D16" s="596"/>
      <c r="E16" s="596"/>
      <c r="F16" s="596"/>
      <c r="G16" s="445"/>
      <c r="H16" s="445"/>
      <c r="I16" s="445"/>
      <c r="J16" s="445"/>
      <c r="K16" s="445"/>
      <c r="L16" s="601" t="s">
        <v>24</v>
      </c>
      <c r="M16" s="602"/>
      <c r="N16" s="602"/>
      <c r="O16" s="602"/>
      <c r="P16" s="603"/>
    </row>
    <row r="17" spans="2:16" ht="15.75">
      <c r="B17" s="577" t="s">
        <v>152</v>
      </c>
      <c r="C17" s="577"/>
      <c r="D17" s="577"/>
      <c r="E17" s="577"/>
      <c r="F17" s="577"/>
      <c r="G17" s="141">
        <v>86703.551999999996</v>
      </c>
      <c r="H17" s="141">
        <v>152693.08499999999</v>
      </c>
      <c r="I17" s="141">
        <v>162276.38200000001</v>
      </c>
      <c r="J17" s="141">
        <v>296940.47100000002</v>
      </c>
      <c r="K17" s="141">
        <v>238352.476</v>
      </c>
      <c r="L17" s="344">
        <f t="shared" ref="L17:L25" si="0">G17/G$40</f>
        <v>7.3962446948246982E-2</v>
      </c>
      <c r="M17" s="345">
        <f t="shared" ref="M17:M25" si="1">H17/H$40</f>
        <v>0.11025064627458461</v>
      </c>
      <c r="N17" s="345">
        <f t="shared" ref="N17:N25" si="2">I17/I$40</f>
        <v>0.14773831392082382</v>
      </c>
      <c r="O17" s="345">
        <f t="shared" ref="O17:O25" si="3">J17/J$40</f>
        <v>0.21865174364820708</v>
      </c>
      <c r="P17" s="345">
        <f t="shared" ref="P17:P25" si="4">K17/K$40</f>
        <v>0.1413776943138253</v>
      </c>
    </row>
    <row r="18" spans="2:16" ht="15.75">
      <c r="B18" s="577" t="s">
        <v>347</v>
      </c>
      <c r="C18" s="577"/>
      <c r="D18" s="577"/>
      <c r="E18" s="577"/>
      <c r="F18" s="577"/>
      <c r="G18" s="141">
        <v>0</v>
      </c>
      <c r="H18" s="141">
        <v>1391.0139999999999</v>
      </c>
      <c r="I18" s="141">
        <v>1391.0139999999999</v>
      </c>
      <c r="J18" s="141">
        <v>1391.0139999999999</v>
      </c>
      <c r="K18" s="141">
        <v>991.43399999999997</v>
      </c>
      <c r="L18" s="341">
        <f t="shared" si="0"/>
        <v>0</v>
      </c>
      <c r="M18" s="339">
        <f t="shared" si="1"/>
        <v>1.0043689436034058E-3</v>
      </c>
      <c r="N18" s="339">
        <f t="shared" si="2"/>
        <v>1.2663953957283865E-3</v>
      </c>
      <c r="O18" s="339">
        <f t="shared" si="3"/>
        <v>1.0242714154618119E-3</v>
      </c>
      <c r="P18" s="339">
        <f t="shared" si="4"/>
        <v>5.8806459801295742E-4</v>
      </c>
    </row>
    <row r="19" spans="2:16" ht="15.75" hidden="1">
      <c r="B19" s="577" t="s">
        <v>153</v>
      </c>
      <c r="C19" s="577"/>
      <c r="D19" s="577"/>
      <c r="E19" s="577"/>
      <c r="F19" s="577"/>
      <c r="G19" s="141">
        <v>0</v>
      </c>
      <c r="H19" s="141">
        <v>0</v>
      </c>
      <c r="I19" s="141">
        <v>0</v>
      </c>
      <c r="J19" s="141">
        <v>0</v>
      </c>
      <c r="K19" s="141">
        <v>0</v>
      </c>
      <c r="L19" s="341">
        <f t="shared" si="0"/>
        <v>0</v>
      </c>
      <c r="M19" s="339">
        <f t="shared" si="1"/>
        <v>0</v>
      </c>
      <c r="N19" s="339">
        <f t="shared" si="2"/>
        <v>0</v>
      </c>
      <c r="O19" s="339">
        <f t="shared" si="3"/>
        <v>0</v>
      </c>
      <c r="P19" s="339">
        <f t="shared" si="4"/>
        <v>0</v>
      </c>
    </row>
    <row r="20" spans="2:16" ht="15.75">
      <c r="B20" s="577" t="s">
        <v>154</v>
      </c>
      <c r="C20" s="577"/>
      <c r="D20" s="577"/>
      <c r="E20" s="577"/>
      <c r="F20" s="577"/>
      <c r="G20" s="141">
        <v>433523.37300000002</v>
      </c>
      <c r="H20" s="141">
        <v>198848.50200000001</v>
      </c>
      <c r="I20" s="141">
        <v>208199.72</v>
      </c>
      <c r="J20" s="141">
        <v>247805.86600000001</v>
      </c>
      <c r="K20" s="141">
        <v>209616.443</v>
      </c>
      <c r="L20" s="342">
        <f t="shared" si="0"/>
        <v>0.36981702290971419</v>
      </c>
      <c r="M20" s="343">
        <f t="shared" si="1"/>
        <v>0.14357674321815578</v>
      </c>
      <c r="N20" s="343">
        <f t="shared" si="2"/>
        <v>0.18954745732245631</v>
      </c>
      <c r="O20" s="343">
        <f t="shared" si="3"/>
        <v>0.18247153883969544</v>
      </c>
      <c r="P20" s="343">
        <f t="shared" si="4"/>
        <v>0.12433304616313441</v>
      </c>
    </row>
    <row r="21" spans="2:16" ht="15.75">
      <c r="B21" s="577" t="s">
        <v>155</v>
      </c>
      <c r="C21" s="577"/>
      <c r="D21" s="577"/>
      <c r="E21" s="577"/>
      <c r="F21" s="577"/>
      <c r="G21" s="141">
        <v>299798.011</v>
      </c>
      <c r="H21" s="141">
        <v>259718.06400000001</v>
      </c>
      <c r="I21" s="141">
        <v>198800.114</v>
      </c>
      <c r="J21" s="141">
        <v>150193.245</v>
      </c>
      <c r="K21" s="141">
        <v>252997.149</v>
      </c>
      <c r="L21" s="342">
        <f t="shared" si="0"/>
        <v>0.25574263074917009</v>
      </c>
      <c r="M21" s="343">
        <f t="shared" si="1"/>
        <v>0.18752705405869513</v>
      </c>
      <c r="N21" s="343">
        <f t="shared" si="2"/>
        <v>0.18098994621181264</v>
      </c>
      <c r="O21" s="343">
        <f t="shared" si="3"/>
        <v>0.11059460770988121</v>
      </c>
      <c r="P21" s="343">
        <f t="shared" si="4"/>
        <v>0.15006411594227079</v>
      </c>
    </row>
    <row r="22" spans="2:16" ht="15.75">
      <c r="B22" s="577" t="s">
        <v>156</v>
      </c>
      <c r="C22" s="577"/>
      <c r="D22" s="577"/>
      <c r="E22" s="577"/>
      <c r="F22" s="577"/>
      <c r="G22" s="141">
        <v>11741.008</v>
      </c>
      <c r="H22" s="141">
        <v>0</v>
      </c>
      <c r="I22" s="141">
        <v>0</v>
      </c>
      <c r="J22" s="141">
        <v>0</v>
      </c>
      <c r="K22" s="141">
        <v>0</v>
      </c>
      <c r="L22" s="341">
        <f t="shared" si="0"/>
        <v>1.0015664425362222E-2</v>
      </c>
      <c r="M22" s="339">
        <f t="shared" si="1"/>
        <v>0</v>
      </c>
      <c r="N22" s="339">
        <f t="shared" si="2"/>
        <v>0</v>
      </c>
      <c r="O22" s="339">
        <f t="shared" si="3"/>
        <v>0</v>
      </c>
      <c r="P22" s="339">
        <f t="shared" si="4"/>
        <v>0</v>
      </c>
    </row>
    <row r="23" spans="2:16" ht="15.75">
      <c r="B23" s="577" t="s">
        <v>348</v>
      </c>
      <c r="C23" s="577"/>
      <c r="D23" s="577"/>
      <c r="E23" s="577"/>
      <c r="F23" s="577"/>
      <c r="G23" s="141">
        <v>0</v>
      </c>
      <c r="H23" s="141">
        <v>19924.287</v>
      </c>
      <c r="I23" s="141">
        <v>31649.767</v>
      </c>
      <c r="J23" s="141">
        <v>4951.7700000000004</v>
      </c>
      <c r="K23" s="141">
        <v>3926.2339999999999</v>
      </c>
      <c r="L23" s="341">
        <f t="shared" si="0"/>
        <v>0</v>
      </c>
      <c r="M23" s="339">
        <f t="shared" si="1"/>
        <v>1.4386149302768391E-2</v>
      </c>
      <c r="N23" s="339">
        <f t="shared" si="2"/>
        <v>2.8814317616268584E-2</v>
      </c>
      <c r="O23" s="339">
        <f t="shared" si="3"/>
        <v>3.6462296331606562E-3</v>
      </c>
      <c r="P23" s="339">
        <f t="shared" si="4"/>
        <v>2.3288279592134282E-3</v>
      </c>
    </row>
    <row r="24" spans="2:16" ht="15.75">
      <c r="B24" s="577" t="s">
        <v>353</v>
      </c>
      <c r="C24" s="577"/>
      <c r="D24" s="577"/>
      <c r="E24" s="577"/>
      <c r="F24" s="577"/>
      <c r="G24" s="141">
        <v>0</v>
      </c>
      <c r="H24" s="141">
        <v>0</v>
      </c>
      <c r="I24" s="141">
        <v>0</v>
      </c>
      <c r="J24" s="141">
        <v>7441.674</v>
      </c>
      <c r="K24" s="141">
        <v>0</v>
      </c>
      <c r="L24" s="341">
        <f t="shared" si="0"/>
        <v>0</v>
      </c>
      <c r="M24" s="339">
        <f t="shared" si="1"/>
        <v>0</v>
      </c>
      <c r="N24" s="339">
        <f t="shared" si="2"/>
        <v>0</v>
      </c>
      <c r="O24" s="339">
        <f t="shared" si="3"/>
        <v>5.4796673228201609E-3</v>
      </c>
      <c r="P24" s="339">
        <f t="shared" si="4"/>
        <v>0</v>
      </c>
    </row>
    <row r="25" spans="2:16">
      <c r="B25" s="581" t="s">
        <v>157</v>
      </c>
      <c r="C25" s="581"/>
      <c r="D25" s="581"/>
      <c r="E25" s="581"/>
      <c r="F25" s="581"/>
      <c r="G25" s="6">
        <f t="shared" ref="G25:I25" si="5">SUM(G17:G24)</f>
        <v>831765.94400000002</v>
      </c>
      <c r="H25" s="6">
        <f t="shared" si="5"/>
        <v>632574.95200000005</v>
      </c>
      <c r="I25" s="6">
        <f t="shared" si="5"/>
        <v>602316.99699999997</v>
      </c>
      <c r="J25" s="6">
        <f>SUM(J17:J24)</f>
        <v>708724.04</v>
      </c>
      <c r="K25" s="6">
        <f>SUM(K17:K24)</f>
        <v>705883.73600000003</v>
      </c>
      <c r="L25" s="81">
        <f t="shared" si="0"/>
        <v>0.70953776503249344</v>
      </c>
      <c r="M25" s="11">
        <f t="shared" si="1"/>
        <v>0.45674496179780733</v>
      </c>
      <c r="N25" s="11">
        <f t="shared" si="2"/>
        <v>0.54835643046708971</v>
      </c>
      <c r="O25" s="11">
        <f t="shared" si="3"/>
        <v>0.52186805856922636</v>
      </c>
      <c r="P25" s="11">
        <f t="shared" si="4"/>
        <v>0.41869174897645695</v>
      </c>
    </row>
    <row r="26" spans="2:16">
      <c r="B26" s="595" t="s">
        <v>9</v>
      </c>
      <c r="C26" s="596"/>
      <c r="D26" s="596"/>
      <c r="E26" s="596"/>
      <c r="F26" s="596"/>
      <c r="G26" s="445"/>
      <c r="H26" s="445"/>
      <c r="I26" s="445"/>
      <c r="J26" s="445"/>
      <c r="K26" s="447"/>
      <c r="L26" s="475"/>
      <c r="M26" s="475"/>
      <c r="N26" s="476"/>
      <c r="O26" s="475"/>
      <c r="P26" s="476"/>
    </row>
    <row r="27" spans="2:16" ht="15.75" hidden="1">
      <c r="B27" s="597" t="s">
        <v>153</v>
      </c>
      <c r="C27" s="598"/>
      <c r="D27" s="598"/>
      <c r="E27" s="598"/>
      <c r="F27" s="599"/>
      <c r="G27" s="141">
        <v>0</v>
      </c>
      <c r="H27" s="141">
        <v>0</v>
      </c>
      <c r="I27" s="141">
        <v>0</v>
      </c>
      <c r="J27" s="141"/>
      <c r="K27" s="141"/>
      <c r="L27" s="10">
        <f t="shared" ref="L27:P28" si="6">G27/G$40</f>
        <v>0</v>
      </c>
      <c r="M27" s="10">
        <f t="shared" si="6"/>
        <v>0</v>
      </c>
      <c r="N27" s="10">
        <f t="shared" si="6"/>
        <v>0</v>
      </c>
      <c r="O27" s="10">
        <f t="shared" si="6"/>
        <v>0</v>
      </c>
      <c r="P27" s="10">
        <f t="shared" si="6"/>
        <v>0</v>
      </c>
    </row>
    <row r="28" spans="2:16" ht="15.75">
      <c r="B28" s="577" t="s">
        <v>158</v>
      </c>
      <c r="C28" s="577"/>
      <c r="D28" s="577"/>
      <c r="E28" s="577"/>
      <c r="F28" s="577"/>
      <c r="G28" s="141">
        <v>290.34399999999999</v>
      </c>
      <c r="H28" s="141">
        <v>438797.69799999997</v>
      </c>
      <c r="I28" s="141">
        <v>150053.13699999999</v>
      </c>
      <c r="J28" s="141">
        <v>148201.04999999999</v>
      </c>
      <c r="K28" s="141">
        <v>722.02800000000002</v>
      </c>
      <c r="L28" s="343">
        <f t="shared" si="6"/>
        <v>2.4767788863761685E-4</v>
      </c>
      <c r="M28" s="343">
        <f t="shared" si="6"/>
        <v>0.31682986684236553</v>
      </c>
      <c r="N28" s="343">
        <f t="shared" si="6"/>
        <v>0.13661012887821458</v>
      </c>
      <c r="O28" s="343">
        <f t="shared" si="6"/>
        <v>0.10912765741856427</v>
      </c>
      <c r="P28" s="343">
        <f t="shared" si="6"/>
        <v>4.2826764623172056E-4</v>
      </c>
    </row>
    <row r="29" spans="2:16" ht="15.75">
      <c r="B29" s="577" t="s">
        <v>348</v>
      </c>
      <c r="C29" s="577"/>
      <c r="D29" s="577"/>
      <c r="E29" s="577"/>
      <c r="F29" s="577"/>
      <c r="G29" s="141">
        <v>0</v>
      </c>
      <c r="H29" s="141">
        <v>0</v>
      </c>
      <c r="I29" s="141">
        <v>0</v>
      </c>
      <c r="J29" s="141">
        <v>13939.894</v>
      </c>
      <c r="K29" s="141">
        <v>19325.995999999999</v>
      </c>
      <c r="L29" s="339">
        <f t="shared" ref="L29:L33" si="7">G29/G$40</f>
        <v>0</v>
      </c>
      <c r="M29" s="339">
        <f t="shared" ref="M29:M33" si="8">H29/H$40</f>
        <v>0</v>
      </c>
      <c r="N29" s="339">
        <f t="shared" ref="N29:N33" si="9">I29/I$40</f>
        <v>0</v>
      </c>
      <c r="O29" s="339">
        <f t="shared" ref="O29:O33" si="10">J29/J$40</f>
        <v>1.0264623475225713E-2</v>
      </c>
      <c r="P29" s="339">
        <f t="shared" ref="P29:P33" si="11">K29/K$40</f>
        <v>1.1463127216678087E-2</v>
      </c>
    </row>
    <row r="30" spans="2:16" ht="15.75">
      <c r="B30" s="577" t="s">
        <v>351</v>
      </c>
      <c r="C30" s="577"/>
      <c r="D30" s="577"/>
      <c r="E30" s="577"/>
      <c r="F30" s="577"/>
      <c r="G30" s="141">
        <v>0</v>
      </c>
      <c r="H30" s="141">
        <v>0</v>
      </c>
      <c r="I30" s="141">
        <v>454.02800000000002</v>
      </c>
      <c r="J30" s="141">
        <v>0</v>
      </c>
      <c r="K30" s="141">
        <v>4632.3559999999998</v>
      </c>
      <c r="L30" s="339">
        <f t="shared" si="7"/>
        <v>0</v>
      </c>
      <c r="M30" s="339">
        <f t="shared" si="8"/>
        <v>0</v>
      </c>
      <c r="N30" s="339">
        <f t="shared" si="9"/>
        <v>4.1335239525394272E-4</v>
      </c>
      <c r="O30" s="339">
        <f t="shared" si="10"/>
        <v>0</v>
      </c>
      <c r="P30" s="339">
        <f t="shared" si="11"/>
        <v>2.7476610334050589E-3</v>
      </c>
    </row>
    <row r="31" spans="2:16" ht="15.75">
      <c r="B31" s="577" t="s">
        <v>159</v>
      </c>
      <c r="C31" s="577"/>
      <c r="D31" s="577"/>
      <c r="E31" s="577"/>
      <c r="F31" s="577"/>
      <c r="G31" s="141">
        <v>267127.62900000002</v>
      </c>
      <c r="H31" s="141">
        <v>247329.84099999999</v>
      </c>
      <c r="I31" s="141">
        <v>204561.01</v>
      </c>
      <c r="J31" s="141">
        <v>279821.56900000002</v>
      </c>
      <c r="K31" s="141">
        <v>627117.48199999996</v>
      </c>
      <c r="L31" s="343">
        <f t="shared" si="7"/>
        <v>0.22787316819873199</v>
      </c>
      <c r="M31" s="343">
        <f t="shared" si="8"/>
        <v>0.17858225088084542</v>
      </c>
      <c r="N31" s="343">
        <f t="shared" si="9"/>
        <v>0.18623473323025394</v>
      </c>
      <c r="O31" s="343">
        <f t="shared" si="10"/>
        <v>0.20604626161661571</v>
      </c>
      <c r="P31" s="343">
        <f>K31/K$40</f>
        <v>0.37197190126546803</v>
      </c>
    </row>
    <row r="32" spans="2:16" ht="15.75">
      <c r="B32" s="577" t="s">
        <v>350</v>
      </c>
      <c r="C32" s="577"/>
      <c r="D32" s="577"/>
      <c r="E32" s="577"/>
      <c r="F32" s="577"/>
      <c r="G32" s="141">
        <v>0</v>
      </c>
      <c r="H32" s="141">
        <v>0</v>
      </c>
      <c r="I32" s="141">
        <v>29048.958999999999</v>
      </c>
      <c r="J32" s="141">
        <v>20286.03</v>
      </c>
      <c r="K32" s="141">
        <v>19806.728999999999</v>
      </c>
      <c r="L32" s="339">
        <f t="shared" si="7"/>
        <v>0</v>
      </c>
      <c r="M32" s="339">
        <f t="shared" si="8"/>
        <v>0</v>
      </c>
      <c r="N32" s="339">
        <f t="shared" si="9"/>
        <v>2.6446511629863303E-2</v>
      </c>
      <c r="O32" s="339">
        <f t="shared" si="10"/>
        <v>1.4937592764846925E-2</v>
      </c>
      <c r="P32" s="339">
        <f t="shared" si="11"/>
        <v>1.1748271823779077E-2</v>
      </c>
    </row>
    <row r="33" spans="2:17" ht="15.75">
      <c r="B33" s="577" t="s">
        <v>352</v>
      </c>
      <c r="C33" s="577"/>
      <c r="D33" s="577"/>
      <c r="E33" s="577"/>
      <c r="F33" s="577"/>
      <c r="G33" s="141">
        <v>0</v>
      </c>
      <c r="H33" s="141">
        <v>0</v>
      </c>
      <c r="I33" s="141">
        <v>1060.1890000000001</v>
      </c>
      <c r="J33" s="141">
        <v>1965.492</v>
      </c>
      <c r="K33" s="141">
        <v>46247.54</v>
      </c>
      <c r="L33" s="339">
        <f t="shared" si="7"/>
        <v>0</v>
      </c>
      <c r="M33" s="339">
        <f t="shared" si="8"/>
        <v>0</v>
      </c>
      <c r="N33" s="339">
        <f t="shared" si="9"/>
        <v>9.6520845095871249E-4</v>
      </c>
      <c r="O33" s="339">
        <f t="shared" si="10"/>
        <v>1.447287570735354E-3</v>
      </c>
      <c r="P33" s="339">
        <f t="shared" si="11"/>
        <v>2.7431519414492716E-2</v>
      </c>
    </row>
    <row r="34" spans="2:17" ht="15.75">
      <c r="B34" s="577" t="s">
        <v>160</v>
      </c>
      <c r="C34" s="577"/>
      <c r="D34" s="577"/>
      <c r="E34" s="577"/>
      <c r="F34" s="577"/>
      <c r="G34" s="141">
        <v>44399.169000000002</v>
      </c>
      <c r="H34" s="141">
        <v>3277.598</v>
      </c>
      <c r="I34" s="141">
        <v>8324.9940000000006</v>
      </c>
      <c r="J34" s="141">
        <v>58849.963000000003</v>
      </c>
      <c r="K34" s="141">
        <v>128590.32399999999</v>
      </c>
      <c r="L34" s="339">
        <f>G34/G$40</f>
        <v>3.7874701854299496E-2</v>
      </c>
      <c r="M34" s="339">
        <f>H34/H$40</f>
        <v>2.3665596757592917E-3</v>
      </c>
      <c r="N34" s="339">
        <f>I34/I$40</f>
        <v>7.5791717919923476E-3</v>
      </c>
      <c r="O34" s="339">
        <f>J34/J$40</f>
        <v>4.3334096494992334E-2</v>
      </c>
      <c r="P34" s="339">
        <f>K34/K$40</f>
        <v>7.6272769736982951E-2</v>
      </c>
    </row>
    <row r="35" spans="2:17" ht="15.75">
      <c r="B35" s="577" t="s">
        <v>349</v>
      </c>
      <c r="C35" s="577"/>
      <c r="D35" s="577"/>
      <c r="E35" s="577"/>
      <c r="F35" s="577"/>
      <c r="G35" s="141">
        <v>0</v>
      </c>
      <c r="H35" s="141">
        <v>46557.576999999997</v>
      </c>
      <c r="I35" s="141">
        <v>85170.241999999998</v>
      </c>
      <c r="J35" s="141">
        <v>114178.531</v>
      </c>
      <c r="K35" s="141">
        <v>127918.196</v>
      </c>
      <c r="L35" s="339">
        <f t="shared" ref="L35:L36" si="12">G35/G$40</f>
        <v>0</v>
      </c>
      <c r="M35" s="339">
        <f t="shared" ref="M35:M36" si="13">H35/H$40</f>
        <v>3.361647289547353E-2</v>
      </c>
      <c r="N35" s="339">
        <f t="shared" ref="N35:N36" si="14">I35/I$40</f>
        <v>7.7539983294109507E-2</v>
      </c>
      <c r="O35" s="339">
        <f t="shared" ref="O35:O36" si="15">J35/J$40</f>
        <v>8.4075218195302406E-2</v>
      </c>
      <c r="P35" s="339">
        <f t="shared" ref="P35:P36" si="16">K35/K$40</f>
        <v>7.5874100050313684E-2</v>
      </c>
    </row>
    <row r="36" spans="2:17" ht="15.75">
      <c r="B36" s="577" t="s">
        <v>347</v>
      </c>
      <c r="C36" s="577"/>
      <c r="D36" s="577"/>
      <c r="E36" s="577"/>
      <c r="F36" s="577"/>
      <c r="G36" s="141">
        <v>0</v>
      </c>
      <c r="H36" s="141">
        <v>8174.4589999999998</v>
      </c>
      <c r="I36" s="141">
        <v>6588.848</v>
      </c>
      <c r="J36" s="141">
        <v>5940.1310000000003</v>
      </c>
      <c r="K36" s="141">
        <v>5682.6409999999996</v>
      </c>
      <c r="L36" s="339">
        <f t="shared" si="12"/>
        <v>0</v>
      </c>
      <c r="M36" s="339">
        <f t="shared" si="13"/>
        <v>5.9022933991745253E-3</v>
      </c>
      <c r="N36" s="339">
        <f t="shared" si="14"/>
        <v>5.9985641915567978E-3</v>
      </c>
      <c r="O36" s="339">
        <f t="shared" si="15"/>
        <v>4.374008016740729E-3</v>
      </c>
      <c r="P36" s="339">
        <f t="shared" si="16"/>
        <v>3.3706328361917687E-3</v>
      </c>
    </row>
    <row r="37" spans="2:17" ht="15.75">
      <c r="B37" s="577" t="s">
        <v>161</v>
      </c>
      <c r="C37" s="577"/>
      <c r="D37" s="577"/>
      <c r="E37" s="577"/>
      <c r="F37" s="577"/>
      <c r="G37" s="141">
        <v>28681.429</v>
      </c>
      <c r="H37" s="141">
        <v>8251.0490000000009</v>
      </c>
      <c r="I37" s="141">
        <v>10825.779</v>
      </c>
      <c r="J37" s="141">
        <v>6145.4520000000002</v>
      </c>
      <c r="K37" s="141">
        <v>0</v>
      </c>
      <c r="L37" s="10">
        <f t="shared" ref="L37:M38" si="17">G37/G$40</f>
        <v>2.4466687025837337E-2</v>
      </c>
      <c r="M37" s="10">
        <f t="shared" si="17"/>
        <v>5.9575945085742765E-3</v>
      </c>
      <c r="N37" s="10">
        <f t="shared" ref="N37:P39" si="18">I37/I$40</f>
        <v>9.855915670707165E-3</v>
      </c>
      <c r="O37" s="10">
        <f t="shared" si="18"/>
        <v>4.5251958777500611E-3</v>
      </c>
      <c r="P37" s="10">
        <f t="shared" si="18"/>
        <v>0</v>
      </c>
    </row>
    <row r="38" spans="2:17" ht="15.75">
      <c r="B38" s="581" t="s">
        <v>162</v>
      </c>
      <c r="C38" s="581"/>
      <c r="D38" s="581"/>
      <c r="E38" s="581"/>
      <c r="F38" s="581"/>
      <c r="G38" s="6">
        <f>SUM(G27:G37)</f>
        <v>340498.571</v>
      </c>
      <c r="H38" s="6">
        <f>SUM(H27:H37)</f>
        <v>752388.22200000007</v>
      </c>
      <c r="I38" s="6">
        <f>SUM(I27:I37)</f>
        <v>496087.18599999999</v>
      </c>
      <c r="J38" s="141">
        <f>SUM(J27:J37)</f>
        <v>649328.1120000002</v>
      </c>
      <c r="K38" s="141">
        <f>SUM(K27:K37)</f>
        <v>980043.29200000002</v>
      </c>
      <c r="L38" s="11">
        <f t="shared" si="17"/>
        <v>0.29046223496750645</v>
      </c>
      <c r="M38" s="11">
        <f t="shared" si="17"/>
        <v>0.54325503820219267</v>
      </c>
      <c r="N38" s="11">
        <f t="shared" si="18"/>
        <v>0.45164356953291029</v>
      </c>
      <c r="O38" s="11">
        <f t="shared" si="18"/>
        <v>0.47813194143077364</v>
      </c>
      <c r="P38" s="11">
        <f t="shared" si="18"/>
        <v>0.58130825102354311</v>
      </c>
    </row>
    <row r="39" spans="2:17">
      <c r="B39" s="2"/>
      <c r="C39" s="2"/>
      <c r="D39" s="2"/>
      <c r="E39" s="2"/>
      <c r="F39" s="2"/>
      <c r="J39" s="20"/>
      <c r="K39" s="520"/>
      <c r="P39" s="1">
        <f t="shared" si="18"/>
        <v>0</v>
      </c>
    </row>
    <row r="40" spans="2:17">
      <c r="B40" s="582" t="s">
        <v>4</v>
      </c>
      <c r="C40" s="582"/>
      <c r="D40" s="582"/>
      <c r="E40" s="582"/>
      <c r="F40" s="582"/>
      <c r="G40" s="448">
        <f t="shared" ref="G40:K40" si="19">G25+G38</f>
        <v>1172264.5150000001</v>
      </c>
      <c r="H40" s="448">
        <f t="shared" si="19"/>
        <v>1384963.1740000001</v>
      </c>
      <c r="I40" s="448">
        <f t="shared" si="19"/>
        <v>1098404.183</v>
      </c>
      <c r="J40" s="448">
        <f t="shared" si="19"/>
        <v>1358052.1520000002</v>
      </c>
      <c r="K40" s="448">
        <f t="shared" si="19"/>
        <v>1685927.0279999999</v>
      </c>
    </row>
    <row r="41" spans="2:17">
      <c r="B41" s="2"/>
    </row>
    <row r="42" spans="2:17">
      <c r="B42" s="595" t="s">
        <v>10</v>
      </c>
      <c r="C42" s="596"/>
      <c r="D42" s="596"/>
      <c r="E42" s="596"/>
      <c r="F42" s="596"/>
      <c r="G42" s="445"/>
      <c r="H42" s="445"/>
      <c r="I42" s="445"/>
      <c r="J42" s="445"/>
      <c r="K42" s="447"/>
      <c r="L42" s="478"/>
      <c r="M42" s="478"/>
      <c r="N42" s="478"/>
      <c r="O42" s="478"/>
      <c r="P42" s="478"/>
    </row>
    <row r="43" spans="2:17" ht="15.75">
      <c r="B43" s="577" t="s">
        <v>163</v>
      </c>
      <c r="C43" s="577"/>
      <c r="D43" s="577"/>
      <c r="E43" s="577"/>
      <c r="F43" s="577"/>
      <c r="G43" s="141">
        <v>0</v>
      </c>
      <c r="H43" s="141">
        <v>0</v>
      </c>
      <c r="I43" s="141">
        <v>569.5</v>
      </c>
      <c r="J43" s="141">
        <v>603.33299999999997</v>
      </c>
      <c r="K43" s="141">
        <v>33888.843999999997</v>
      </c>
      <c r="L43" s="341">
        <f t="shared" ref="L43:P44" si="20">G43/G$65</f>
        <v>0</v>
      </c>
      <c r="M43" s="339">
        <f t="shared" si="20"/>
        <v>0</v>
      </c>
      <c r="N43" s="339">
        <f t="shared" si="20"/>
        <v>9.2572099580634894E-4</v>
      </c>
      <c r="O43" s="339">
        <f t="shared" si="20"/>
        <v>7.1029544493997874E-4</v>
      </c>
      <c r="P43" s="339">
        <f t="shared" si="20"/>
        <v>2.800043588639237E-2</v>
      </c>
    </row>
    <row r="44" spans="2:17" ht="15.75">
      <c r="B44" s="577" t="s">
        <v>354</v>
      </c>
      <c r="C44" s="577"/>
      <c r="D44" s="577"/>
      <c r="E44" s="577"/>
      <c r="F44" s="577"/>
      <c r="G44" s="141">
        <v>0</v>
      </c>
      <c r="H44" s="141">
        <v>0</v>
      </c>
      <c r="I44" s="141">
        <v>0</v>
      </c>
      <c r="J44" s="141">
        <v>337.52199999999999</v>
      </c>
      <c r="K44" s="141">
        <v>515.98299999999995</v>
      </c>
      <c r="L44" s="341">
        <f t="shared" si="20"/>
        <v>0</v>
      </c>
      <c r="M44" s="339">
        <f t="shared" si="20"/>
        <v>0</v>
      </c>
      <c r="N44" s="339">
        <f t="shared" si="20"/>
        <v>0</v>
      </c>
      <c r="O44" s="339">
        <f t="shared" si="20"/>
        <v>3.9735989771325542E-4</v>
      </c>
      <c r="P44" s="339">
        <f t="shared" si="20"/>
        <v>4.2632758172478217E-4</v>
      </c>
    </row>
    <row r="45" spans="2:17" ht="15.75">
      <c r="B45" s="577" t="s">
        <v>164</v>
      </c>
      <c r="C45" s="577"/>
      <c r="D45" s="577"/>
      <c r="E45" s="577"/>
      <c r="F45" s="577"/>
      <c r="G45" s="141">
        <v>319294.99800000002</v>
      </c>
      <c r="H45" s="141">
        <v>488957.94799999997</v>
      </c>
      <c r="I45" s="141">
        <v>315079.62199999997</v>
      </c>
      <c r="J45" s="141">
        <v>329642.31300000002</v>
      </c>
      <c r="K45" s="141">
        <v>428650.09</v>
      </c>
      <c r="L45" s="342">
        <f t="shared" ref="L45:P49" si="21">G45/G$65</f>
        <v>0.34710824014073038</v>
      </c>
      <c r="M45" s="343">
        <f t="shared" si="21"/>
        <v>0.48414435485545854</v>
      </c>
      <c r="N45" s="343">
        <f t="shared" si="21"/>
        <v>0.51216123167011052</v>
      </c>
      <c r="O45" s="343">
        <f t="shared" si="21"/>
        <v>0.38808325316761849</v>
      </c>
      <c r="P45" s="343">
        <f t="shared" si="21"/>
        <v>0.35416933557076546</v>
      </c>
    </row>
    <row r="46" spans="2:17" ht="15.75">
      <c r="B46" s="577" t="s">
        <v>165</v>
      </c>
      <c r="C46" s="577"/>
      <c r="D46" s="577"/>
      <c r="E46" s="577"/>
      <c r="F46" s="577"/>
      <c r="G46" s="141">
        <v>0</v>
      </c>
      <c r="H46" s="141">
        <v>0</v>
      </c>
      <c r="I46" s="141">
        <v>0</v>
      </c>
      <c r="J46" s="141">
        <v>0</v>
      </c>
      <c r="K46" s="141">
        <v>0</v>
      </c>
      <c r="L46" s="341">
        <f t="shared" si="21"/>
        <v>0</v>
      </c>
      <c r="M46" s="339">
        <f t="shared" si="21"/>
        <v>0</v>
      </c>
      <c r="N46" s="339">
        <f t="shared" si="21"/>
        <v>0</v>
      </c>
      <c r="O46" s="339">
        <f t="shared" si="21"/>
        <v>0</v>
      </c>
      <c r="P46" s="339">
        <f t="shared" si="21"/>
        <v>0</v>
      </c>
      <c r="Q46" s="20"/>
    </row>
    <row r="47" spans="2:17" ht="15.75">
      <c r="B47" s="577" t="s">
        <v>341</v>
      </c>
      <c r="C47" s="577"/>
      <c r="D47" s="577"/>
      <c r="E47" s="577"/>
      <c r="F47" s="577"/>
      <c r="G47" s="141">
        <v>56969.667000000001</v>
      </c>
      <c r="H47" s="141">
        <v>45345.163999999997</v>
      </c>
      <c r="I47" s="141">
        <v>40906.656000000003</v>
      </c>
      <c r="J47" s="141">
        <v>10751.115</v>
      </c>
      <c r="K47" s="141">
        <v>10509.978999999999</v>
      </c>
      <c r="L47" s="341">
        <f t="shared" si="21"/>
        <v>6.1932197427575865E-2</v>
      </c>
      <c r="M47" s="339">
        <f t="shared" si="21"/>
        <v>4.4898759209033169E-2</v>
      </c>
      <c r="N47" s="339">
        <f t="shared" si="21"/>
        <v>6.6493679240435047E-2</v>
      </c>
      <c r="O47" s="339">
        <f t="shared" si="21"/>
        <v>1.2657136295422063E-2</v>
      </c>
      <c r="P47" s="339">
        <f t="shared" si="21"/>
        <v>8.6838014644828321E-3</v>
      </c>
      <c r="Q47" s="20"/>
    </row>
    <row r="48" spans="2:17" ht="15.75">
      <c r="B48" s="577" t="s">
        <v>355</v>
      </c>
      <c r="C48" s="577"/>
      <c r="D48" s="577"/>
      <c r="E48" s="577"/>
      <c r="F48" s="577"/>
      <c r="G48" s="141">
        <v>0</v>
      </c>
      <c r="H48" s="141">
        <v>0</v>
      </c>
      <c r="I48" s="141">
        <v>0</v>
      </c>
      <c r="J48" s="141">
        <v>0</v>
      </c>
      <c r="K48" s="141">
        <v>3546.0650000000001</v>
      </c>
      <c r="L48" s="341">
        <f t="shared" si="21"/>
        <v>0</v>
      </c>
      <c r="M48" s="339">
        <f t="shared" ref="M48:M50" si="22">H48/H$65</f>
        <v>0</v>
      </c>
      <c r="N48" s="339">
        <f t="shared" ref="N48:N50" si="23">I48/I$65</f>
        <v>0</v>
      </c>
      <c r="O48" s="339">
        <f t="shared" ref="O48:O50" si="24">J48/J$65</f>
        <v>0</v>
      </c>
      <c r="P48" s="339">
        <f t="shared" ref="P48:P50" si="25">K48/K$65</f>
        <v>2.9299130321907697E-3</v>
      </c>
      <c r="Q48" s="20"/>
    </row>
    <row r="49" spans="2:17" ht="15.75">
      <c r="B49" s="577" t="s">
        <v>356</v>
      </c>
      <c r="C49" s="577"/>
      <c r="D49" s="577"/>
      <c r="E49" s="577"/>
      <c r="F49" s="577"/>
      <c r="G49" s="141">
        <v>0</v>
      </c>
      <c r="H49" s="141">
        <v>0</v>
      </c>
      <c r="I49" s="141">
        <v>0</v>
      </c>
      <c r="J49" s="141">
        <v>5685.723</v>
      </c>
      <c r="K49" s="141">
        <v>3619.2249999999999</v>
      </c>
      <c r="L49" s="341">
        <f t="shared" si="21"/>
        <v>0</v>
      </c>
      <c r="M49" s="339">
        <f t="shared" si="22"/>
        <v>0</v>
      </c>
      <c r="N49" s="339">
        <f t="shared" si="23"/>
        <v>0</v>
      </c>
      <c r="O49" s="339">
        <f t="shared" si="24"/>
        <v>6.6937216232005724E-3</v>
      </c>
      <c r="P49" s="339">
        <f t="shared" si="25"/>
        <v>2.9903610040793492E-3</v>
      </c>
      <c r="Q49" s="20"/>
    </row>
    <row r="50" spans="2:17" ht="15.75">
      <c r="B50" s="577" t="s">
        <v>166</v>
      </c>
      <c r="C50" s="577"/>
      <c r="D50" s="577"/>
      <c r="E50" s="577"/>
      <c r="F50" s="577"/>
      <c r="G50" s="141">
        <v>0</v>
      </c>
      <c r="H50" s="141">
        <v>18606.124</v>
      </c>
      <c r="I50" s="141">
        <v>33700.379999999997</v>
      </c>
      <c r="J50" s="141">
        <v>0</v>
      </c>
      <c r="K50" s="141">
        <v>13539.368</v>
      </c>
      <c r="L50" s="82">
        <f t="shared" ref="L50:P52" si="26">G50/G$65</f>
        <v>0</v>
      </c>
      <c r="M50" s="339">
        <f t="shared" si="22"/>
        <v>1.8422954238061926E-2</v>
      </c>
      <c r="N50" s="339">
        <f t="shared" si="23"/>
        <v>5.4779893472611696E-2</v>
      </c>
      <c r="O50" s="339">
        <f t="shared" si="24"/>
        <v>0</v>
      </c>
      <c r="P50" s="339">
        <f t="shared" si="25"/>
        <v>1.1186814328227677E-2</v>
      </c>
    </row>
    <row r="51" spans="2:17" ht="15.75">
      <c r="B51" s="577" t="s">
        <v>167</v>
      </c>
      <c r="C51" s="577"/>
      <c r="D51" s="577"/>
      <c r="E51" s="577"/>
      <c r="F51" s="577"/>
      <c r="G51" s="141">
        <v>0</v>
      </c>
      <c r="H51" s="141">
        <v>0</v>
      </c>
      <c r="I51" s="141">
        <v>0</v>
      </c>
      <c r="J51" s="141">
        <v>0</v>
      </c>
      <c r="K51" s="141">
        <v>0</v>
      </c>
      <c r="L51" s="82">
        <f t="shared" si="26"/>
        <v>0</v>
      </c>
      <c r="M51" s="10">
        <f t="shared" si="26"/>
        <v>0</v>
      </c>
      <c r="N51" s="10">
        <f t="shared" si="26"/>
        <v>0</v>
      </c>
      <c r="O51" s="10">
        <f t="shared" si="26"/>
        <v>0</v>
      </c>
      <c r="P51" s="10">
        <f t="shared" si="26"/>
        <v>0</v>
      </c>
    </row>
    <row r="52" spans="2:17">
      <c r="B52" s="581" t="s">
        <v>207</v>
      </c>
      <c r="C52" s="581"/>
      <c r="D52" s="581"/>
      <c r="E52" s="581"/>
      <c r="F52" s="581"/>
      <c r="G52" s="6">
        <f>SUM(G43:G51)</f>
        <v>376264.66500000004</v>
      </c>
      <c r="H52" s="6">
        <f t="shared" ref="H52:K52" si="27">SUM(H43:H51)</f>
        <v>552909.23599999992</v>
      </c>
      <c r="I52" s="6">
        <f t="shared" si="27"/>
        <v>390256.158</v>
      </c>
      <c r="J52" s="6">
        <f t="shared" si="27"/>
        <v>347020.00599999999</v>
      </c>
      <c r="K52" s="6">
        <f t="shared" si="27"/>
        <v>494269.554</v>
      </c>
      <c r="L52" s="81">
        <f t="shared" si="26"/>
        <v>0.40904043756830627</v>
      </c>
      <c r="M52" s="11">
        <f t="shared" si="26"/>
        <v>0.54746606830255351</v>
      </c>
      <c r="N52" s="11">
        <f t="shared" si="26"/>
        <v>0.6343605253789637</v>
      </c>
      <c r="O52" s="11">
        <f t="shared" si="26"/>
        <v>0.40854176642889434</v>
      </c>
      <c r="P52" s="11">
        <f t="shared" si="26"/>
        <v>0.40838698886786323</v>
      </c>
    </row>
    <row r="53" spans="2:17">
      <c r="B53" s="595" t="s">
        <v>11</v>
      </c>
      <c r="C53" s="596"/>
      <c r="D53" s="596"/>
      <c r="E53" s="596"/>
      <c r="F53" s="596"/>
      <c r="G53" s="445"/>
      <c r="H53" s="445"/>
      <c r="I53" s="445"/>
      <c r="J53" s="445"/>
      <c r="K53" s="447"/>
      <c r="L53" s="442"/>
      <c r="M53" s="442"/>
      <c r="N53" s="442"/>
      <c r="O53" s="442"/>
      <c r="P53" s="446"/>
    </row>
    <row r="54" spans="2:17" ht="15.75">
      <c r="B54" s="577" t="s">
        <v>163</v>
      </c>
      <c r="C54" s="577"/>
      <c r="D54" s="577"/>
      <c r="E54" s="577"/>
      <c r="F54" s="577"/>
      <c r="G54" s="141">
        <v>0</v>
      </c>
      <c r="H54" s="141">
        <v>0</v>
      </c>
      <c r="I54" s="141">
        <v>200000</v>
      </c>
      <c r="J54" s="141">
        <v>200000</v>
      </c>
      <c r="K54" s="141">
        <v>166666.66699999999</v>
      </c>
      <c r="L54" s="341">
        <f>G54/G$65</f>
        <v>0</v>
      </c>
      <c r="M54" s="339">
        <f>H54/H$65</f>
        <v>0</v>
      </c>
      <c r="N54" s="343">
        <f>I54/I$65</f>
        <v>0.32509955954568881</v>
      </c>
      <c r="O54" s="343">
        <f>J54/J$65</f>
        <v>0.2354571836581055</v>
      </c>
      <c r="P54" s="343">
        <f>K54/K$65</f>
        <v>0.13770724441743151</v>
      </c>
    </row>
    <row r="55" spans="2:17" ht="15.75">
      <c r="B55" s="577" t="s">
        <v>354</v>
      </c>
      <c r="C55" s="577"/>
      <c r="D55" s="577"/>
      <c r="E55" s="577"/>
      <c r="F55" s="577"/>
      <c r="G55" s="141">
        <v>0</v>
      </c>
      <c r="H55" s="141">
        <v>0</v>
      </c>
      <c r="I55" s="141">
        <v>0</v>
      </c>
      <c r="J55" s="141">
        <v>249227.96</v>
      </c>
      <c r="K55" s="141">
        <v>256451.04800000001</v>
      </c>
      <c r="L55" s="341">
        <f t="shared" ref="L55:L61" si="28">G55/G$65</f>
        <v>0</v>
      </c>
      <c r="M55" s="339">
        <f t="shared" ref="M55:M61" si="29">H55/H$65</f>
        <v>0</v>
      </c>
      <c r="N55" s="339">
        <f t="shared" ref="N55:N61" si="30">I55/I$65</f>
        <v>0</v>
      </c>
      <c r="O55" s="343">
        <f t="shared" ref="O55:O61" si="31">J55/J$65</f>
        <v>0.29341256775227481</v>
      </c>
      <c r="P55" s="343">
        <f t="shared" ref="P55:P61" si="32">K55/K$65</f>
        <v>0.21189100246447279</v>
      </c>
    </row>
    <row r="56" spans="2:17" ht="15.75">
      <c r="B56" s="577" t="s">
        <v>357</v>
      </c>
      <c r="C56" s="577"/>
      <c r="D56" s="577"/>
      <c r="E56" s="577"/>
      <c r="F56" s="577"/>
      <c r="G56" s="141">
        <v>0</v>
      </c>
      <c r="H56" s="141">
        <v>0</v>
      </c>
      <c r="I56" s="141">
        <v>0</v>
      </c>
      <c r="J56" s="141">
        <v>11844.406999999999</v>
      </c>
      <c r="K56" s="141">
        <v>0</v>
      </c>
      <c r="L56" s="341">
        <f t="shared" si="28"/>
        <v>0</v>
      </c>
      <c r="M56" s="339">
        <f t="shared" si="29"/>
        <v>0</v>
      </c>
      <c r="N56" s="339">
        <f t="shared" si="30"/>
        <v>0</v>
      </c>
      <c r="O56" s="339">
        <f t="shared" si="31"/>
        <v>1.3944253571601751E-2</v>
      </c>
      <c r="P56" s="339">
        <f t="shared" si="32"/>
        <v>0</v>
      </c>
    </row>
    <row r="57" spans="2:17" ht="15.75">
      <c r="B57" s="577" t="s">
        <v>342</v>
      </c>
      <c r="C57" s="577"/>
      <c r="D57" s="577"/>
      <c r="E57" s="577"/>
      <c r="F57" s="577"/>
      <c r="G57" s="141">
        <v>467123.87099999998</v>
      </c>
      <c r="H57" s="141">
        <v>427391.28499999997</v>
      </c>
      <c r="I57" s="141">
        <v>0</v>
      </c>
      <c r="J57" s="141">
        <v>15140.23</v>
      </c>
      <c r="K57" s="141">
        <v>12809.362999999999</v>
      </c>
      <c r="L57" s="342">
        <f t="shared" si="28"/>
        <v>0.50781423387827562</v>
      </c>
      <c r="M57" s="339">
        <f t="shared" si="29"/>
        <v>0.42318379074016077</v>
      </c>
      <c r="N57" s="339">
        <f t="shared" si="30"/>
        <v>0</v>
      </c>
      <c r="O57" s="339">
        <f t="shared" si="31"/>
        <v>1.7824379578679793E-2</v>
      </c>
      <c r="P57" s="339">
        <f t="shared" si="32"/>
        <v>1.0583652467668318E-2</v>
      </c>
    </row>
    <row r="58" spans="2:17" ht="15.75">
      <c r="B58" s="577" t="s">
        <v>346</v>
      </c>
      <c r="C58" s="577"/>
      <c r="D58" s="577"/>
      <c r="E58" s="577"/>
      <c r="F58" s="577"/>
      <c r="G58" s="141">
        <v>71825.252999999997</v>
      </c>
      <c r="H58" s="141">
        <v>21604.525000000001</v>
      </c>
      <c r="I58" s="141">
        <v>14061.09</v>
      </c>
      <c r="J58" s="141">
        <v>9752.0149999999994</v>
      </c>
      <c r="K58" s="141">
        <v>11434.44</v>
      </c>
      <c r="L58" s="341">
        <f t="shared" si="28"/>
        <v>7.8081828160968286E-2</v>
      </c>
      <c r="M58" s="339">
        <f t="shared" si="29"/>
        <v>2.1391837193499564E-2</v>
      </c>
      <c r="N58" s="339">
        <f t="shared" si="30"/>
        <v>2.2856270828661446E-2</v>
      </c>
      <c r="O58" s="339">
        <f t="shared" si="31"/>
        <v>1.1480909934457998E-2</v>
      </c>
      <c r="P58" s="339">
        <f t="shared" si="32"/>
        <v>9.4476313242434721E-3</v>
      </c>
    </row>
    <row r="59" spans="2:17" ht="15.75">
      <c r="B59" s="577" t="s">
        <v>168</v>
      </c>
      <c r="C59" s="577"/>
      <c r="D59" s="577"/>
      <c r="E59" s="577"/>
      <c r="F59" s="577"/>
      <c r="G59" s="141">
        <v>4257.7700000000004</v>
      </c>
      <c r="H59" s="141">
        <v>8037.4290000000001</v>
      </c>
      <c r="I59" s="141">
        <v>9804.0560000000005</v>
      </c>
      <c r="J59" s="141">
        <v>14375.277</v>
      </c>
      <c r="K59" s="141">
        <v>186284.93900000001</v>
      </c>
      <c r="L59" s="342">
        <f t="shared" si="28"/>
        <v>4.628657075373281E-3</v>
      </c>
      <c r="M59" s="343">
        <f t="shared" si="29"/>
        <v>7.9583037637861523E-3</v>
      </c>
      <c r="N59" s="343">
        <f t="shared" si="30"/>
        <v>1.5936471436806338E-2</v>
      </c>
      <c r="O59" s="343">
        <f t="shared" si="31"/>
        <v>1.6923811183625698E-2</v>
      </c>
      <c r="P59" s="343">
        <f t="shared" si="32"/>
        <v>0.1539167134491225</v>
      </c>
    </row>
    <row r="60" spans="2:17" ht="15.75">
      <c r="B60" s="577" t="s">
        <v>355</v>
      </c>
      <c r="C60" s="577"/>
      <c r="D60" s="577"/>
      <c r="E60" s="577"/>
      <c r="F60" s="577"/>
      <c r="G60" s="141">
        <v>0</v>
      </c>
      <c r="H60" s="141">
        <v>0</v>
      </c>
      <c r="I60" s="141">
        <v>0</v>
      </c>
      <c r="J60" s="141">
        <v>2051.4369999999999</v>
      </c>
      <c r="K60" s="141">
        <v>43223.197999999997</v>
      </c>
      <c r="L60" s="341">
        <f t="shared" si="28"/>
        <v>0</v>
      </c>
      <c r="M60" s="339">
        <f t="shared" si="29"/>
        <v>0</v>
      </c>
      <c r="N60" s="339">
        <f t="shared" si="30"/>
        <v>0</v>
      </c>
      <c r="O60" s="339">
        <f t="shared" si="31"/>
        <v>2.4151278923601645E-3</v>
      </c>
      <c r="P60" s="339">
        <f t="shared" si="32"/>
        <v>3.5712884877508448E-2</v>
      </c>
    </row>
    <row r="61" spans="2:17" ht="15.75">
      <c r="B61" s="577" t="s">
        <v>358</v>
      </c>
      <c r="C61" s="577"/>
      <c r="D61" s="577"/>
      <c r="E61" s="577"/>
      <c r="F61" s="577"/>
      <c r="G61" s="141">
        <v>0</v>
      </c>
      <c r="H61" s="141">
        <v>0</v>
      </c>
      <c r="I61" s="141">
        <v>0</v>
      </c>
      <c r="J61" s="141">
        <v>0</v>
      </c>
      <c r="K61" s="141">
        <v>39157.807000000001</v>
      </c>
      <c r="L61" s="341">
        <f t="shared" si="28"/>
        <v>0</v>
      </c>
      <c r="M61" s="339">
        <f t="shared" si="29"/>
        <v>0</v>
      </c>
      <c r="N61" s="339">
        <f t="shared" si="30"/>
        <v>0</v>
      </c>
      <c r="O61" s="339">
        <f t="shared" si="31"/>
        <v>0</v>
      </c>
      <c r="P61" s="339">
        <f t="shared" si="32"/>
        <v>3.2353882131689903E-2</v>
      </c>
    </row>
    <row r="62" spans="2:17" ht="15.75">
      <c r="B62" s="577" t="s">
        <v>167</v>
      </c>
      <c r="C62" s="577"/>
      <c r="D62" s="577"/>
      <c r="E62" s="577"/>
      <c r="F62" s="577"/>
      <c r="G62" s="141">
        <v>400</v>
      </c>
      <c r="H62" s="141">
        <v>0</v>
      </c>
      <c r="I62" s="141">
        <v>1074.854</v>
      </c>
      <c r="J62" s="141">
        <v>0</v>
      </c>
      <c r="K62" s="141">
        <v>0</v>
      </c>
      <c r="L62" s="82">
        <f t="shared" ref="L62:P63" si="33">G62/G$65</f>
        <v>4.3484331707661808E-4</v>
      </c>
      <c r="M62" s="10">
        <f t="shared" si="33"/>
        <v>0</v>
      </c>
      <c r="N62" s="10">
        <f t="shared" si="33"/>
        <v>1.7471728098796091E-3</v>
      </c>
      <c r="O62" s="10">
        <f t="shared" si="33"/>
        <v>0</v>
      </c>
      <c r="P62" s="10">
        <f t="shared" si="33"/>
        <v>0</v>
      </c>
    </row>
    <row r="63" spans="2:17">
      <c r="B63" s="581" t="s">
        <v>208</v>
      </c>
      <c r="C63" s="581"/>
      <c r="D63" s="581"/>
      <c r="E63" s="581"/>
      <c r="F63" s="581"/>
      <c r="G63" s="6">
        <f t="shared" ref="G63:J63" si="34">SUM(G54:G62)</f>
        <v>543606.89399999997</v>
      </c>
      <c r="H63" s="6">
        <f t="shared" si="34"/>
        <v>457033.239</v>
      </c>
      <c r="I63" s="6">
        <f t="shared" si="34"/>
        <v>224940</v>
      </c>
      <c r="J63" s="6">
        <f t="shared" si="34"/>
        <v>502391.32599999994</v>
      </c>
      <c r="K63" s="6">
        <f>SUM(K54:K62)</f>
        <v>716027.46199999994</v>
      </c>
      <c r="L63" s="11">
        <f t="shared" si="33"/>
        <v>0.59095956243169379</v>
      </c>
      <c r="M63" s="11">
        <f t="shared" si="33"/>
        <v>0.45253393169744649</v>
      </c>
      <c r="N63" s="11">
        <f t="shared" si="33"/>
        <v>0.36563947462103619</v>
      </c>
      <c r="O63" s="11">
        <f t="shared" si="33"/>
        <v>0.59145823357110572</v>
      </c>
      <c r="P63" s="11">
        <f t="shared" si="33"/>
        <v>0.59161301113213682</v>
      </c>
    </row>
    <row r="64" spans="2:17">
      <c r="B64" s="2"/>
      <c r="C64" s="2"/>
      <c r="D64" s="2"/>
      <c r="E64" s="2"/>
      <c r="F64" s="2"/>
    </row>
    <row r="65" spans="2:16">
      <c r="B65" s="582" t="s">
        <v>210</v>
      </c>
      <c r="C65" s="582"/>
      <c r="D65" s="582"/>
      <c r="E65" s="582"/>
      <c r="F65" s="582"/>
      <c r="G65" s="448">
        <f t="shared" ref="G65:K65" si="35">G52+G63</f>
        <v>919871.55900000001</v>
      </c>
      <c r="H65" s="448">
        <f t="shared" si="35"/>
        <v>1009942.4749999999</v>
      </c>
      <c r="I65" s="448">
        <f t="shared" si="35"/>
        <v>615196.15800000005</v>
      </c>
      <c r="J65" s="448">
        <f t="shared" si="35"/>
        <v>849411.33199999994</v>
      </c>
      <c r="K65" s="448">
        <f t="shared" si="35"/>
        <v>1210297.0159999998</v>
      </c>
    </row>
    <row r="66" spans="2:16">
      <c r="B66" s="2"/>
    </row>
    <row r="67" spans="2:16">
      <c r="B67" s="595" t="s">
        <v>12</v>
      </c>
      <c r="C67" s="596"/>
      <c r="D67" s="596"/>
      <c r="E67" s="596"/>
      <c r="F67" s="596"/>
      <c r="G67" s="445"/>
      <c r="H67" s="445"/>
      <c r="I67" s="445"/>
      <c r="J67" s="445"/>
      <c r="K67" s="447"/>
      <c r="L67" s="445"/>
      <c r="M67" s="445"/>
      <c r="N67" s="445"/>
      <c r="O67" s="445"/>
      <c r="P67" s="447"/>
    </row>
    <row r="68" spans="2:16" ht="15.75">
      <c r="B68" s="577" t="s">
        <v>169</v>
      </c>
      <c r="C68" s="577"/>
      <c r="D68" s="577"/>
      <c r="E68" s="577"/>
      <c r="F68" s="577"/>
      <c r="G68" s="141">
        <v>408.44900000000001</v>
      </c>
      <c r="H68" s="141">
        <v>408.44900000000001</v>
      </c>
      <c r="I68" s="141">
        <v>408.44900000000001</v>
      </c>
      <c r="J68" s="141">
        <v>408.44900000000001</v>
      </c>
      <c r="K68" s="141">
        <v>408.44900000000001</v>
      </c>
      <c r="L68" s="82">
        <f t="shared" ref="L68:P72" si="36">G68/G$75</f>
        <v>1.6183058611191985E-3</v>
      </c>
      <c r="M68" s="10">
        <f t="shared" si="36"/>
        <v>1.0891372158633836E-3</v>
      </c>
      <c r="N68" s="10">
        <f t="shared" si="36"/>
        <v>8.452860442456436E-4</v>
      </c>
      <c r="O68" s="10">
        <f t="shared" si="36"/>
        <v>8.0302048899653802E-4</v>
      </c>
      <c r="P68" s="10">
        <f t="shared" si="36"/>
        <v>8.5875363138354708E-4</v>
      </c>
    </row>
    <row r="69" spans="2:16" ht="15.75">
      <c r="B69" s="577" t="s">
        <v>343</v>
      </c>
      <c r="C69" s="577"/>
      <c r="D69" s="577"/>
      <c r="E69" s="577"/>
      <c r="F69" s="577"/>
      <c r="G69" s="141">
        <v>-1007.735</v>
      </c>
      <c r="H69" s="141">
        <v>-1007.735</v>
      </c>
      <c r="I69" s="141">
        <v>-1007.735</v>
      </c>
      <c r="J69" s="141">
        <v>-1007.735</v>
      </c>
      <c r="K69" s="141">
        <v>-1007.735</v>
      </c>
      <c r="L69" s="82">
        <f t="shared" si="36"/>
        <v>-3.9927223642485486E-3</v>
      </c>
      <c r="M69" s="10">
        <f t="shared" si="36"/>
        <v>-2.6871450100944961E-3</v>
      </c>
      <c r="N69" s="10">
        <f t="shared" si="36"/>
        <v>-2.085509651873021E-3</v>
      </c>
      <c r="O69" s="10">
        <f t="shared" si="36"/>
        <v>-1.9812310777573851E-3</v>
      </c>
      <c r="P69" s="10">
        <f t="shared" si="36"/>
        <v>-2.1187372002925671E-3</v>
      </c>
    </row>
    <row r="70" spans="2:16" ht="15.75">
      <c r="B70" s="577" t="s">
        <v>170</v>
      </c>
      <c r="C70" s="577"/>
      <c r="D70" s="577"/>
      <c r="E70" s="577"/>
      <c r="F70" s="577"/>
      <c r="G70" s="141">
        <v>0</v>
      </c>
      <c r="H70" s="141">
        <v>0</v>
      </c>
      <c r="I70" s="141">
        <v>0</v>
      </c>
      <c r="J70" s="141">
        <v>0</v>
      </c>
      <c r="K70" s="141">
        <v>0</v>
      </c>
      <c r="L70" s="82">
        <f t="shared" si="36"/>
        <v>0</v>
      </c>
      <c r="M70" s="10">
        <f t="shared" si="36"/>
        <v>0</v>
      </c>
      <c r="N70" s="10">
        <f t="shared" si="36"/>
        <v>0</v>
      </c>
      <c r="O70" s="10">
        <f t="shared" si="36"/>
        <v>0</v>
      </c>
      <c r="P70" s="10">
        <f t="shared" si="36"/>
        <v>0</v>
      </c>
    </row>
    <row r="71" spans="2:16" ht="15.75">
      <c r="B71" s="577" t="s">
        <v>171</v>
      </c>
      <c r="C71" s="577"/>
      <c r="D71" s="577"/>
      <c r="E71" s="577"/>
      <c r="F71" s="577"/>
      <c r="G71" s="141">
        <v>2645.06</v>
      </c>
      <c r="H71" s="141">
        <v>2645.06</v>
      </c>
      <c r="I71" s="141">
        <v>2645.06</v>
      </c>
      <c r="J71" s="141">
        <v>2645.06</v>
      </c>
      <c r="K71" s="141">
        <v>2645.06</v>
      </c>
      <c r="L71" s="82">
        <f t="shared" si="36"/>
        <v>1.0479927973901142E-2</v>
      </c>
      <c r="M71" s="10">
        <f t="shared" si="36"/>
        <v>7.0531040207996616E-3</v>
      </c>
      <c r="N71" s="10">
        <f t="shared" si="36"/>
        <v>5.4739571016023591E-3</v>
      </c>
      <c r="O71" s="10">
        <f t="shared" si="36"/>
        <v>5.2002511320267224E-3</v>
      </c>
      <c r="P71" s="10">
        <f t="shared" si="36"/>
        <v>5.5611713585474931E-3</v>
      </c>
    </row>
    <row r="72" spans="2:16" ht="15.75">
      <c r="B72" s="577" t="s">
        <v>344</v>
      </c>
      <c r="C72" s="577"/>
      <c r="D72" s="577"/>
      <c r="E72" s="577"/>
      <c r="F72" s="577"/>
      <c r="G72" s="141">
        <v>224226.27499999999</v>
      </c>
      <c r="H72" s="141">
        <v>246907.18</v>
      </c>
      <c r="I72" s="141">
        <v>373090.92300000001</v>
      </c>
      <c r="J72" s="141">
        <v>547156.60499999998</v>
      </c>
      <c r="K72" s="141">
        <v>476981.41399999999</v>
      </c>
      <c r="L72" s="342">
        <f t="shared" si="36"/>
        <v>0.88840147741682607</v>
      </c>
      <c r="M72" s="343">
        <f t="shared" si="36"/>
        <v>0.65838280569147989</v>
      </c>
      <c r="N72" s="343">
        <f t="shared" si="36"/>
        <v>0.77211243128671148</v>
      </c>
      <c r="O72" s="343">
        <f t="shared" si="36"/>
        <v>1.0757229531833485</v>
      </c>
      <c r="P72" s="343">
        <f>K72/K$75</f>
        <v>1.0028412883247579</v>
      </c>
    </row>
    <row r="73" spans="2:16" ht="15.75">
      <c r="B73" s="577" t="s">
        <v>359</v>
      </c>
      <c r="C73" s="577"/>
      <c r="D73" s="577"/>
      <c r="E73" s="577"/>
      <c r="F73" s="577"/>
      <c r="G73" s="141">
        <v>0</v>
      </c>
      <c r="H73" s="141">
        <v>0</v>
      </c>
      <c r="I73" s="141">
        <v>0</v>
      </c>
      <c r="J73" s="141">
        <v>-75729.505999999994</v>
      </c>
      <c r="K73" s="141">
        <v>-64508.275000000001</v>
      </c>
      <c r="L73" s="82">
        <f t="shared" ref="L73" si="37">G73/G$75</f>
        <v>0</v>
      </c>
      <c r="M73" s="10">
        <f t="shared" ref="M73" si="38">H73/H$75</f>
        <v>0</v>
      </c>
      <c r="N73" s="10">
        <f t="shared" ref="N73" si="39">I73/I$75</f>
        <v>0</v>
      </c>
      <c r="O73" s="10">
        <f t="shared" ref="O73" si="40">J73/J$75</f>
        <v>-0.14888601744547361</v>
      </c>
      <c r="P73" s="10">
        <f t="shared" ref="P73" si="41">K73/K$75</f>
        <v>-0.13562700706952027</v>
      </c>
    </row>
    <row r="74" spans="2:16" ht="15.75">
      <c r="B74" s="577" t="s">
        <v>172</v>
      </c>
      <c r="C74" s="577"/>
      <c r="D74" s="577"/>
      <c r="E74" s="577"/>
      <c r="F74" s="577"/>
      <c r="G74" s="141">
        <v>26120.906999999999</v>
      </c>
      <c r="H74" s="141">
        <v>126067.745</v>
      </c>
      <c r="I74" s="141">
        <v>108071.32799999999</v>
      </c>
      <c r="J74" s="141">
        <v>35167.947</v>
      </c>
      <c r="K74" s="141">
        <v>61111.099000000002</v>
      </c>
      <c r="L74" s="82">
        <f t="shared" ref="L74:P75" si="42">G74/G$75</f>
        <v>0.10349301111240204</v>
      </c>
      <c r="M74" s="10">
        <f t="shared" si="42"/>
        <v>0.33616209808195147</v>
      </c>
      <c r="N74" s="10">
        <f t="shared" si="42"/>
        <v>0.22365383521931367</v>
      </c>
      <c r="O74" s="10">
        <f t="shared" si="42"/>
        <v>6.9141023718859218E-2</v>
      </c>
      <c r="P74" s="10">
        <f t="shared" si="42"/>
        <v>0.12848453095512402</v>
      </c>
    </row>
    <row r="75" spans="2:16">
      <c r="B75" s="577" t="s">
        <v>5</v>
      </c>
      <c r="C75" s="577"/>
      <c r="D75" s="577"/>
      <c r="E75" s="577"/>
      <c r="F75" s="577"/>
      <c r="G75" s="6">
        <f>SUM(G68:G74)</f>
        <v>252392.95600000001</v>
      </c>
      <c r="H75" s="6">
        <f>SUM(H68:H74)</f>
        <v>375020.69900000002</v>
      </c>
      <c r="I75" s="6">
        <f>SUM(I68:I74)</f>
        <v>483208.02499999997</v>
      </c>
      <c r="J75" s="6">
        <f>SUM(J68:J74)</f>
        <v>508640.81999999995</v>
      </c>
      <c r="K75" s="6">
        <f>SUM(K68:K74)</f>
        <v>475630.01199999993</v>
      </c>
      <c r="L75" s="81">
        <f t="shared" si="42"/>
        <v>1</v>
      </c>
      <c r="M75" s="11">
        <f t="shared" si="42"/>
        <v>1</v>
      </c>
      <c r="N75" s="11">
        <f t="shared" si="42"/>
        <v>1</v>
      </c>
      <c r="O75" s="11">
        <f t="shared" si="42"/>
        <v>1</v>
      </c>
      <c r="P75" s="11">
        <f>K75/K$75</f>
        <v>1</v>
      </c>
    </row>
    <row r="76" spans="2:16">
      <c r="B76" s="2"/>
      <c r="C76" s="2"/>
      <c r="D76" s="2"/>
      <c r="E76" s="2"/>
      <c r="F76" s="2"/>
    </row>
    <row r="77" spans="2:16">
      <c r="B77" s="582" t="s">
        <v>209</v>
      </c>
      <c r="C77" s="582"/>
      <c r="D77" s="582"/>
      <c r="E77" s="582"/>
      <c r="F77" s="582"/>
      <c r="G77" s="448">
        <f>G65+G75</f>
        <v>1172264.5150000001</v>
      </c>
      <c r="H77" s="448">
        <f>H65+H75</f>
        <v>1384963.1739999999</v>
      </c>
      <c r="I77" s="448">
        <f>I65+I75</f>
        <v>1098404.183</v>
      </c>
      <c r="J77" s="448">
        <f>J65+J75</f>
        <v>1358052.1519999998</v>
      </c>
      <c r="K77" s="448">
        <f>K65+K75</f>
        <v>1685927.0279999997</v>
      </c>
    </row>
    <row r="79" spans="2:16" ht="15.75">
      <c r="B79" s="586" t="s">
        <v>13</v>
      </c>
      <c r="C79" s="587"/>
      <c r="D79" s="587"/>
      <c r="E79" s="587"/>
      <c r="F79" s="588"/>
      <c r="G79" s="142">
        <f>G77-G40</f>
        <v>0</v>
      </c>
      <c r="H79" s="142">
        <f>H77-H40</f>
        <v>0</v>
      </c>
      <c r="I79" s="142">
        <f>I77-I40</f>
        <v>0</v>
      </c>
      <c r="J79" s="142">
        <f>J77-J40</f>
        <v>0</v>
      </c>
      <c r="K79" s="142">
        <f>K77-K40</f>
        <v>0</v>
      </c>
    </row>
    <row r="80" spans="2:16" ht="15.75" thickBot="1"/>
    <row r="81" spans="2:29" ht="23.25">
      <c r="B81" s="589" t="str">
        <f>B11</f>
        <v>PRIMAX COLOMBIA S.A.</v>
      </c>
      <c r="C81" s="590"/>
      <c r="D81" s="590"/>
      <c r="E81" s="590"/>
      <c r="F81" s="590"/>
      <c r="G81" s="590"/>
      <c r="H81" s="590"/>
      <c r="I81" s="590"/>
      <c r="J81" s="590"/>
      <c r="K81" s="590"/>
    </row>
    <row r="82" spans="2:29">
      <c r="B82" s="591" t="s">
        <v>15</v>
      </c>
      <c r="C82" s="592"/>
      <c r="D82" s="592"/>
      <c r="E82" s="592"/>
      <c r="F82" s="592"/>
      <c r="G82" s="592"/>
      <c r="H82" s="592"/>
      <c r="I82" s="592"/>
      <c r="J82" s="592"/>
      <c r="K82" s="592"/>
    </row>
    <row r="83" spans="2:29">
      <c r="B83" s="591" t="s">
        <v>3</v>
      </c>
      <c r="C83" s="592"/>
      <c r="D83" s="592"/>
      <c r="E83" s="592"/>
      <c r="F83" s="592"/>
      <c r="G83" s="592"/>
      <c r="H83" s="592"/>
      <c r="I83" s="592"/>
      <c r="J83" s="592"/>
      <c r="K83" s="592"/>
    </row>
    <row r="84" spans="2:29" ht="15.75" thickBot="1">
      <c r="B84" s="593" t="s">
        <v>2</v>
      </c>
      <c r="C84" s="594"/>
      <c r="D84" s="594"/>
      <c r="E84" s="594"/>
      <c r="F84" s="594"/>
      <c r="G84" s="594"/>
      <c r="H84" s="594"/>
      <c r="I84" s="594"/>
      <c r="J84" s="594"/>
      <c r="K84" s="594"/>
    </row>
    <row r="85" spans="2:29" ht="15.75" thickBot="1">
      <c r="B85" s="600" t="s">
        <v>22</v>
      </c>
      <c r="C85" s="600"/>
      <c r="D85" s="600"/>
      <c r="E85" s="600"/>
      <c r="F85" s="600"/>
      <c r="G85" s="450">
        <f t="shared" ref="G85:P85" si="43">G15</f>
        <v>2018</v>
      </c>
      <c r="H85" s="450">
        <f t="shared" si="43"/>
        <v>2019</v>
      </c>
      <c r="I85" s="450">
        <f t="shared" si="43"/>
        <v>2020</v>
      </c>
      <c r="J85" s="450">
        <f t="shared" si="43"/>
        <v>2021</v>
      </c>
      <c r="K85" s="451">
        <f t="shared" si="43"/>
        <v>2022</v>
      </c>
      <c r="L85" s="470">
        <f t="shared" si="43"/>
        <v>2018</v>
      </c>
      <c r="M85" s="471">
        <f t="shared" si="43"/>
        <v>2019</v>
      </c>
      <c r="N85" s="471">
        <f t="shared" si="43"/>
        <v>2020</v>
      </c>
      <c r="O85" s="471">
        <f t="shared" si="43"/>
        <v>2021</v>
      </c>
      <c r="P85" s="472">
        <f t="shared" si="43"/>
        <v>2022</v>
      </c>
      <c r="Q85" s="473" t="s">
        <v>32</v>
      </c>
      <c r="S85" s="553" t="s">
        <v>199</v>
      </c>
      <c r="T85" s="553" t="s">
        <v>200</v>
      </c>
      <c r="V85" s="155" t="s">
        <v>199</v>
      </c>
      <c r="W85" s="155" t="s">
        <v>200</v>
      </c>
    </row>
    <row r="86" spans="2:29" ht="15.75" thickBot="1">
      <c r="B86" s="595" t="s">
        <v>19</v>
      </c>
      <c r="C86" s="596"/>
      <c r="D86" s="596"/>
      <c r="E86" s="596"/>
      <c r="F86" s="596"/>
      <c r="G86" s="445"/>
      <c r="H86" s="445"/>
      <c r="I86" s="445"/>
      <c r="J86" s="445"/>
      <c r="K86" s="445"/>
      <c r="L86" s="584" t="s">
        <v>25</v>
      </c>
      <c r="M86" s="585"/>
      <c r="N86" s="585"/>
      <c r="O86" s="585"/>
      <c r="P86" s="585"/>
      <c r="Q86" s="474"/>
      <c r="S86" s="583" t="s">
        <v>211</v>
      </c>
      <c r="T86" s="583"/>
      <c r="V86" s="578" t="s">
        <v>212</v>
      </c>
      <c r="W86" s="579"/>
      <c r="Z86" s="580" t="s">
        <v>213</v>
      </c>
      <c r="AA86" s="580"/>
      <c r="AB86" s="580"/>
      <c r="AC86" s="580"/>
    </row>
    <row r="87" spans="2:29" ht="15.75">
      <c r="B87" s="597" t="s">
        <v>173</v>
      </c>
      <c r="C87" s="598"/>
      <c r="D87" s="598"/>
      <c r="E87" s="598"/>
      <c r="F87" s="599"/>
      <c r="G87" s="141">
        <v>5437074.3200000003</v>
      </c>
      <c r="H87" s="141">
        <v>5760384.8439999996</v>
      </c>
      <c r="I87" s="141">
        <v>5973143.3619999997</v>
      </c>
      <c r="J87" s="141">
        <v>4665256.33</v>
      </c>
      <c r="K87" s="141">
        <v>6088081.801</v>
      </c>
      <c r="L87" s="81">
        <f>G87/G$87</f>
        <v>1</v>
      </c>
      <c r="M87" s="11">
        <f t="shared" ref="L87:P92" si="44">H87/H$87</f>
        <v>1</v>
      </c>
      <c r="N87" s="11">
        <f t="shared" si="44"/>
        <v>1</v>
      </c>
      <c r="O87" s="11">
        <f t="shared" si="44"/>
        <v>1</v>
      </c>
      <c r="P87" s="11">
        <f t="shared" si="44"/>
        <v>1</v>
      </c>
      <c r="Q87" s="19">
        <f>AVERAGE(L87:P87)</f>
        <v>1</v>
      </c>
      <c r="S87" s="552" t="s">
        <v>26</v>
      </c>
      <c r="T87" s="19">
        <f>Q87</f>
        <v>1</v>
      </c>
      <c r="U87" s="14"/>
      <c r="V87" s="37" t="s">
        <v>26</v>
      </c>
      <c r="W87" s="15">
        <v>1</v>
      </c>
      <c r="Z87" s="156" t="s">
        <v>216</v>
      </c>
      <c r="AA87" s="157" t="s">
        <v>214</v>
      </c>
      <c r="AB87" s="158" t="s">
        <v>217</v>
      </c>
      <c r="AC87" s="159" t="s">
        <v>215</v>
      </c>
    </row>
    <row r="88" spans="2:29" ht="15.75">
      <c r="B88" s="597" t="s">
        <v>174</v>
      </c>
      <c r="C88" s="598"/>
      <c r="D88" s="598"/>
      <c r="E88" s="598"/>
      <c r="F88" s="599"/>
      <c r="G88" s="141">
        <v>4961480.7580000004</v>
      </c>
      <c r="H88" s="141">
        <v>5295767.21</v>
      </c>
      <c r="I88" s="141">
        <v>5612981.3210000005</v>
      </c>
      <c r="J88" s="141">
        <v>4403790.7410000004</v>
      </c>
      <c r="K88" s="141">
        <v>5736207.8629999999</v>
      </c>
      <c r="L88" s="82">
        <f t="shared" si="44"/>
        <v>0.9125276694764769</v>
      </c>
      <c r="M88" s="10">
        <f t="shared" si="44"/>
        <v>0.91934260529764011</v>
      </c>
      <c r="N88" s="10">
        <f t="shared" si="44"/>
        <v>0.93970309782094275</v>
      </c>
      <c r="O88" s="10">
        <f t="shared" si="44"/>
        <v>0.94395472177624162</v>
      </c>
      <c r="P88" s="10">
        <f>K88/K$87</f>
        <v>0.94220282356551077</v>
      </c>
      <c r="Q88" s="16">
        <f>AVERAGE(L88:P88)</f>
        <v>0.93154618358736241</v>
      </c>
      <c r="R88" s="14"/>
      <c r="S88" s="37" t="s">
        <v>191</v>
      </c>
      <c r="T88" s="16">
        <f>Q88</f>
        <v>0.93154618358736241</v>
      </c>
      <c r="U88" s="14"/>
      <c r="V88" s="37" t="s">
        <v>191</v>
      </c>
      <c r="W88" s="16">
        <v>0.5</v>
      </c>
      <c r="Y88" s="37" t="s">
        <v>191</v>
      </c>
      <c r="Z88" s="161">
        <v>0.4</v>
      </c>
      <c r="AA88" s="161">
        <v>0.5</v>
      </c>
      <c r="AB88" s="161">
        <v>0.6</v>
      </c>
      <c r="AC88" s="161">
        <v>0.7</v>
      </c>
    </row>
    <row r="89" spans="2:29">
      <c r="B89" s="581" t="s">
        <v>16</v>
      </c>
      <c r="C89" s="581"/>
      <c r="D89" s="581"/>
      <c r="E89" s="581"/>
      <c r="F89" s="581"/>
      <c r="G89" s="9">
        <f t="shared" ref="G89:K89" si="45">G87-G88</f>
        <v>475593.56199999992</v>
      </c>
      <c r="H89" s="9">
        <f t="shared" si="45"/>
        <v>464617.63399999961</v>
      </c>
      <c r="I89" s="9">
        <f t="shared" si="45"/>
        <v>360162.04099999927</v>
      </c>
      <c r="J89" s="9">
        <f t="shared" si="45"/>
        <v>261465.58899999969</v>
      </c>
      <c r="K89" s="9">
        <f t="shared" si="45"/>
        <v>351873.93800000008</v>
      </c>
      <c r="L89" s="81">
        <f t="shared" si="44"/>
        <v>8.7472330523523156E-2</v>
      </c>
      <c r="M89" s="11">
        <f t="shared" si="44"/>
        <v>8.0657394702359858E-2</v>
      </c>
      <c r="N89" s="11">
        <f t="shared" si="44"/>
        <v>6.0296902179057275E-2</v>
      </c>
      <c r="O89" s="11">
        <f t="shared" si="44"/>
        <v>5.6045278223758328E-2</v>
      </c>
      <c r="P89" s="11">
        <f t="shared" si="44"/>
        <v>5.7797176434489249E-2</v>
      </c>
      <c r="Q89" s="15">
        <f t="shared" ref="Q89:Q100" si="46">AVERAGE(L89:P89)</f>
        <v>6.8453816412637564E-2</v>
      </c>
      <c r="S89" s="144" t="s">
        <v>192</v>
      </c>
      <c r="T89" s="16">
        <f>Q90+Q91</f>
        <v>6.3505965750815796E-2</v>
      </c>
      <c r="U89" s="14"/>
      <c r="V89" s="144" t="s">
        <v>192</v>
      </c>
      <c r="W89" s="16">
        <v>0.3</v>
      </c>
      <c r="Y89" s="37" t="s">
        <v>192</v>
      </c>
      <c r="Z89" s="161">
        <v>0.2</v>
      </c>
      <c r="AA89" s="161">
        <v>0.25</v>
      </c>
      <c r="AB89" s="161">
        <v>0.3</v>
      </c>
      <c r="AC89" s="154"/>
    </row>
    <row r="90" spans="2:29" ht="15" customHeight="1">
      <c r="B90" s="577" t="s">
        <v>175</v>
      </c>
      <c r="C90" s="577"/>
      <c r="D90" s="577"/>
      <c r="E90" s="577"/>
      <c r="F90" s="577"/>
      <c r="G90" s="141">
        <f>372012.073+91283</f>
        <v>463295.07299999997</v>
      </c>
      <c r="H90" s="141">
        <v>415721.8</v>
      </c>
      <c r="I90" s="141">
        <v>254647.41399999999</v>
      </c>
      <c r="J90" s="141">
        <v>212200.503</v>
      </c>
      <c r="K90" s="141">
        <v>242970.18900000001</v>
      </c>
      <c r="L90" s="82">
        <f t="shared" si="44"/>
        <v>8.5210362362675957E-2</v>
      </c>
      <c r="M90" s="10">
        <f t="shared" si="44"/>
        <v>7.2169101762882146E-2</v>
      </c>
      <c r="N90" s="10">
        <f t="shared" si="44"/>
        <v>4.2632061306282776E-2</v>
      </c>
      <c r="O90" s="10">
        <f t="shared" si="44"/>
        <v>4.5485282691851571E-2</v>
      </c>
      <c r="P90" s="10">
        <f t="shared" si="44"/>
        <v>3.9909153152326377E-2</v>
      </c>
      <c r="Q90" s="16">
        <f t="shared" si="46"/>
        <v>5.7081192255203764E-2</v>
      </c>
      <c r="R90" s="14"/>
      <c r="S90" s="15" t="s">
        <v>193</v>
      </c>
      <c r="T90" s="15">
        <f>T88+T89</f>
        <v>0.9950521493381782</v>
      </c>
      <c r="U90" s="78"/>
      <c r="V90" s="15" t="s">
        <v>193</v>
      </c>
      <c r="W90" s="15">
        <f>W88+W89</f>
        <v>0.8</v>
      </c>
      <c r="Z90" s="154"/>
      <c r="AA90" s="154"/>
      <c r="AB90" s="154"/>
      <c r="AC90" s="154"/>
    </row>
    <row r="91" spans="2:29" ht="15.75">
      <c r="B91" s="577" t="s">
        <v>637</v>
      </c>
      <c r="C91" s="577"/>
      <c r="D91" s="577"/>
      <c r="E91" s="577"/>
      <c r="F91" s="577"/>
      <c r="G91" s="141">
        <v>0</v>
      </c>
      <c r="H91" s="141">
        <v>115970.139</v>
      </c>
      <c r="I91" s="141">
        <v>47396.315000000002</v>
      </c>
      <c r="J91" s="141">
        <v>13436.021000000001</v>
      </c>
      <c r="K91" s="141">
        <v>7163.1570000000002</v>
      </c>
      <c r="L91" s="82">
        <f t="shared" si="44"/>
        <v>0</v>
      </c>
      <c r="M91" s="10">
        <f t="shared" si="44"/>
        <v>2.013235958024474E-2</v>
      </c>
      <c r="N91" s="10">
        <f t="shared" si="44"/>
        <v>7.9349033042679547E-3</v>
      </c>
      <c r="O91" s="10">
        <f t="shared" si="44"/>
        <v>2.8800177417046663E-3</v>
      </c>
      <c r="P91" s="10">
        <f t="shared" si="44"/>
        <v>1.1765868518427945E-3</v>
      </c>
      <c r="Q91" s="16">
        <f t="shared" si="46"/>
        <v>6.4247734956120305E-3</v>
      </c>
      <c r="R91" s="14"/>
      <c r="S91" s="37" t="s">
        <v>194</v>
      </c>
      <c r="T91" s="15">
        <f>T87-T90</f>
        <v>4.9478506618217954E-3</v>
      </c>
      <c r="U91" s="78"/>
      <c r="V91" s="37" t="s">
        <v>194</v>
      </c>
      <c r="W91" s="15">
        <f>W87-W90</f>
        <v>0.19999999999999996</v>
      </c>
      <c r="Z91" s="580" t="s">
        <v>220</v>
      </c>
      <c r="AA91" s="580"/>
      <c r="AB91" s="580"/>
      <c r="AC91" s="140"/>
    </row>
    <row r="92" spans="2:29">
      <c r="B92" s="581" t="s">
        <v>17</v>
      </c>
      <c r="C92" s="581"/>
      <c r="D92" s="581"/>
      <c r="E92" s="581"/>
      <c r="F92" s="581"/>
      <c r="G92" s="9">
        <f>G89-G90-G91</f>
        <v>12298.488999999943</v>
      </c>
      <c r="H92" s="9">
        <f t="shared" ref="H92:I92" si="47">H89-H90+H91</f>
        <v>164865.97299999962</v>
      </c>
      <c r="I92" s="9">
        <f t="shared" si="47"/>
        <v>152910.94199999928</v>
      </c>
      <c r="J92" s="9">
        <f t="shared" ref="J92" si="48">J89-J90+J91</f>
        <v>62701.106999999691</v>
      </c>
      <c r="K92" s="9">
        <f>K89-K90+K91</f>
        <v>116066.90600000008</v>
      </c>
      <c r="L92" s="81">
        <f t="shared" si="44"/>
        <v>2.2619681608472002E-3</v>
      </c>
      <c r="M92" s="11">
        <f t="shared" si="44"/>
        <v>2.8620652519722452E-2</v>
      </c>
      <c r="N92" s="11">
        <f t="shared" si="44"/>
        <v>2.5599744177042454E-2</v>
      </c>
      <c r="O92" s="11">
        <f t="shared" si="44"/>
        <v>1.3440013273611417E-2</v>
      </c>
      <c r="P92" s="11">
        <f t="shared" si="44"/>
        <v>1.9064610134005667E-2</v>
      </c>
      <c r="Q92" s="15">
        <f t="shared" si="46"/>
        <v>1.7797397653045839E-2</v>
      </c>
      <c r="S92" s="144" t="s">
        <v>195</v>
      </c>
      <c r="T92" s="16">
        <f>Q94</f>
        <v>6.8472317663665857E-4</v>
      </c>
      <c r="U92" s="14"/>
      <c r="V92" s="144" t="s">
        <v>195</v>
      </c>
      <c r="W92" s="16">
        <f>T92</f>
        <v>6.8472317663665857E-4</v>
      </c>
      <c r="Z92" s="165" t="s">
        <v>189</v>
      </c>
      <c r="AA92" s="165" t="s">
        <v>218</v>
      </c>
      <c r="AB92" s="165" t="s">
        <v>219</v>
      </c>
      <c r="AC92" s="154"/>
    </row>
    <row r="93" spans="2:29">
      <c r="B93" s="595" t="s">
        <v>20</v>
      </c>
      <c r="C93" s="596"/>
      <c r="D93" s="596"/>
      <c r="E93" s="596"/>
      <c r="F93" s="596"/>
      <c r="G93" s="445"/>
      <c r="H93" s="445"/>
      <c r="I93" s="445"/>
      <c r="J93" s="445"/>
      <c r="K93" s="447"/>
      <c r="L93" s="475"/>
      <c r="M93" s="475"/>
      <c r="N93" s="475"/>
      <c r="O93" s="475"/>
      <c r="P93" s="476"/>
      <c r="Q93" s="477"/>
      <c r="S93" s="144" t="s">
        <v>196</v>
      </c>
      <c r="T93" s="16">
        <f>Q95+Q96</f>
        <v>4.4703301280003263E-4</v>
      </c>
      <c r="U93" s="14"/>
      <c r="V93" s="144" t="s">
        <v>196</v>
      </c>
      <c r="W93" s="16">
        <f>T93</f>
        <v>4.4703301280003263E-4</v>
      </c>
      <c r="Y93" s="160" t="s">
        <v>191</v>
      </c>
      <c r="Z93" s="162">
        <f>T88</f>
        <v>0.93154618358736241</v>
      </c>
      <c r="AA93" s="161">
        <f>AA88</f>
        <v>0.5</v>
      </c>
      <c r="AB93" s="163">
        <f>Z93-AA93</f>
        <v>0.43154618358736241</v>
      </c>
      <c r="AC93" s="164"/>
    </row>
    <row r="94" spans="2:29" ht="15.75">
      <c r="B94" s="577" t="s">
        <v>176</v>
      </c>
      <c r="C94" s="577"/>
      <c r="D94" s="577"/>
      <c r="E94" s="577"/>
      <c r="F94" s="577"/>
      <c r="G94" s="141">
        <v>18614.454000000002</v>
      </c>
      <c r="H94" s="141">
        <v>0</v>
      </c>
      <c r="I94" s="141">
        <v>0</v>
      </c>
      <c r="J94" s="141">
        <v>0</v>
      </c>
      <c r="K94" s="141">
        <v>0</v>
      </c>
      <c r="L94" s="82">
        <f t="shared" ref="L94:P96" si="49">G94/G$87</f>
        <v>3.4236158831832926E-3</v>
      </c>
      <c r="M94" s="10">
        <f t="shared" si="49"/>
        <v>0</v>
      </c>
      <c r="N94" s="10">
        <f t="shared" si="49"/>
        <v>0</v>
      </c>
      <c r="O94" s="10">
        <f t="shared" si="49"/>
        <v>0</v>
      </c>
      <c r="P94" s="10">
        <f t="shared" si="49"/>
        <v>0</v>
      </c>
      <c r="Q94" s="16">
        <f t="shared" si="46"/>
        <v>6.8472317663665857E-4</v>
      </c>
      <c r="S94" s="144" t="s">
        <v>197</v>
      </c>
      <c r="T94" s="16">
        <f>Q99</f>
        <v>5.563407646272815E-3</v>
      </c>
      <c r="U94" s="14"/>
      <c r="V94" s="144" t="s">
        <v>197</v>
      </c>
      <c r="W94" s="16">
        <f>T94</f>
        <v>5.563407646272815E-3</v>
      </c>
      <c r="Y94" s="160" t="s">
        <v>192</v>
      </c>
      <c r="Z94" s="162">
        <f>T89</f>
        <v>6.3505965750815796E-2</v>
      </c>
      <c r="AA94" s="161">
        <f>AB89</f>
        <v>0.3</v>
      </c>
      <c r="AB94" s="163">
        <f>Z94-AA94</f>
        <v>-0.23649403424918419</v>
      </c>
      <c r="AC94" s="164"/>
    </row>
    <row r="95" spans="2:29" ht="15.75">
      <c r="B95" s="577" t="s">
        <v>177</v>
      </c>
      <c r="C95" s="577"/>
      <c r="D95" s="577"/>
      <c r="E95" s="577"/>
      <c r="F95" s="577"/>
      <c r="G95" s="141">
        <v>0</v>
      </c>
      <c r="H95" s="141">
        <v>0</v>
      </c>
      <c r="I95" s="141">
        <v>0</v>
      </c>
      <c r="J95" s="141">
        <v>0</v>
      </c>
      <c r="K95" s="141">
        <v>0</v>
      </c>
      <c r="L95" s="82">
        <f t="shared" si="49"/>
        <v>0</v>
      </c>
      <c r="M95" s="10">
        <f t="shared" si="49"/>
        <v>0</v>
      </c>
      <c r="N95" s="10">
        <f t="shared" si="49"/>
        <v>0</v>
      </c>
      <c r="O95" s="10">
        <f t="shared" si="49"/>
        <v>0</v>
      </c>
      <c r="P95" s="10">
        <f t="shared" si="49"/>
        <v>0</v>
      </c>
      <c r="Q95" s="16">
        <f t="shared" si="46"/>
        <v>0</v>
      </c>
      <c r="S95" s="37" t="s">
        <v>198</v>
      </c>
      <c r="T95" s="15">
        <f>T91+T92-T93-T94</f>
        <v>-3.7786682061439428E-4</v>
      </c>
      <c r="U95" s="78"/>
      <c r="V95" s="37" t="s">
        <v>198</v>
      </c>
      <c r="W95" s="15">
        <f>W91+W92-W93-W94</f>
        <v>0.19467428251756377</v>
      </c>
      <c r="Z95" s="154"/>
      <c r="AA95" s="154"/>
      <c r="AB95" s="154"/>
      <c r="AC95" s="154"/>
    </row>
    <row r="96" spans="2:29" ht="15.75">
      <c r="B96" s="577" t="s">
        <v>178</v>
      </c>
      <c r="C96" s="577"/>
      <c r="D96" s="577"/>
      <c r="E96" s="577"/>
      <c r="F96" s="577"/>
      <c r="G96" s="141">
        <v>668.49199999999996</v>
      </c>
      <c r="H96" s="141">
        <v>-21484.746999999999</v>
      </c>
      <c r="I96" s="141">
        <v>-1031.787</v>
      </c>
      <c r="J96" s="141">
        <v>7933.05</v>
      </c>
      <c r="K96" s="141">
        <v>26265.449000000001</v>
      </c>
      <c r="L96" s="82">
        <f t="shared" si="49"/>
        <v>1.2295068278559044E-4</v>
      </c>
      <c r="M96" s="10">
        <f t="shared" si="49"/>
        <v>-3.7297416026601852E-3</v>
      </c>
      <c r="N96" s="10">
        <f t="shared" si="49"/>
        <v>-1.727376922784128E-4</v>
      </c>
      <c r="O96" s="10">
        <f t="shared" si="49"/>
        <v>1.7004531881745499E-3</v>
      </c>
      <c r="P96" s="10">
        <f t="shared" si="49"/>
        <v>4.3142404879786206E-3</v>
      </c>
      <c r="Q96" s="16">
        <f t="shared" si="46"/>
        <v>4.4703301280003263E-4</v>
      </c>
    </row>
    <row r="97" spans="2:17">
      <c r="B97" s="595" t="s">
        <v>21</v>
      </c>
      <c r="C97" s="596"/>
      <c r="D97" s="596"/>
      <c r="E97" s="596"/>
      <c r="F97" s="596"/>
      <c r="G97" s="445"/>
      <c r="H97" s="445"/>
      <c r="I97" s="445"/>
      <c r="J97" s="445"/>
      <c r="K97" s="447"/>
      <c r="L97" s="475"/>
      <c r="M97" s="475"/>
      <c r="N97" s="475"/>
      <c r="O97" s="475"/>
      <c r="P97" s="476"/>
      <c r="Q97" s="477"/>
    </row>
    <row r="98" spans="2:17">
      <c r="B98" s="581" t="s">
        <v>18</v>
      </c>
      <c r="C98" s="581"/>
      <c r="D98" s="581"/>
      <c r="E98" s="581"/>
      <c r="F98" s="581"/>
      <c r="G98" s="9">
        <f t="shared" ref="G98:K98" si="50">G92+G94-G95-G96</f>
        <v>30244.450999999946</v>
      </c>
      <c r="H98" s="9">
        <f t="shared" si="50"/>
        <v>186350.71999999962</v>
      </c>
      <c r="I98" s="9">
        <f t="shared" si="50"/>
        <v>153942.72899999929</v>
      </c>
      <c r="J98" s="9">
        <f t="shared" si="50"/>
        <v>54768.056999999688</v>
      </c>
      <c r="K98" s="9">
        <f t="shared" si="50"/>
        <v>89801.457000000082</v>
      </c>
      <c r="L98" s="81">
        <f t="shared" ref="L98:P100" si="51">G98/G$87</f>
        <v>5.5626333612449029E-3</v>
      </c>
      <c r="M98" s="11">
        <f t="shared" si="51"/>
        <v>3.2350394122382636E-2</v>
      </c>
      <c r="N98" s="11">
        <f t="shared" si="51"/>
        <v>2.5772481869320869E-2</v>
      </c>
      <c r="O98" s="11">
        <f t="shared" si="51"/>
        <v>1.1739560085436867E-2</v>
      </c>
      <c r="P98" s="11">
        <f t="shared" si="51"/>
        <v>1.4750369646027047E-2</v>
      </c>
      <c r="Q98" s="15">
        <f t="shared" si="46"/>
        <v>1.8035087816882463E-2</v>
      </c>
    </row>
    <row r="99" spans="2:17" ht="15.75">
      <c r="B99" s="577" t="s">
        <v>179</v>
      </c>
      <c r="C99" s="577"/>
      <c r="D99" s="577"/>
      <c r="E99" s="577"/>
      <c r="F99" s="577"/>
      <c r="G99" s="141">
        <v>4124.0039999999999</v>
      </c>
      <c r="H99" s="141">
        <v>60282.974999999999</v>
      </c>
      <c r="I99" s="141">
        <v>45871.400999999998</v>
      </c>
      <c r="J99" s="141">
        <v>19600.11</v>
      </c>
      <c r="K99" s="141">
        <v>28690.358</v>
      </c>
      <c r="L99" s="82">
        <f t="shared" si="51"/>
        <v>7.5849689691201417E-4</v>
      </c>
      <c r="M99" s="10">
        <f t="shared" si="51"/>
        <v>1.0465095064401917E-2</v>
      </c>
      <c r="N99" s="10">
        <f t="shared" si="51"/>
        <v>7.6796082430944336E-3</v>
      </c>
      <c r="O99" s="10">
        <f t="shared" si="51"/>
        <v>4.2012932652727361E-3</v>
      </c>
      <c r="P99" s="10">
        <f t="shared" si="51"/>
        <v>4.7125447616829744E-3</v>
      </c>
      <c r="Q99" s="16">
        <f t="shared" si="46"/>
        <v>5.563407646272815E-3</v>
      </c>
    </row>
    <row r="100" spans="2:17">
      <c r="B100" s="581" t="s">
        <v>180</v>
      </c>
      <c r="C100" s="581"/>
      <c r="D100" s="581"/>
      <c r="E100" s="581"/>
      <c r="F100" s="581"/>
      <c r="G100" s="9">
        <f t="shared" ref="G100:K100" si="52">G98-G99</f>
        <v>26120.446999999946</v>
      </c>
      <c r="H100" s="9">
        <f t="shared" si="52"/>
        <v>126067.74499999962</v>
      </c>
      <c r="I100" s="9">
        <f t="shared" si="52"/>
        <v>108071.3279999993</v>
      </c>
      <c r="J100" s="9">
        <f t="shared" si="52"/>
        <v>35167.946999999687</v>
      </c>
      <c r="K100" s="9">
        <f t="shared" si="52"/>
        <v>61111.099000000082</v>
      </c>
      <c r="L100" s="81">
        <f t="shared" si="51"/>
        <v>4.8041364643328886E-3</v>
      </c>
      <c r="M100" s="11">
        <f t="shared" si="51"/>
        <v>2.1885299057980721E-2</v>
      </c>
      <c r="N100" s="11">
        <f t="shared" si="51"/>
        <v>1.8092873626226434E-2</v>
      </c>
      <c r="O100" s="11">
        <f t="shared" si="51"/>
        <v>7.538266820164132E-3</v>
      </c>
      <c r="P100" s="11">
        <f t="shared" si="51"/>
        <v>1.0037824884344073E-2</v>
      </c>
      <c r="Q100" s="15">
        <f t="shared" si="46"/>
        <v>1.247168017060965E-2</v>
      </c>
    </row>
    <row r="101" spans="2:17">
      <c r="H101" s="99"/>
      <c r="I101" s="99"/>
      <c r="J101" s="99"/>
      <c r="K101" s="99"/>
      <c r="L101" s="145"/>
      <c r="M101" s="145"/>
      <c r="N101" s="145"/>
      <c r="O101" s="145"/>
      <c r="P101" s="145"/>
    </row>
    <row r="103" spans="2:17" ht="15.75" thickBot="1">
      <c r="G103" s="146"/>
    </row>
    <row r="104" spans="2:17" ht="16.5" thickBot="1">
      <c r="B104" s="147" t="s">
        <v>181</v>
      </c>
      <c r="C104" s="148"/>
      <c r="D104" s="148"/>
      <c r="E104" s="148"/>
      <c r="F104" s="148"/>
      <c r="G104" s="452">
        <f t="shared" ref="G104:K104" si="53">G85</f>
        <v>2018</v>
      </c>
      <c r="H104" s="452">
        <f t="shared" si="53"/>
        <v>2019</v>
      </c>
      <c r="I104" s="452">
        <f t="shared" si="53"/>
        <v>2020</v>
      </c>
      <c r="J104" s="452">
        <f t="shared" si="53"/>
        <v>2021</v>
      </c>
      <c r="K104" s="453">
        <f t="shared" si="53"/>
        <v>2022</v>
      </c>
    </row>
    <row r="105" spans="2:17" ht="15.75">
      <c r="B105" s="149" t="s">
        <v>182</v>
      </c>
      <c r="G105" s="150">
        <f t="shared" ref="G105:J105" si="54">+G109+G110+G111</f>
        <v>12165.805</v>
      </c>
      <c r="H105" s="150">
        <f t="shared" si="54"/>
        <v>11823.081</v>
      </c>
      <c r="I105" s="150">
        <f t="shared" si="54"/>
        <v>12942.294</v>
      </c>
      <c r="J105" s="150">
        <f t="shared" si="54"/>
        <v>21062.707999999999</v>
      </c>
      <c r="K105" s="150">
        <f>+K109+K110+K111</f>
        <v>28950.13</v>
      </c>
    </row>
    <row r="106" spans="2:17" ht="16.5" thickBot="1">
      <c r="B106" s="151" t="s">
        <v>183</v>
      </c>
      <c r="C106" s="152"/>
      <c r="D106" s="152"/>
      <c r="E106" s="152"/>
      <c r="F106" s="152"/>
      <c r="G106" s="153">
        <f t="shared" ref="G106:J106" si="55">+G112</f>
        <v>16679.975999999999</v>
      </c>
      <c r="H106" s="153">
        <f t="shared" si="55"/>
        <v>626.43700000000001</v>
      </c>
      <c r="I106" s="153">
        <f t="shared" si="55"/>
        <v>2197.87</v>
      </c>
      <c r="J106" s="153">
        <f t="shared" si="55"/>
        <v>2721.0230000000001</v>
      </c>
      <c r="K106" s="153">
        <f>+K112</f>
        <v>20222.842000000001</v>
      </c>
    </row>
    <row r="109" spans="2:17" ht="15.75">
      <c r="G109" s="141">
        <v>12165.805</v>
      </c>
      <c r="H109" s="141">
        <v>11823.081</v>
      </c>
      <c r="I109" s="141">
        <v>12942.294</v>
      </c>
      <c r="J109" s="141">
        <v>19166.677</v>
      </c>
      <c r="K109" s="141">
        <v>24725.875</v>
      </c>
    </row>
    <row r="110" spans="2:17" ht="15.75">
      <c r="G110" s="141">
        <v>0</v>
      </c>
      <c r="H110" s="141">
        <v>0</v>
      </c>
      <c r="I110" s="141">
        <v>0</v>
      </c>
      <c r="J110" s="141">
        <v>1855.1369999999999</v>
      </c>
      <c r="K110" s="141">
        <v>4179.8069999999998</v>
      </c>
    </row>
    <row r="111" spans="2:17" ht="15.75">
      <c r="G111" s="141">
        <v>0</v>
      </c>
      <c r="H111" s="141">
        <v>0</v>
      </c>
      <c r="I111" s="141">
        <v>0</v>
      </c>
      <c r="J111" s="141">
        <v>40.893999999999998</v>
      </c>
      <c r="K111" s="141">
        <v>44.448</v>
      </c>
    </row>
    <row r="112" spans="2:17" ht="15.75">
      <c r="G112" s="141">
        <v>16679.975999999999</v>
      </c>
      <c r="H112" s="141">
        <v>626.43700000000001</v>
      </c>
      <c r="I112" s="141">
        <v>2197.87</v>
      </c>
      <c r="J112" s="141">
        <v>2721.0230000000001</v>
      </c>
      <c r="K112" s="141">
        <v>20222.842000000001</v>
      </c>
    </row>
    <row r="113" spans="7:11">
      <c r="G113" s="346"/>
      <c r="H113" s="346"/>
      <c r="I113" s="346"/>
      <c r="J113" s="346"/>
      <c r="K113" s="346"/>
    </row>
    <row r="114" spans="7:11">
      <c r="G114" s="346"/>
      <c r="H114" s="346"/>
      <c r="I114" s="346"/>
      <c r="J114" s="346"/>
      <c r="K114" s="346"/>
    </row>
  </sheetData>
  <mergeCells count="92">
    <mergeCell ref="B28:F28"/>
    <mergeCell ref="B31:F31"/>
    <mergeCell ref="B50:F50"/>
    <mergeCell ref="B38:F38"/>
    <mergeCell ref="B40:F40"/>
    <mergeCell ref="B43:F43"/>
    <mergeCell ref="B45:F45"/>
    <mergeCell ref="B47:F47"/>
    <mergeCell ref="B35:F35"/>
    <mergeCell ref="B36:F36"/>
    <mergeCell ref="B32:F32"/>
    <mergeCell ref="B30:F30"/>
    <mergeCell ref="B33:F33"/>
    <mergeCell ref="B29:F29"/>
    <mergeCell ref="B44:F44"/>
    <mergeCell ref="B48:F48"/>
    <mergeCell ref="B1:P5"/>
    <mergeCell ref="B8:P8"/>
    <mergeCell ref="B9:P10"/>
    <mergeCell ref="B11:P11"/>
    <mergeCell ref="B12:P12"/>
    <mergeCell ref="B13:P13"/>
    <mergeCell ref="B14:P14"/>
    <mergeCell ref="B21:F21"/>
    <mergeCell ref="B22:F22"/>
    <mergeCell ref="B25:F25"/>
    <mergeCell ref="B19:F19"/>
    <mergeCell ref="B20:F20"/>
    <mergeCell ref="L16:P16"/>
    <mergeCell ref="B15:F15"/>
    <mergeCell ref="B16:F16"/>
    <mergeCell ref="B17:F17"/>
    <mergeCell ref="B18:F18"/>
    <mergeCell ref="B23:F23"/>
    <mergeCell ref="B24:F24"/>
    <mergeCell ref="B99:F99"/>
    <mergeCell ref="B100:F100"/>
    <mergeCell ref="B85:F85"/>
    <mergeCell ref="B93:F93"/>
    <mergeCell ref="B97:F97"/>
    <mergeCell ref="B87:F87"/>
    <mergeCell ref="B88:F88"/>
    <mergeCell ref="B89:F89"/>
    <mergeCell ref="B90:F90"/>
    <mergeCell ref="B91:F91"/>
    <mergeCell ref="B92:F92"/>
    <mergeCell ref="B94:F94"/>
    <mergeCell ref="B95:F95"/>
    <mergeCell ref="B86:F86"/>
    <mergeCell ref="B96:F96"/>
    <mergeCell ref="B98:F98"/>
    <mergeCell ref="B26:F26"/>
    <mergeCell ref="B42:F42"/>
    <mergeCell ref="B53:F53"/>
    <mergeCell ref="B67:F67"/>
    <mergeCell ref="B70:F70"/>
    <mergeCell ref="B65:F65"/>
    <mergeCell ref="B68:F68"/>
    <mergeCell ref="B59:F59"/>
    <mergeCell ref="B62:F62"/>
    <mergeCell ref="B51:F51"/>
    <mergeCell ref="B52:F52"/>
    <mergeCell ref="B54:F54"/>
    <mergeCell ref="B46:F46"/>
    <mergeCell ref="B37:F37"/>
    <mergeCell ref="B34:F34"/>
    <mergeCell ref="B27:F27"/>
    <mergeCell ref="Z91:AB91"/>
    <mergeCell ref="B74:F74"/>
    <mergeCell ref="B63:F63"/>
    <mergeCell ref="B71:F71"/>
    <mergeCell ref="B75:F75"/>
    <mergeCell ref="B77:F77"/>
    <mergeCell ref="S86:T86"/>
    <mergeCell ref="L86:P86"/>
    <mergeCell ref="B79:F79"/>
    <mergeCell ref="B81:K81"/>
    <mergeCell ref="B82:K82"/>
    <mergeCell ref="B83:K83"/>
    <mergeCell ref="B84:K84"/>
    <mergeCell ref="B73:F73"/>
    <mergeCell ref="B69:F69"/>
    <mergeCell ref="B72:F72"/>
    <mergeCell ref="B58:F58"/>
    <mergeCell ref="V86:W86"/>
    <mergeCell ref="Z86:AC86"/>
    <mergeCell ref="B49:F49"/>
    <mergeCell ref="B55:F55"/>
    <mergeCell ref="B56:F56"/>
    <mergeCell ref="B60:F60"/>
    <mergeCell ref="B61:F61"/>
    <mergeCell ref="B57:F57"/>
  </mergeCells>
  <pageMargins left="0.7" right="0.7" top="0.75" bottom="0.75" header="0.3" footer="0.3"/>
  <pageSetup orientation="portrait" r:id="rId1"/>
  <ignoredErrors>
    <ignoredError sqref="G89:K89"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9" tint="-0.499984740745262"/>
  </sheetPr>
  <dimension ref="A1:AI172"/>
  <sheetViews>
    <sheetView topLeftCell="F65" zoomScale="85" zoomScaleNormal="85" workbookViewId="0">
      <selection activeCell="O80" sqref="O80"/>
    </sheetView>
  </sheetViews>
  <sheetFormatPr baseColWidth="10" defaultColWidth="11.42578125" defaultRowHeight="15"/>
  <cols>
    <col min="1" max="1" width="14.85546875" style="1" customWidth="1"/>
    <col min="2" max="2" width="13.85546875" style="1" customWidth="1"/>
    <col min="3" max="3" width="11.42578125" style="1"/>
    <col min="4" max="4" width="6.42578125" style="1" customWidth="1"/>
    <col min="5" max="5" width="6" style="1" customWidth="1"/>
    <col min="6" max="6" width="18.140625" style="1" customWidth="1"/>
    <col min="7" max="7" width="17" style="1" customWidth="1"/>
    <col min="8" max="8" width="19.42578125" style="1" customWidth="1"/>
    <col min="9" max="9" width="18.140625" style="1" customWidth="1"/>
    <col min="10" max="10" width="19.28515625" style="1" customWidth="1"/>
    <col min="11" max="11" width="18.5703125" style="1" customWidth="1"/>
    <col min="12" max="12" width="17.5703125" style="1" customWidth="1"/>
    <col min="13" max="13" width="16.85546875" style="1" customWidth="1"/>
    <col min="14" max="14" width="18.28515625" style="1" customWidth="1"/>
    <col min="15" max="15" width="17.85546875" style="1" bestFit="1" customWidth="1"/>
    <col min="16" max="16" width="11.42578125" style="1" customWidth="1"/>
    <col min="17" max="17" width="27.85546875" style="1" customWidth="1"/>
    <col min="18" max="18" width="23.7109375" style="1" bestFit="1" customWidth="1"/>
    <col min="19" max="19" width="22.5703125" style="1" bestFit="1" customWidth="1"/>
    <col min="20" max="21" width="12.28515625" style="1" bestFit="1" customWidth="1"/>
    <col min="22" max="22" width="8.42578125" style="1" bestFit="1" customWidth="1"/>
    <col min="23" max="23" width="14.7109375" style="1" customWidth="1"/>
    <col min="24" max="24" width="23.140625" style="1" bestFit="1" customWidth="1"/>
    <col min="25" max="25" width="22.5703125" style="1" bestFit="1" customWidth="1"/>
    <col min="26" max="26" width="13.5703125" style="1" customWidth="1"/>
    <col min="27" max="27" width="14.140625" style="1" customWidth="1"/>
    <col min="28" max="34" width="11.42578125" style="1"/>
    <col min="35" max="35" width="24.85546875" style="1" customWidth="1"/>
    <col min="36" max="16384" width="11.42578125" style="1"/>
  </cols>
  <sheetData>
    <row r="1" spans="1:29">
      <c r="A1" s="605" t="s">
        <v>0</v>
      </c>
      <c r="B1" s="606"/>
      <c r="C1" s="606"/>
      <c r="D1" s="606"/>
      <c r="E1" s="606"/>
      <c r="F1" s="606"/>
      <c r="G1" s="606"/>
      <c r="H1" s="606"/>
      <c r="I1" s="606"/>
      <c r="J1" s="606"/>
      <c r="K1" s="606"/>
      <c r="L1" s="606"/>
      <c r="M1" s="606"/>
      <c r="N1" s="606"/>
      <c r="O1" s="606"/>
      <c r="P1" s="607"/>
    </row>
    <row r="2" spans="1:29">
      <c r="A2" s="608"/>
      <c r="B2" s="609"/>
      <c r="C2" s="609"/>
      <c r="D2" s="609"/>
      <c r="E2" s="609"/>
      <c r="F2" s="609"/>
      <c r="G2" s="609"/>
      <c r="H2" s="609"/>
      <c r="I2" s="609"/>
      <c r="J2" s="609"/>
      <c r="K2" s="609"/>
      <c r="L2" s="609"/>
      <c r="M2" s="609"/>
      <c r="N2" s="609"/>
      <c r="O2" s="609"/>
      <c r="P2" s="610"/>
    </row>
    <row r="3" spans="1:29">
      <c r="A3" s="608"/>
      <c r="B3" s="609"/>
      <c r="C3" s="609"/>
      <c r="D3" s="609"/>
      <c r="E3" s="609"/>
      <c r="F3" s="609"/>
      <c r="G3" s="609"/>
      <c r="H3" s="609"/>
      <c r="I3" s="609"/>
      <c r="J3" s="609"/>
      <c r="K3" s="609"/>
      <c r="L3" s="609"/>
      <c r="M3" s="609"/>
      <c r="N3" s="609"/>
      <c r="O3" s="609"/>
      <c r="P3" s="610"/>
    </row>
    <row r="4" spans="1:29">
      <c r="A4" s="608"/>
      <c r="B4" s="609"/>
      <c r="C4" s="609"/>
      <c r="D4" s="609"/>
      <c r="E4" s="609"/>
      <c r="F4" s="609"/>
      <c r="G4" s="609"/>
      <c r="H4" s="609"/>
      <c r="I4" s="609"/>
      <c r="J4" s="609"/>
      <c r="K4" s="609"/>
      <c r="L4" s="609"/>
      <c r="M4" s="609"/>
      <c r="N4" s="609"/>
      <c r="O4" s="609"/>
      <c r="P4" s="610"/>
    </row>
    <row r="5" spans="1:29">
      <c r="A5" s="608"/>
      <c r="B5" s="609"/>
      <c r="C5" s="609"/>
      <c r="D5" s="609"/>
      <c r="E5" s="609"/>
      <c r="F5" s="609"/>
      <c r="G5" s="609"/>
      <c r="H5" s="609"/>
      <c r="I5" s="609"/>
      <c r="J5" s="609"/>
      <c r="K5" s="609"/>
      <c r="L5" s="609"/>
      <c r="M5" s="609"/>
      <c r="N5" s="609"/>
      <c r="O5" s="609"/>
      <c r="P5" s="610"/>
    </row>
    <row r="6" spans="1:29" ht="15.75" thickBot="1">
      <c r="A6" s="96" t="str">
        <f>'Cifras Historicas'!B6</f>
        <v>Modelo INGEH V8.0 Ultima actualización Noviembre 2022</v>
      </c>
      <c r="B6" s="97"/>
      <c r="C6" s="97"/>
      <c r="D6" s="97"/>
      <c r="E6" s="97"/>
      <c r="F6" s="97"/>
      <c r="G6" s="97"/>
      <c r="H6" s="97"/>
      <c r="I6" s="97"/>
      <c r="J6" s="97"/>
      <c r="K6" s="97"/>
      <c r="L6" s="97"/>
      <c r="M6" s="97"/>
      <c r="N6" s="97"/>
      <c r="O6" s="97"/>
      <c r="P6" s="98"/>
    </row>
    <row r="8" spans="1:29" ht="15.75" thickBot="1"/>
    <row r="9" spans="1:29">
      <c r="A9" s="628" t="s">
        <v>33</v>
      </c>
      <c r="B9" s="629"/>
      <c r="C9" s="629"/>
      <c r="D9" s="629"/>
      <c r="E9" s="629"/>
      <c r="F9" s="629"/>
      <c r="G9" s="629"/>
      <c r="H9" s="629"/>
      <c r="I9" s="629"/>
      <c r="J9" s="629"/>
      <c r="K9" s="629"/>
      <c r="L9" s="629"/>
      <c r="M9" s="629"/>
      <c r="N9" s="629"/>
      <c r="O9" s="629"/>
      <c r="P9" s="630"/>
    </row>
    <row r="10" spans="1:29" ht="15.75" thickBot="1">
      <c r="A10" s="631"/>
      <c r="B10" s="632"/>
      <c r="C10" s="632"/>
      <c r="D10" s="632"/>
      <c r="E10" s="632"/>
      <c r="F10" s="632"/>
      <c r="G10" s="632"/>
      <c r="H10" s="632"/>
      <c r="I10" s="632"/>
      <c r="J10" s="632"/>
      <c r="K10" s="632"/>
      <c r="L10" s="632"/>
      <c r="M10" s="632"/>
      <c r="N10" s="632"/>
      <c r="O10" s="632"/>
      <c r="P10" s="633"/>
    </row>
    <row r="11" spans="1:29" ht="23.25">
      <c r="A11" s="589" t="s">
        <v>345</v>
      </c>
      <c r="B11" s="590"/>
      <c r="C11" s="590"/>
      <c r="D11" s="590"/>
      <c r="E11" s="590"/>
      <c r="F11" s="590"/>
      <c r="G11" s="590"/>
      <c r="H11" s="590"/>
      <c r="I11" s="590"/>
      <c r="J11" s="590"/>
      <c r="K11" s="590"/>
      <c r="L11" s="590"/>
      <c r="M11" s="590"/>
      <c r="N11" s="590"/>
      <c r="O11" s="590"/>
      <c r="P11" s="676"/>
    </row>
    <row r="12" spans="1:29">
      <c r="A12" s="591" t="s">
        <v>23</v>
      </c>
      <c r="B12" s="592"/>
      <c r="C12" s="592"/>
      <c r="D12" s="592"/>
      <c r="E12" s="592"/>
      <c r="F12" s="592"/>
      <c r="G12" s="592"/>
      <c r="H12" s="592"/>
      <c r="I12" s="592"/>
      <c r="J12" s="592"/>
      <c r="K12" s="592"/>
      <c r="L12" s="592"/>
      <c r="M12" s="592"/>
      <c r="N12" s="592"/>
      <c r="O12" s="592"/>
      <c r="P12" s="637"/>
    </row>
    <row r="13" spans="1:29" ht="15.75" thickBot="1">
      <c r="A13" s="591" t="s">
        <v>619</v>
      </c>
      <c r="B13" s="592"/>
      <c r="C13" s="592"/>
      <c r="D13" s="592"/>
      <c r="E13" s="592"/>
      <c r="F13" s="592"/>
      <c r="G13" s="592"/>
      <c r="H13" s="592"/>
      <c r="I13" s="592"/>
      <c r="J13" s="592"/>
      <c r="K13" s="592"/>
      <c r="L13" s="592"/>
      <c r="M13" s="592"/>
      <c r="N13" s="592"/>
      <c r="O13" s="592"/>
      <c r="P13" s="637"/>
    </row>
    <row r="14" spans="1:29" ht="20.25" thickBot="1">
      <c r="A14" s="593" t="s">
        <v>2</v>
      </c>
      <c r="B14" s="594"/>
      <c r="C14" s="594"/>
      <c r="D14" s="594"/>
      <c r="E14" s="594"/>
      <c r="F14" s="594"/>
      <c r="G14" s="594"/>
      <c r="H14" s="594"/>
      <c r="I14" s="594"/>
      <c r="J14" s="594"/>
      <c r="K14" s="594"/>
      <c r="L14" s="594"/>
      <c r="M14" s="594"/>
      <c r="N14" s="594"/>
      <c r="O14" s="594"/>
      <c r="P14" s="681"/>
      <c r="R14" s="677" t="s">
        <v>264</v>
      </c>
      <c r="S14" s="678"/>
      <c r="T14" s="678"/>
      <c r="U14" s="678"/>
      <c r="V14" s="678"/>
      <c r="W14" s="678"/>
      <c r="X14" s="678"/>
      <c r="Y14" s="678"/>
      <c r="Z14" s="678"/>
      <c r="AA14" s="678"/>
      <c r="AB14" s="679"/>
    </row>
    <row r="15" spans="1:29">
      <c r="A15" s="682"/>
      <c r="B15" s="683"/>
      <c r="C15" s="683"/>
      <c r="D15" s="683"/>
      <c r="E15" s="683"/>
      <c r="F15" s="454"/>
      <c r="G15" s="454"/>
      <c r="H15" s="454"/>
      <c r="I15" s="454"/>
      <c r="J15" s="454"/>
      <c r="K15" s="454"/>
      <c r="L15" s="86"/>
      <c r="M15" s="86"/>
      <c r="N15" s="86"/>
      <c r="O15" s="86"/>
      <c r="R15" s="257" t="s">
        <v>206</v>
      </c>
      <c r="S15" s="455">
        <f>F24</f>
        <v>2018</v>
      </c>
      <c r="T15" s="455">
        <f t="shared" ref="T15:W15" si="0">G24</f>
        <v>2019</v>
      </c>
      <c r="U15" s="455">
        <f t="shared" si="0"/>
        <v>2020</v>
      </c>
      <c r="V15" s="455">
        <f t="shared" si="0"/>
        <v>2021</v>
      </c>
      <c r="W15" s="456">
        <f t="shared" si="0"/>
        <v>2022</v>
      </c>
      <c r="X15" s="457">
        <f t="shared" ref="X15" si="1">K24</f>
        <v>2023</v>
      </c>
      <c r="Y15" s="458">
        <f t="shared" ref="Y15" si="2">L24</f>
        <v>2024</v>
      </c>
      <c r="Z15" s="458">
        <f t="shared" ref="Z15" si="3">M24</f>
        <v>2025</v>
      </c>
      <c r="AA15" s="458">
        <f t="shared" ref="AA15" si="4">N24</f>
        <v>2026</v>
      </c>
      <c r="AB15" s="459">
        <f t="shared" ref="AB15" si="5">O24</f>
        <v>2027</v>
      </c>
    </row>
    <row r="16" spans="1:29" ht="15.75" thickBot="1">
      <c r="B16" s="437"/>
      <c r="C16" s="437"/>
      <c r="D16" s="437"/>
      <c r="E16" s="437"/>
      <c r="F16" s="437"/>
      <c r="G16" s="437"/>
      <c r="H16" s="437"/>
      <c r="I16" s="437"/>
      <c r="J16" s="437"/>
      <c r="K16" s="437"/>
      <c r="R16" s="258" t="s">
        <v>205</v>
      </c>
      <c r="S16" s="256">
        <v>0.15</v>
      </c>
      <c r="T16" s="16">
        <v>0.1124</v>
      </c>
      <c r="U16" s="16">
        <v>9.7100000000000006E-2</v>
      </c>
      <c r="V16" s="16">
        <v>7.5800000000000006E-2</v>
      </c>
      <c r="W16" s="259">
        <v>7.4399999999999994E-2</v>
      </c>
      <c r="X16" s="263">
        <v>0.1598</v>
      </c>
      <c r="Y16" s="266">
        <f t="shared" ref="Y16:AB16" si="6">((1+$X$18)*(1+Y17))-1</f>
        <v>0.14319041725601123</v>
      </c>
      <c r="Z16" s="266">
        <f t="shared" si="6"/>
        <v>0.11243193069306923</v>
      </c>
      <c r="AA16" s="266">
        <f t="shared" si="6"/>
        <v>7.6547029702970226E-2</v>
      </c>
      <c r="AB16" s="267">
        <f t="shared" si="6"/>
        <v>7.1420615275813226E-2</v>
      </c>
      <c r="AC16" s="1" t="s">
        <v>316</v>
      </c>
    </row>
    <row r="17" spans="1:29" ht="15.75" thickBot="1">
      <c r="A17" s="628" t="s">
        <v>27</v>
      </c>
      <c r="B17" s="629"/>
      <c r="C17" s="629"/>
      <c r="D17" s="629"/>
      <c r="E17" s="629"/>
      <c r="F17" s="629"/>
      <c r="G17" s="629"/>
      <c r="H17" s="629"/>
      <c r="I17" s="629"/>
      <c r="J17" s="629"/>
      <c r="K17" s="629"/>
      <c r="L17" s="629"/>
      <c r="M17" s="629"/>
      <c r="N17" s="629"/>
      <c r="O17" s="629"/>
      <c r="P17" s="630"/>
      <c r="R17" s="207" t="s">
        <v>263</v>
      </c>
      <c r="S17" s="260">
        <f t="shared" ref="S17:W17" si="7">F25</f>
        <v>4.0899999999999999E-2</v>
      </c>
      <c r="T17" s="260">
        <f t="shared" si="7"/>
        <v>3.1800000000000002E-2</v>
      </c>
      <c r="U17" s="260">
        <f t="shared" si="7"/>
        <v>3.7999999999999999E-2</v>
      </c>
      <c r="V17" s="260">
        <f t="shared" si="7"/>
        <v>1.61E-2</v>
      </c>
      <c r="W17" s="261">
        <f t="shared" si="7"/>
        <v>5.62E-2</v>
      </c>
      <c r="X17" s="262">
        <f t="shared" ref="X17:AB17" si="8">+K25</f>
        <v>0.13120000000000001</v>
      </c>
      <c r="Y17" s="260">
        <f t="shared" si="8"/>
        <v>0.115</v>
      </c>
      <c r="Z17" s="260">
        <f t="shared" si="8"/>
        <v>8.5000000000000006E-2</v>
      </c>
      <c r="AA17" s="260">
        <f t="shared" si="8"/>
        <v>0.05</v>
      </c>
      <c r="AB17" s="261">
        <f t="shared" si="8"/>
        <v>4.4999999999999998E-2</v>
      </c>
      <c r="AC17" s="332" t="s">
        <v>317</v>
      </c>
    </row>
    <row r="18" spans="1:29" ht="15.75" thickBot="1">
      <c r="A18" s="631"/>
      <c r="B18" s="632"/>
      <c r="C18" s="632"/>
      <c r="D18" s="632"/>
      <c r="E18" s="632"/>
      <c r="F18" s="632"/>
      <c r="G18" s="632"/>
      <c r="H18" s="632"/>
      <c r="I18" s="632"/>
      <c r="J18" s="632"/>
      <c r="K18" s="632"/>
      <c r="L18" s="632"/>
      <c r="M18" s="632"/>
      <c r="N18" s="632"/>
      <c r="O18" s="632"/>
      <c r="P18" s="633"/>
      <c r="W18" s="76"/>
      <c r="X18" s="268">
        <f>(1+X16)/(1+X17)-1</f>
        <v>2.5282885431400226E-2</v>
      </c>
      <c r="Y18" s="76"/>
      <c r="Z18" s="76"/>
      <c r="AA18" s="76"/>
      <c r="AB18" s="76"/>
    </row>
    <row r="19" spans="1:29" ht="23.25">
      <c r="A19" s="589" t="s">
        <v>345</v>
      </c>
      <c r="B19" s="590"/>
      <c r="C19" s="590"/>
      <c r="D19" s="590"/>
      <c r="E19" s="590"/>
      <c r="F19" s="590"/>
      <c r="G19" s="590"/>
      <c r="H19" s="590"/>
      <c r="I19" s="590"/>
      <c r="J19" s="590"/>
      <c r="K19" s="590"/>
      <c r="L19" s="590"/>
      <c r="M19" s="590"/>
      <c r="N19" s="590"/>
      <c r="O19" s="590"/>
      <c r="P19" s="676"/>
      <c r="X19" s="25"/>
      <c r="Y19" s="25"/>
      <c r="Z19" s="25"/>
      <c r="AA19" s="25"/>
      <c r="AB19" s="25"/>
    </row>
    <row r="20" spans="1:29">
      <c r="A20" s="591" t="s">
        <v>28</v>
      </c>
      <c r="B20" s="592"/>
      <c r="C20" s="592"/>
      <c r="D20" s="592"/>
      <c r="E20" s="592"/>
      <c r="F20" s="592"/>
      <c r="G20" s="592"/>
      <c r="H20" s="592"/>
      <c r="I20" s="592"/>
      <c r="J20" s="592"/>
      <c r="K20" s="592"/>
      <c r="L20" s="592"/>
      <c r="M20" s="592"/>
      <c r="N20" s="592"/>
      <c r="O20" s="592"/>
      <c r="P20" s="637"/>
    </row>
    <row r="21" spans="1:29" ht="15.75" thickBot="1">
      <c r="A21" s="591"/>
      <c r="B21" s="592"/>
      <c r="C21" s="592"/>
      <c r="D21" s="592"/>
      <c r="E21" s="592"/>
      <c r="F21" s="592"/>
      <c r="G21" s="592"/>
      <c r="H21" s="592"/>
      <c r="I21" s="592"/>
      <c r="J21" s="592"/>
      <c r="K21" s="592"/>
      <c r="L21" s="592"/>
      <c r="M21" s="592"/>
      <c r="N21" s="592"/>
      <c r="O21" s="592"/>
      <c r="P21" s="637"/>
    </row>
    <row r="22" spans="1:29" ht="26.25" thickBot="1">
      <c r="A22" s="666" t="s">
        <v>29</v>
      </c>
      <c r="B22" s="667"/>
      <c r="C22" s="667"/>
      <c r="D22" s="667"/>
      <c r="E22" s="667"/>
      <c r="F22" s="667"/>
      <c r="G22" s="667"/>
      <c r="H22" s="667"/>
      <c r="I22" s="667"/>
      <c r="J22" s="667"/>
      <c r="K22" s="667"/>
      <c r="L22" s="667"/>
      <c r="M22" s="667"/>
      <c r="N22" s="667"/>
      <c r="O22" s="667"/>
      <c r="P22" s="668"/>
    </row>
    <row r="23" spans="1:29" ht="22.5" customHeight="1" thickBot="1">
      <c r="A23" s="104"/>
      <c r="B23" s="105"/>
      <c r="C23" s="105"/>
      <c r="D23" s="105"/>
      <c r="E23" s="105"/>
      <c r="F23" s="687" t="s">
        <v>31</v>
      </c>
      <c r="G23" s="688"/>
      <c r="H23" s="688"/>
      <c r="I23" s="688"/>
      <c r="J23" s="688"/>
      <c r="K23" s="687" t="s">
        <v>30</v>
      </c>
      <c r="L23" s="688"/>
      <c r="M23" s="688"/>
      <c r="N23" s="688"/>
      <c r="O23" s="688"/>
      <c r="P23" s="72"/>
      <c r="S23" s="680"/>
      <c r="T23" s="680"/>
      <c r="U23" s="680"/>
      <c r="V23" s="680"/>
      <c r="W23" s="680"/>
      <c r="Y23" s="680"/>
      <c r="Z23" s="680"/>
      <c r="AA23" s="680"/>
      <c r="AB23" s="680"/>
      <c r="AC23" s="680"/>
    </row>
    <row r="24" spans="1:29" ht="15.75" customHeight="1" thickBot="1">
      <c r="A24" s="684" t="s">
        <v>201</v>
      </c>
      <c r="B24" s="685"/>
      <c r="C24" s="685"/>
      <c r="D24" s="685"/>
      <c r="E24" s="686"/>
      <c r="F24" s="464">
        <f>'Cifras Historicas'!G15</f>
        <v>2018</v>
      </c>
      <c r="G24" s="465">
        <f>'Cifras Historicas'!H15</f>
        <v>2019</v>
      </c>
      <c r="H24" s="465">
        <f>'Cifras Historicas'!I15</f>
        <v>2020</v>
      </c>
      <c r="I24" s="465">
        <f>'Cifras Historicas'!J15</f>
        <v>2021</v>
      </c>
      <c r="J24" s="466">
        <f>'Cifras Historicas'!K15</f>
        <v>2022</v>
      </c>
      <c r="K24" s="467">
        <f t="shared" ref="K24:O24" si="9">J24+1</f>
        <v>2023</v>
      </c>
      <c r="L24" s="468">
        <f t="shared" si="9"/>
        <v>2024</v>
      </c>
      <c r="M24" s="468">
        <f t="shared" si="9"/>
        <v>2025</v>
      </c>
      <c r="N24" s="468">
        <f t="shared" si="9"/>
        <v>2026</v>
      </c>
      <c r="O24" s="469">
        <f t="shared" si="9"/>
        <v>2027</v>
      </c>
      <c r="P24" s="73"/>
      <c r="R24" s="70"/>
      <c r="S24" s="86"/>
      <c r="T24" s="86"/>
      <c r="U24" s="86"/>
      <c r="V24" s="86"/>
      <c r="W24" s="86"/>
      <c r="X24" s="70"/>
      <c r="Y24" s="86"/>
      <c r="Z24" s="86"/>
      <c r="AA24" s="86"/>
      <c r="AB24" s="86"/>
      <c r="AC24" s="86"/>
    </row>
    <row r="25" spans="1:29" ht="15.75" customHeight="1">
      <c r="A25" s="669" t="s">
        <v>242</v>
      </c>
      <c r="B25" s="577"/>
      <c r="C25" s="577"/>
      <c r="D25" s="577"/>
      <c r="E25" s="597"/>
      <c r="F25" s="218">
        <v>4.0899999999999999E-2</v>
      </c>
      <c r="G25" s="219">
        <v>3.1800000000000002E-2</v>
      </c>
      <c r="H25" s="219">
        <v>3.7999999999999999E-2</v>
      </c>
      <c r="I25" s="219">
        <v>1.61E-2</v>
      </c>
      <c r="J25" s="220">
        <v>5.62E-2</v>
      </c>
      <c r="K25" s="220">
        <v>0.13120000000000001</v>
      </c>
      <c r="L25" s="220">
        <v>0.115</v>
      </c>
      <c r="M25" s="220">
        <v>8.5000000000000006E-2</v>
      </c>
      <c r="N25" s="220">
        <v>0.05</v>
      </c>
      <c r="O25" s="220">
        <v>4.4999999999999998E-2</v>
      </c>
      <c r="P25" s="73"/>
      <c r="Q25" s="350" t="s">
        <v>360</v>
      </c>
      <c r="S25" s="14"/>
      <c r="T25" s="14"/>
      <c r="U25" s="14"/>
      <c r="V25" s="14"/>
      <c r="W25" s="14"/>
      <c r="Y25" s="14"/>
      <c r="Z25" s="14"/>
      <c r="AA25" s="14"/>
      <c r="AB25" s="14"/>
      <c r="AC25" s="14"/>
    </row>
    <row r="26" spans="1:29" ht="15.75" customHeight="1">
      <c r="A26" s="669" t="s">
        <v>202</v>
      </c>
      <c r="B26" s="670"/>
      <c r="C26" s="670"/>
      <c r="D26" s="670"/>
      <c r="E26" s="671"/>
      <c r="F26" s="460">
        <v>1.4E-2</v>
      </c>
      <c r="G26" s="461">
        <v>2.5999999999999999E-2</v>
      </c>
      <c r="H26" s="461">
        <v>3.2000000000000001E-2</v>
      </c>
      <c r="I26" s="461">
        <v>-7.0000000000000007E-2</v>
      </c>
      <c r="J26" s="462">
        <v>0.106</v>
      </c>
      <c r="K26" s="463">
        <v>9.4E-2</v>
      </c>
      <c r="L26" s="220">
        <v>1.4999999999999999E-2</v>
      </c>
      <c r="M26" s="220">
        <v>0.02</v>
      </c>
      <c r="N26" s="220">
        <v>2.5000000000000001E-2</v>
      </c>
      <c r="O26" s="220">
        <v>3.5000000000000003E-2</v>
      </c>
      <c r="P26" s="73"/>
      <c r="S26" s="14"/>
      <c r="T26" s="14"/>
      <c r="U26" s="14"/>
      <c r="V26" s="14"/>
      <c r="W26" s="14"/>
      <c r="Y26" s="14"/>
      <c r="Z26" s="14"/>
      <c r="AA26" s="14"/>
      <c r="AB26" s="14"/>
      <c r="AC26" s="14"/>
    </row>
    <row r="27" spans="1:29" ht="15.75" customHeight="1">
      <c r="A27" s="656" t="s">
        <v>203</v>
      </c>
      <c r="B27" s="581"/>
      <c r="C27" s="581"/>
      <c r="D27" s="581"/>
      <c r="E27" s="657"/>
      <c r="F27" s="264">
        <f>((1+F25)*(1+F26))-1</f>
        <v>5.5472599999999872E-2</v>
      </c>
      <c r="G27" s="187">
        <f t="shared" ref="G27:J27" si="10">((1+G25)*(1+G26))-1</f>
        <v>5.862680000000009E-2</v>
      </c>
      <c r="H27" s="187">
        <f t="shared" si="10"/>
        <v>7.1216000000000168E-2</v>
      </c>
      <c r="I27" s="187">
        <f t="shared" si="10"/>
        <v>-5.5027000000000048E-2</v>
      </c>
      <c r="J27" s="188">
        <f t="shared" si="10"/>
        <v>0.16815720000000023</v>
      </c>
      <c r="K27" s="216">
        <v>0.03</v>
      </c>
      <c r="L27" s="216">
        <v>0.03</v>
      </c>
      <c r="M27" s="216">
        <v>0.03</v>
      </c>
      <c r="N27" s="216">
        <v>0.03</v>
      </c>
      <c r="O27" s="216">
        <v>0.03</v>
      </c>
      <c r="P27" s="73"/>
      <c r="S27" s="189"/>
      <c r="T27" s="189"/>
      <c r="U27" s="189"/>
      <c r="V27" s="189"/>
      <c r="W27" s="189"/>
      <c r="Y27" s="189"/>
      <c r="Z27" s="189"/>
      <c r="AA27" s="189"/>
      <c r="AB27" s="189"/>
      <c r="AC27" s="189"/>
    </row>
    <row r="28" spans="1:29" ht="15.75" customHeight="1" thickBot="1">
      <c r="A28" s="656"/>
      <c r="B28" s="581"/>
      <c r="C28" s="581"/>
      <c r="D28" s="581"/>
      <c r="E28" s="657"/>
      <c r="F28" s="217"/>
      <c r="G28" s="658" t="s">
        <v>243</v>
      </c>
      <c r="H28" s="658"/>
      <c r="I28" s="658"/>
      <c r="J28" s="659"/>
      <c r="K28" s="660" t="s">
        <v>204</v>
      </c>
      <c r="L28" s="661"/>
      <c r="M28" s="661"/>
      <c r="N28" s="661"/>
      <c r="O28" s="662"/>
      <c r="P28" s="73"/>
      <c r="R28" s="70"/>
      <c r="S28" s="47"/>
      <c r="T28" s="78"/>
      <c r="U28" s="78"/>
      <c r="V28" s="78"/>
      <c r="W28" s="78"/>
      <c r="X28" s="70"/>
      <c r="Y28" s="47"/>
      <c r="Z28" s="78"/>
      <c r="AA28" s="78"/>
      <c r="AB28" s="78"/>
      <c r="AC28" s="78"/>
    </row>
    <row r="29" spans="1:29" ht="15" customHeight="1">
      <c r="K29" s="14"/>
      <c r="L29" s="14"/>
      <c r="M29" s="14"/>
      <c r="N29" s="14"/>
      <c r="O29" s="14"/>
      <c r="P29" s="73"/>
      <c r="S29" s="103"/>
      <c r="T29" s="103"/>
      <c r="U29" s="103"/>
      <c r="V29" s="103"/>
      <c r="W29" s="103"/>
      <c r="Y29" s="103"/>
      <c r="Z29" s="103"/>
      <c r="AA29" s="103"/>
      <c r="AB29" s="103"/>
      <c r="AC29" s="103"/>
    </row>
    <row r="30" spans="1:29" ht="21" customHeight="1">
      <c r="A30" s="663"/>
      <c r="B30" s="663"/>
      <c r="C30" s="663"/>
      <c r="D30" s="663"/>
      <c r="E30" s="663"/>
      <c r="F30" s="186"/>
      <c r="P30" s="73"/>
    </row>
    <row r="31" spans="1:29" ht="15.75" customHeight="1" thickBot="1">
      <c r="K31" s="14"/>
      <c r="P31" s="224"/>
      <c r="R31" s="689"/>
      <c r="S31" s="689"/>
    </row>
    <row r="32" spans="1:29" ht="20.25" thickBot="1">
      <c r="A32" s="672"/>
      <c r="B32" s="673"/>
      <c r="C32" s="673"/>
      <c r="D32" s="673"/>
      <c r="E32" s="673"/>
      <c r="F32" s="673"/>
      <c r="G32" s="673"/>
      <c r="H32" s="673"/>
      <c r="I32" s="673"/>
      <c r="J32" s="673"/>
      <c r="K32" s="673"/>
      <c r="L32" s="673"/>
      <c r="M32" s="673"/>
      <c r="N32" s="673"/>
      <c r="O32" s="673"/>
      <c r="P32" s="674"/>
      <c r="R32" s="140"/>
      <c r="S32" s="140"/>
    </row>
    <row r="33" spans="1:19">
      <c r="A33" s="628" t="s">
        <v>33</v>
      </c>
      <c r="B33" s="629"/>
      <c r="C33" s="629"/>
      <c r="D33" s="629"/>
      <c r="E33" s="629"/>
      <c r="F33" s="629"/>
      <c r="G33" s="629"/>
      <c r="H33" s="629"/>
      <c r="I33" s="629"/>
      <c r="J33" s="629"/>
      <c r="K33" s="629"/>
      <c r="L33" s="629"/>
      <c r="M33" s="629"/>
      <c r="N33" s="629"/>
      <c r="O33" s="629"/>
      <c r="P33" s="630"/>
      <c r="R33" s="140"/>
      <c r="S33" s="140"/>
    </row>
    <row r="34" spans="1:19" ht="15.75" thickBot="1">
      <c r="A34" s="631"/>
      <c r="B34" s="632"/>
      <c r="C34" s="632"/>
      <c r="D34" s="632"/>
      <c r="E34" s="632"/>
      <c r="F34" s="632"/>
      <c r="G34" s="632"/>
      <c r="H34" s="632"/>
      <c r="I34" s="632"/>
      <c r="J34" s="632"/>
      <c r="K34" s="632"/>
      <c r="L34" s="632"/>
      <c r="M34" s="632"/>
      <c r="N34" s="632"/>
      <c r="O34" s="632"/>
      <c r="P34" s="633"/>
      <c r="R34" s="140"/>
      <c r="S34" s="140"/>
    </row>
    <row r="35" spans="1:19" ht="18">
      <c r="A35" s="634" t="s">
        <v>345</v>
      </c>
      <c r="B35" s="635"/>
      <c r="C35" s="635"/>
      <c r="D35" s="635"/>
      <c r="E35" s="635"/>
      <c r="F35" s="635"/>
      <c r="G35" s="635"/>
      <c r="H35" s="635"/>
      <c r="I35" s="635"/>
      <c r="J35" s="635"/>
      <c r="K35" s="635"/>
      <c r="L35" s="635"/>
      <c r="M35" s="635"/>
      <c r="N35" s="635"/>
      <c r="O35" s="635"/>
      <c r="P35" s="636"/>
      <c r="R35" s="140"/>
      <c r="S35" s="140"/>
    </row>
    <row r="36" spans="1:19">
      <c r="A36" s="591" t="s">
        <v>34</v>
      </c>
      <c r="B36" s="592"/>
      <c r="C36" s="592"/>
      <c r="D36" s="592"/>
      <c r="E36" s="592"/>
      <c r="F36" s="592"/>
      <c r="G36" s="592"/>
      <c r="H36" s="592"/>
      <c r="I36" s="592"/>
      <c r="J36" s="592"/>
      <c r="K36" s="592"/>
      <c r="L36" s="592"/>
      <c r="M36" s="592"/>
      <c r="N36" s="592"/>
      <c r="O36" s="592"/>
      <c r="P36" s="637"/>
    </row>
    <row r="37" spans="1:19" ht="15.75" thickBot="1">
      <c r="A37" s="638"/>
      <c r="B37" s="639"/>
      <c r="C37" s="639"/>
      <c r="D37" s="639"/>
      <c r="E37" s="639"/>
      <c r="F37" s="639"/>
      <c r="G37" s="639"/>
      <c r="H37" s="639"/>
      <c r="I37" s="639"/>
      <c r="J37" s="639"/>
      <c r="K37" s="639"/>
      <c r="L37" s="639"/>
      <c r="M37" s="639"/>
      <c r="N37" s="639"/>
      <c r="O37" s="639"/>
      <c r="P37" s="640"/>
    </row>
    <row r="38" spans="1:19" ht="15.75" thickBot="1">
      <c r="A38" s="600" t="s">
        <v>7</v>
      </c>
      <c r="B38" s="600"/>
      <c r="C38" s="600"/>
      <c r="D38" s="600"/>
      <c r="E38" s="600"/>
      <c r="F38" s="482">
        <f t="shared" ref="F38:O38" si="11">F24</f>
        <v>2018</v>
      </c>
      <c r="G38" s="482">
        <f t="shared" si="11"/>
        <v>2019</v>
      </c>
      <c r="H38" s="482">
        <f t="shared" si="11"/>
        <v>2020</v>
      </c>
      <c r="I38" s="482">
        <f t="shared" si="11"/>
        <v>2021</v>
      </c>
      <c r="J38" s="483">
        <f t="shared" si="11"/>
        <v>2022</v>
      </c>
      <c r="K38" s="506">
        <f t="shared" si="11"/>
        <v>2023</v>
      </c>
      <c r="L38" s="468">
        <f t="shared" si="11"/>
        <v>2024</v>
      </c>
      <c r="M38" s="468">
        <f t="shared" si="11"/>
        <v>2025</v>
      </c>
      <c r="N38" s="468">
        <f t="shared" si="11"/>
        <v>2026</v>
      </c>
      <c r="O38" s="507">
        <f t="shared" si="11"/>
        <v>2027</v>
      </c>
    </row>
    <row r="39" spans="1:19">
      <c r="A39" s="642" t="s">
        <v>8</v>
      </c>
      <c r="B39" s="643"/>
      <c r="C39" s="643"/>
      <c r="D39" s="643"/>
      <c r="E39" s="643"/>
      <c r="F39" s="442"/>
      <c r="G39" s="442"/>
      <c r="H39" s="442"/>
      <c r="I39" s="442"/>
      <c r="J39" s="442"/>
      <c r="K39" s="475"/>
      <c r="L39" s="475"/>
      <c r="M39" s="475"/>
      <c r="N39" s="475"/>
      <c r="O39" s="475"/>
    </row>
    <row r="40" spans="1:19" customFormat="1" ht="15.75">
      <c r="A40" s="644" t="s">
        <v>154</v>
      </c>
      <c r="B40" s="644"/>
      <c r="C40" s="644"/>
      <c r="D40" s="644"/>
      <c r="E40" s="644"/>
      <c r="F40" s="337">
        <f>'Cifras Historicas'!G20</f>
        <v>433523.37300000002</v>
      </c>
      <c r="G40" s="337">
        <f>'Cifras Historicas'!H20</f>
        <v>198848.50200000001</v>
      </c>
      <c r="H40" s="337">
        <f>'Cifras Historicas'!I20</f>
        <v>208199.72</v>
      </c>
      <c r="I40" s="337">
        <f>'Cifras Historicas'!J20</f>
        <v>247805.86600000001</v>
      </c>
      <c r="J40" s="337">
        <f>'Cifras Historicas'!K20</f>
        <v>209616.443</v>
      </c>
      <c r="K40" s="337">
        <f>J40*(1+K$27)</f>
        <v>215904.93629000001</v>
      </c>
      <c r="L40" s="337">
        <f>K40*(1+L$27)</f>
        <v>222382.0843787</v>
      </c>
      <c r="M40" s="337">
        <f>L40*(1+M$27)</f>
        <v>229053.54691006101</v>
      </c>
      <c r="N40" s="337">
        <f>M40*(1+N$27)</f>
        <v>235925.15331736286</v>
      </c>
      <c r="O40" s="337">
        <f>N40*(1+O$27)</f>
        <v>243002.90791688373</v>
      </c>
    </row>
    <row r="41" spans="1:19" customFormat="1" ht="15.75">
      <c r="A41" s="644" t="s">
        <v>155</v>
      </c>
      <c r="B41" s="644"/>
      <c r="C41" s="644"/>
      <c r="D41" s="644"/>
      <c r="E41" s="644"/>
      <c r="F41" s="337">
        <f>'Cifras Historicas'!G21</f>
        <v>299798.011</v>
      </c>
      <c r="G41" s="337">
        <f>'Cifras Historicas'!H21</f>
        <v>259718.06400000001</v>
      </c>
      <c r="H41" s="337">
        <f>'Cifras Historicas'!I21</f>
        <v>198800.114</v>
      </c>
      <c r="I41" s="337">
        <f>'Cifras Historicas'!J21</f>
        <v>150193.245</v>
      </c>
      <c r="J41" s="337">
        <f>'Cifras Historicas'!K21</f>
        <v>252997.149</v>
      </c>
      <c r="K41" s="337">
        <f t="shared" ref="K41:O41" si="12">J41*(1+K$27)</f>
        <v>260587.06347000002</v>
      </c>
      <c r="L41" s="337">
        <f t="shared" si="12"/>
        <v>268404.67537410004</v>
      </c>
      <c r="M41" s="337">
        <f t="shared" si="12"/>
        <v>276456.81563532306</v>
      </c>
      <c r="N41" s="337">
        <f t="shared" si="12"/>
        <v>284750.52010438277</v>
      </c>
      <c r="O41" s="337">
        <f t="shared" si="12"/>
        <v>293293.03570751427</v>
      </c>
    </row>
    <row r="42" spans="1:19" customFormat="1" ht="15.75">
      <c r="A42" s="644" t="s">
        <v>157</v>
      </c>
      <c r="B42" s="675"/>
      <c r="C42" s="675"/>
      <c r="D42" s="675"/>
      <c r="E42" s="675"/>
      <c r="F42" s="484">
        <f>'Cifras Historicas'!G25</f>
        <v>831765.94400000002</v>
      </c>
      <c r="G42" s="484">
        <f>'Cifras Historicas'!H25</f>
        <v>632574.95200000005</v>
      </c>
      <c r="H42" s="484">
        <f>'Cifras Historicas'!I25</f>
        <v>602316.99699999997</v>
      </c>
      <c r="I42" s="484">
        <f>'Cifras Historicas'!J25</f>
        <v>708724.04</v>
      </c>
      <c r="J42" s="484">
        <f>'Cifras Historicas'!K25</f>
        <v>705883.73600000003</v>
      </c>
      <c r="K42" s="485">
        <f t="shared" ref="K42:O42" si="13">J42*(1+K$27)</f>
        <v>727060.24808000005</v>
      </c>
      <c r="L42" s="486">
        <f t="shared" si="13"/>
        <v>748872.05552240007</v>
      </c>
      <c r="M42" s="486">
        <f t="shared" si="13"/>
        <v>771338.21718807204</v>
      </c>
      <c r="N42" s="486">
        <f t="shared" si="13"/>
        <v>794478.36370371422</v>
      </c>
      <c r="O42" s="486">
        <f t="shared" si="13"/>
        <v>818312.71461482567</v>
      </c>
    </row>
    <row r="43" spans="1:19">
      <c r="A43" s="595" t="s">
        <v>9</v>
      </c>
      <c r="B43" s="596"/>
      <c r="C43" s="596"/>
      <c r="D43" s="596"/>
      <c r="E43" s="596"/>
      <c r="F43" s="445"/>
      <c r="G43" s="445"/>
      <c r="H43" s="445"/>
      <c r="I43" s="445"/>
      <c r="J43" s="447"/>
      <c r="K43" s="475"/>
      <c r="L43" s="475"/>
      <c r="M43" s="475"/>
      <c r="N43" s="475"/>
      <c r="O43" s="475"/>
    </row>
    <row r="44" spans="1:19" ht="15.75">
      <c r="A44" s="581" t="s">
        <v>159</v>
      </c>
      <c r="B44" s="581"/>
      <c r="C44" s="581"/>
      <c r="D44" s="581"/>
      <c r="E44" s="581"/>
      <c r="F44" s="141">
        <f>'Cifras Historicas'!G31</f>
        <v>267127.62900000002</v>
      </c>
      <c r="G44" s="141">
        <f>'Cifras Historicas'!H31</f>
        <v>247329.84099999999</v>
      </c>
      <c r="H44" s="141">
        <f>'Cifras Historicas'!I31</f>
        <v>204561.01</v>
      </c>
      <c r="I44" s="141">
        <f>'Cifras Historicas'!J31</f>
        <v>279821.56900000002</v>
      </c>
      <c r="J44" s="141">
        <f>'Cifras Historicas'!K31</f>
        <v>627117.48199999996</v>
      </c>
      <c r="K44" s="141">
        <f>J44*(1+K$27)</f>
        <v>645931.00645999995</v>
      </c>
      <c r="L44" s="141">
        <f>K44*(1+L$27)</f>
        <v>665308.93665379996</v>
      </c>
      <c r="M44" s="141">
        <f>L44*(1+M$27)</f>
        <v>685268.20475341403</v>
      </c>
      <c r="N44" s="141">
        <f>M44*(1+N$27)</f>
        <v>705826.25089601649</v>
      </c>
      <c r="O44" s="141">
        <f>N44*(1+O$27)</f>
        <v>727001.03842289699</v>
      </c>
    </row>
    <row r="45" spans="1:19" ht="15.75">
      <c r="A45" s="581" t="s">
        <v>162</v>
      </c>
      <c r="B45" s="581"/>
      <c r="C45" s="581"/>
      <c r="D45" s="581"/>
      <c r="E45" s="581"/>
      <c r="F45" s="93">
        <f>'Cifras Historicas'!G38</f>
        <v>340498.571</v>
      </c>
      <c r="G45" s="93">
        <f>'Cifras Historicas'!H38</f>
        <v>752388.22200000007</v>
      </c>
      <c r="H45" s="93">
        <f>'Cifras Historicas'!I38</f>
        <v>496087.18599999999</v>
      </c>
      <c r="I45" s="93">
        <f>'Cifras Historicas'!J38</f>
        <v>649328.1120000002</v>
      </c>
      <c r="J45" s="93">
        <f>'Cifras Historicas'!K38</f>
        <v>980043.29200000002</v>
      </c>
      <c r="K45" s="141">
        <f>J45*(1+K$27)</f>
        <v>1009444.5907600001</v>
      </c>
      <c r="L45" s="141">
        <f t="shared" ref="L45:O45" si="14">K45*(1+L$27)</f>
        <v>1039727.9284828</v>
      </c>
      <c r="M45" s="141">
        <f t="shared" si="14"/>
        <v>1070919.7663372841</v>
      </c>
      <c r="N45" s="141">
        <f t="shared" si="14"/>
        <v>1103047.3593274027</v>
      </c>
      <c r="O45" s="141">
        <f t="shared" si="14"/>
        <v>1136138.7801072248</v>
      </c>
    </row>
    <row r="46" spans="1:19">
      <c r="A46" s="2"/>
      <c r="B46" s="2"/>
      <c r="C46" s="2"/>
      <c r="D46" s="2"/>
      <c r="E46" s="2"/>
    </row>
    <row r="47" spans="1:19" ht="15.75">
      <c r="A47" s="582" t="s">
        <v>245</v>
      </c>
      <c r="B47" s="582"/>
      <c r="C47" s="582"/>
      <c r="D47" s="582"/>
      <c r="E47" s="582"/>
      <c r="F47" s="487">
        <f>F42+F45</f>
        <v>1172264.5150000001</v>
      </c>
      <c r="G47" s="487">
        <f>G42+G45</f>
        <v>1384963.1740000001</v>
      </c>
      <c r="H47" s="487">
        <f>H42+H45</f>
        <v>1098404.183</v>
      </c>
      <c r="I47" s="487">
        <f>I42+I45</f>
        <v>1358052.1520000002</v>
      </c>
      <c r="J47" s="487">
        <f>J42+J45</f>
        <v>1685927.0279999999</v>
      </c>
      <c r="K47" s="92">
        <f>J47*(1+K$27)</f>
        <v>1736504.8388399999</v>
      </c>
      <c r="L47" s="92">
        <f t="shared" ref="L47:O47" si="15">K47*(1+L$27)</f>
        <v>1788599.9840052</v>
      </c>
      <c r="M47" s="92">
        <f t="shared" si="15"/>
        <v>1842257.983525356</v>
      </c>
      <c r="N47" s="92">
        <f t="shared" si="15"/>
        <v>1897525.7230311169</v>
      </c>
      <c r="O47" s="92">
        <f t="shared" si="15"/>
        <v>1954451.4947220504</v>
      </c>
    </row>
    <row r="48" spans="1:19">
      <c r="A48" s="2"/>
    </row>
    <row r="49" spans="1:35">
      <c r="A49" s="595" t="s">
        <v>10</v>
      </c>
      <c r="B49" s="596"/>
      <c r="C49" s="596"/>
      <c r="D49" s="596"/>
      <c r="E49" s="596"/>
      <c r="F49" s="445"/>
      <c r="G49" s="445"/>
      <c r="H49" s="445"/>
      <c r="I49" s="445"/>
      <c r="J49" s="447"/>
      <c r="K49" s="475"/>
      <c r="L49" s="475"/>
      <c r="M49" s="475"/>
      <c r="N49" s="475"/>
      <c r="O49" s="475"/>
      <c r="U49" s="70"/>
    </row>
    <row r="50" spans="1:35" ht="15.75">
      <c r="A50" s="581" t="s">
        <v>163</v>
      </c>
      <c r="B50" s="581"/>
      <c r="C50" s="581"/>
      <c r="D50" s="581"/>
      <c r="E50" s="581"/>
      <c r="F50" s="141">
        <f>'Cifras Historicas'!G43</f>
        <v>0</v>
      </c>
      <c r="G50" s="141">
        <f>'Cifras Historicas'!H43</f>
        <v>0</v>
      </c>
      <c r="H50" s="141">
        <f>'Cifras Historicas'!I43</f>
        <v>569.5</v>
      </c>
      <c r="I50" s="141">
        <f>'Cifras Historicas'!J43</f>
        <v>603.33299999999997</v>
      </c>
      <c r="J50" s="141">
        <f>'Cifras Historicas'!K43</f>
        <v>33888.843999999997</v>
      </c>
      <c r="K50" s="141">
        <f t="shared" ref="K50:O51" si="16">J50*(1+K$27)</f>
        <v>34905.509319999997</v>
      </c>
      <c r="L50" s="141">
        <f t="shared" si="16"/>
        <v>35952.674599599995</v>
      </c>
      <c r="M50" s="141">
        <f t="shared" si="16"/>
        <v>37031.254837588</v>
      </c>
      <c r="N50" s="141">
        <f t="shared" si="16"/>
        <v>38142.19248271564</v>
      </c>
      <c r="O50" s="141">
        <f t="shared" si="16"/>
        <v>39286.458257197111</v>
      </c>
    </row>
    <row r="51" spans="1:35" ht="15.75">
      <c r="A51" s="581" t="s">
        <v>164</v>
      </c>
      <c r="B51" s="581"/>
      <c r="C51" s="581"/>
      <c r="D51" s="581"/>
      <c r="E51" s="581"/>
      <c r="F51" s="141">
        <f>'Cifras Historicas'!G45</f>
        <v>319294.99800000002</v>
      </c>
      <c r="G51" s="141">
        <f>'Cifras Historicas'!H45</f>
        <v>488957.94799999997</v>
      </c>
      <c r="H51" s="141">
        <f>'Cifras Historicas'!I45</f>
        <v>315079.62199999997</v>
      </c>
      <c r="I51" s="141">
        <f>'Cifras Historicas'!J45</f>
        <v>329642.31300000002</v>
      </c>
      <c r="J51" s="141">
        <f>'Cifras Historicas'!K45</f>
        <v>428650.09</v>
      </c>
      <c r="K51" s="141">
        <f t="shared" si="16"/>
        <v>441509.59270000004</v>
      </c>
      <c r="L51" s="141">
        <f t="shared" si="16"/>
        <v>454754.88048100006</v>
      </c>
      <c r="M51" s="141">
        <f t="shared" si="16"/>
        <v>468397.52689543006</v>
      </c>
      <c r="N51" s="141">
        <f t="shared" si="16"/>
        <v>482449.452702293</v>
      </c>
      <c r="O51" s="141">
        <f t="shared" si="16"/>
        <v>496922.93628336181</v>
      </c>
      <c r="R51" s="641"/>
      <c r="S51" s="641"/>
      <c r="T51" s="641"/>
      <c r="U51" s="641"/>
      <c r="V51" s="641"/>
      <c r="W51" s="641"/>
      <c r="X51" s="641"/>
      <c r="Y51" s="641"/>
      <c r="Z51" s="641"/>
      <c r="AA51" s="641"/>
    </row>
    <row r="52" spans="1:35" ht="15.75">
      <c r="A52" s="581" t="s">
        <v>207</v>
      </c>
      <c r="B52" s="581"/>
      <c r="C52" s="581"/>
      <c r="D52" s="581"/>
      <c r="E52" s="581"/>
      <c r="F52" s="6">
        <f>'Cifras Historicas'!G52</f>
        <v>376264.66500000004</v>
      </c>
      <c r="G52" s="6">
        <f>'Cifras Historicas'!H52</f>
        <v>552909.23599999992</v>
      </c>
      <c r="H52" s="6">
        <f>'Cifras Historicas'!I52</f>
        <v>390256.158</v>
      </c>
      <c r="I52" s="6">
        <f>'Cifras Historicas'!J52</f>
        <v>347020.00599999999</v>
      </c>
      <c r="J52" s="6">
        <f>'Cifras Historicas'!K52</f>
        <v>494269.554</v>
      </c>
      <c r="K52" s="212">
        <f>J52*(1+K$27)</f>
        <v>509097.64062000002</v>
      </c>
      <c r="L52" s="212">
        <f t="shared" ref="L52:O52" si="17">K52*(1+L$27)</f>
        <v>524370.5698386</v>
      </c>
      <c r="M52" s="212">
        <f t="shared" si="17"/>
        <v>540101.68693375797</v>
      </c>
      <c r="N52" s="212">
        <f t="shared" si="17"/>
        <v>556304.73754177068</v>
      </c>
      <c r="O52" s="212">
        <f t="shared" si="17"/>
        <v>572993.87966802379</v>
      </c>
      <c r="R52" s="185"/>
      <c r="S52" s="185"/>
      <c r="T52" s="185"/>
      <c r="U52" s="185"/>
      <c r="V52" s="185"/>
      <c r="W52" s="185"/>
      <c r="X52" s="185"/>
      <c r="Y52" s="185"/>
      <c r="Z52" s="185"/>
      <c r="AA52" s="185"/>
    </row>
    <row r="53" spans="1:35">
      <c r="A53" s="595" t="s">
        <v>11</v>
      </c>
      <c r="B53" s="596"/>
      <c r="C53" s="596"/>
      <c r="D53" s="596"/>
      <c r="E53" s="596"/>
      <c r="F53" s="445"/>
      <c r="G53" s="445"/>
      <c r="H53" s="445"/>
      <c r="I53" s="445"/>
      <c r="J53" s="447"/>
      <c r="K53" s="445"/>
      <c r="L53" s="442"/>
      <c r="M53" s="442"/>
      <c r="N53" s="442"/>
      <c r="O53" s="442"/>
      <c r="P53" s="449"/>
      <c r="W53" s="85"/>
      <c r="X53" s="85"/>
      <c r="Y53" s="85"/>
      <c r="Z53" s="85"/>
      <c r="AA53" s="85"/>
    </row>
    <row r="54" spans="1:35" ht="15.75">
      <c r="A54" s="581" t="s">
        <v>163</v>
      </c>
      <c r="B54" s="581"/>
      <c r="C54" s="581"/>
      <c r="D54" s="581"/>
      <c r="E54" s="581"/>
      <c r="F54" s="141">
        <f>'Cifras Historicas'!G54</f>
        <v>0</v>
      </c>
      <c r="G54" s="141">
        <f>'Cifras Historicas'!H54</f>
        <v>0</v>
      </c>
      <c r="H54" s="141">
        <f>'Cifras Historicas'!I54</f>
        <v>200000</v>
      </c>
      <c r="I54" s="141">
        <f>'Cifras Historicas'!J54</f>
        <v>200000</v>
      </c>
      <c r="J54" s="141">
        <f>'Cifras Historicas'!K54</f>
        <v>166666.66699999999</v>
      </c>
      <c r="K54" s="141">
        <f>J54*(1+K$27)</f>
        <v>171666.66701</v>
      </c>
      <c r="L54" s="141">
        <f>K54*(1+L$27)</f>
        <v>176816.6670203</v>
      </c>
      <c r="M54" s="141">
        <f>L54*(1+M$27)</f>
        <v>182121.16703090901</v>
      </c>
      <c r="N54" s="141">
        <f>M54*(1+N$27)</f>
        <v>187584.80204183629</v>
      </c>
      <c r="O54" s="141">
        <f>N54*(1+O$27)</f>
        <v>193212.34610309137</v>
      </c>
      <c r="R54" s="75"/>
      <c r="S54" s="75"/>
      <c r="T54" s="75"/>
      <c r="U54" s="75"/>
      <c r="V54" s="75"/>
      <c r="W54" s="76"/>
      <c r="X54" s="76"/>
      <c r="Y54" s="76"/>
      <c r="Z54" s="76"/>
      <c r="AA54" s="76"/>
      <c r="AB54" s="77"/>
      <c r="AC54" s="77"/>
      <c r="AD54" s="77"/>
      <c r="AE54" s="77"/>
      <c r="AF54" s="77"/>
      <c r="AG54" s="77"/>
      <c r="AH54" s="77"/>
      <c r="AI54" s="77"/>
    </row>
    <row r="55" spans="1:35">
      <c r="A55" s="2"/>
      <c r="B55" s="2"/>
      <c r="C55" s="2"/>
      <c r="D55" s="2"/>
      <c r="E55" s="2"/>
    </row>
    <row r="56" spans="1:35" ht="15.75">
      <c r="A56" s="582" t="s">
        <v>210</v>
      </c>
      <c r="B56" s="582"/>
      <c r="C56" s="582"/>
      <c r="D56" s="582"/>
      <c r="E56" s="582"/>
      <c r="F56" s="487">
        <f>'Cifras Historicas'!G65</f>
        <v>919871.55900000001</v>
      </c>
      <c r="G56" s="487">
        <f>'Cifras Historicas'!H65</f>
        <v>1009942.4749999999</v>
      </c>
      <c r="H56" s="487">
        <f>'Cifras Historicas'!I65</f>
        <v>615196.15800000005</v>
      </c>
      <c r="I56" s="487">
        <f>'Cifras Historicas'!J65</f>
        <v>849411.33199999994</v>
      </c>
      <c r="J56" s="487">
        <f>'Cifras Historicas'!K65</f>
        <v>1210297.0159999998</v>
      </c>
      <c r="K56" s="92">
        <f>J56*(1+K$27)</f>
        <v>1246605.9264799999</v>
      </c>
      <c r="L56" s="92">
        <f t="shared" ref="L56:O56" si="18">K56*(1+L$27)</f>
        <v>1284004.1042744</v>
      </c>
      <c r="M56" s="92">
        <f t="shared" si="18"/>
        <v>1322524.2274026321</v>
      </c>
      <c r="N56" s="92">
        <f t="shared" si="18"/>
        <v>1362199.9542247111</v>
      </c>
      <c r="O56" s="92">
        <f t="shared" si="18"/>
        <v>1403065.9528514524</v>
      </c>
    </row>
    <row r="57" spans="1:35">
      <c r="A57" s="2"/>
    </row>
    <row r="58" spans="1:35">
      <c r="A58" s="648" t="s">
        <v>12</v>
      </c>
      <c r="B58" s="649"/>
      <c r="C58" s="649"/>
      <c r="D58" s="649"/>
      <c r="E58" s="649"/>
      <c r="F58" s="488"/>
      <c r="G58" s="488"/>
      <c r="H58" s="488"/>
      <c r="I58" s="488"/>
      <c r="J58" s="489"/>
      <c r="K58" s="475"/>
      <c r="L58" s="475"/>
      <c r="M58" s="475"/>
      <c r="N58" s="475"/>
      <c r="O58" s="475"/>
    </row>
    <row r="59" spans="1:35" ht="15.75">
      <c r="A59" s="581" t="s">
        <v>244</v>
      </c>
      <c r="B59" s="581"/>
      <c r="C59" s="581"/>
      <c r="D59" s="581"/>
      <c r="E59" s="581"/>
      <c r="F59" s="93">
        <f>'Cifras Historicas'!G75</f>
        <v>252392.95600000001</v>
      </c>
      <c r="G59" s="93">
        <f>'Cifras Historicas'!H75</f>
        <v>375020.69900000002</v>
      </c>
      <c r="H59" s="93">
        <f>'Cifras Historicas'!I75</f>
        <v>483208.02499999997</v>
      </c>
      <c r="I59" s="93">
        <f>'Cifras Historicas'!J75</f>
        <v>508640.81999999995</v>
      </c>
      <c r="J59" s="93">
        <f>'Cifras Historicas'!K75</f>
        <v>475630.01199999993</v>
      </c>
      <c r="K59" s="141">
        <f>J59*(1+K$27)</f>
        <v>489898.91235999996</v>
      </c>
      <c r="L59" s="141">
        <f t="shared" ref="L59:O59" si="19">K59*(1+L$27)</f>
        <v>504595.87973079999</v>
      </c>
      <c r="M59" s="141">
        <f t="shared" si="19"/>
        <v>519733.75612272398</v>
      </c>
      <c r="N59" s="141">
        <f t="shared" si="19"/>
        <v>535325.76880640571</v>
      </c>
      <c r="O59" s="141">
        <f t="shared" si="19"/>
        <v>551385.54187059787</v>
      </c>
    </row>
    <row r="60" spans="1:35">
      <c r="A60" s="2"/>
      <c r="B60" s="2"/>
      <c r="C60" s="2"/>
      <c r="D60" s="2"/>
      <c r="E60" s="2"/>
    </row>
    <row r="61" spans="1:35" ht="15.75">
      <c r="A61" s="582" t="s">
        <v>6</v>
      </c>
      <c r="B61" s="582"/>
      <c r="C61" s="582"/>
      <c r="D61" s="582"/>
      <c r="E61" s="582"/>
      <c r="F61" s="487">
        <f>F56+F59</f>
        <v>1172264.5150000001</v>
      </c>
      <c r="G61" s="487">
        <f>G56+G59</f>
        <v>1384963.1739999999</v>
      </c>
      <c r="H61" s="487">
        <f>H56+H59</f>
        <v>1098404.183</v>
      </c>
      <c r="I61" s="487">
        <f>I56+I59</f>
        <v>1358052.1519999998</v>
      </c>
      <c r="J61" s="487">
        <f>J56+J59</f>
        <v>1685927.0279999997</v>
      </c>
      <c r="K61" s="167">
        <f>J61*(1+K$27)</f>
        <v>1736504.8388399996</v>
      </c>
      <c r="L61" s="167">
        <f t="shared" ref="L61:O61" si="20">K61*(1+L$27)</f>
        <v>1788599.9840051997</v>
      </c>
      <c r="M61" s="167">
        <f t="shared" si="20"/>
        <v>1842257.9835253558</v>
      </c>
      <c r="N61" s="167">
        <f t="shared" si="20"/>
        <v>1897525.7230311166</v>
      </c>
      <c r="O61" s="167">
        <f t="shared" si="20"/>
        <v>1954451.4947220501</v>
      </c>
    </row>
    <row r="62" spans="1:35" ht="16.5">
      <c r="F62" s="20"/>
      <c r="K62" s="20"/>
      <c r="L62" s="20"/>
      <c r="M62" s="20"/>
      <c r="N62" s="20"/>
      <c r="O62" s="20"/>
      <c r="Q62" s="627"/>
      <c r="R62" s="627"/>
    </row>
    <row r="63" spans="1:35">
      <c r="F63" s="20">
        <f>+F47-F61</f>
        <v>0</v>
      </c>
      <c r="G63" s="20">
        <f>+G47-G61</f>
        <v>0</v>
      </c>
      <c r="H63" s="20">
        <f t="shared" ref="H63:I63" si="21">+H47-H61</f>
        <v>0</v>
      </c>
      <c r="I63" s="20">
        <f t="shared" si="21"/>
        <v>0</v>
      </c>
      <c r="J63" s="20">
        <f>+J47-J61</f>
        <v>0</v>
      </c>
      <c r="K63" s="20">
        <f>+K47-K61</f>
        <v>0</v>
      </c>
      <c r="L63" s="20">
        <f t="shared" ref="L63:O63" si="22">+L47-L61</f>
        <v>0</v>
      </c>
      <c r="M63" s="20">
        <f t="shared" si="22"/>
        <v>0</v>
      </c>
      <c r="N63" s="20">
        <f t="shared" si="22"/>
        <v>0</v>
      </c>
      <c r="O63" s="20">
        <f t="shared" si="22"/>
        <v>0</v>
      </c>
    </row>
    <row r="64" spans="1:35" ht="15.75" thickBot="1"/>
    <row r="65" spans="1:16" ht="15.75" thickBot="1">
      <c r="A65" s="664" t="s">
        <v>22</v>
      </c>
      <c r="B65" s="665"/>
      <c r="C65" s="665"/>
      <c r="D65" s="665"/>
      <c r="E65" s="665"/>
      <c r="F65" s="491">
        <f>'Cifras Historicas'!G85</f>
        <v>2018</v>
      </c>
      <c r="G65" s="491">
        <f>'Cifras Historicas'!H85</f>
        <v>2019</v>
      </c>
      <c r="H65" s="491">
        <f>'Cifras Historicas'!I85</f>
        <v>2020</v>
      </c>
      <c r="I65" s="491">
        <f>'Cifras Historicas'!J85</f>
        <v>2021</v>
      </c>
      <c r="J65" s="492">
        <f>'Cifras Historicas'!K85</f>
        <v>2022</v>
      </c>
      <c r="K65" s="506">
        <f>K38</f>
        <v>2023</v>
      </c>
      <c r="L65" s="468">
        <f>L38</f>
        <v>2024</v>
      </c>
      <c r="M65" s="468">
        <f>M38</f>
        <v>2025</v>
      </c>
      <c r="N65" s="468">
        <f>N38</f>
        <v>2026</v>
      </c>
      <c r="O65" s="507">
        <f>O38</f>
        <v>2027</v>
      </c>
    </row>
    <row r="66" spans="1:16">
      <c r="A66" s="690" t="s">
        <v>19</v>
      </c>
      <c r="B66" s="691"/>
      <c r="C66" s="691"/>
      <c r="D66" s="691"/>
      <c r="E66" s="691"/>
      <c r="F66" s="490"/>
      <c r="G66" s="490"/>
      <c r="H66" s="490"/>
      <c r="I66" s="490"/>
      <c r="J66" s="490"/>
      <c r="K66" s="645"/>
      <c r="L66" s="646"/>
      <c r="M66" s="646"/>
      <c r="N66" s="646"/>
      <c r="O66" s="647"/>
    </row>
    <row r="67" spans="1:16" customFormat="1" ht="15.75">
      <c r="A67" s="692" t="s">
        <v>26</v>
      </c>
      <c r="B67" s="693"/>
      <c r="C67" s="693"/>
      <c r="D67" s="693"/>
      <c r="E67" s="694"/>
      <c r="F67" s="493">
        <f>+'Cifras Historicas'!G87</f>
        <v>5437074.3200000003</v>
      </c>
      <c r="G67" s="493">
        <f>+'Cifras Historicas'!H87</f>
        <v>5760384.8439999996</v>
      </c>
      <c r="H67" s="493">
        <f>+'Cifras Historicas'!I87</f>
        <v>5973143.3619999997</v>
      </c>
      <c r="I67" s="493">
        <f>+'Cifras Historicas'!J87</f>
        <v>4665256.33</v>
      </c>
      <c r="J67" s="493">
        <f>+'Cifras Historicas'!K87</f>
        <v>6088081.801</v>
      </c>
      <c r="K67" s="494">
        <f>J67*(1+K$27)</f>
        <v>6270724.2550300006</v>
      </c>
      <c r="L67" s="494">
        <f>K67*(1+L$27)</f>
        <v>6458845.982680901</v>
      </c>
      <c r="M67" s="494">
        <f>L67*(1+M$27)</f>
        <v>6652611.3621613281</v>
      </c>
      <c r="N67" s="494">
        <f>M67*(1+N$27)</f>
        <v>6852189.703026168</v>
      </c>
      <c r="O67" s="494">
        <f>N67*(1+O$27)</f>
        <v>7057755.394116953</v>
      </c>
      <c r="P67" s="495"/>
    </row>
    <row r="68" spans="1:16" ht="15.75">
      <c r="A68" s="597" t="s">
        <v>174</v>
      </c>
      <c r="B68" s="598"/>
      <c r="C68" s="598"/>
      <c r="D68" s="598"/>
      <c r="E68" s="599"/>
      <c r="F68" s="143">
        <f>+'Cifras Historicas'!G88</f>
        <v>4961480.7580000004</v>
      </c>
      <c r="G68" s="143">
        <f>+'Cifras Historicas'!H88</f>
        <v>5295767.21</v>
      </c>
      <c r="H68" s="143">
        <f>+'Cifras Historicas'!I88</f>
        <v>5612981.3210000005</v>
      </c>
      <c r="I68" s="143">
        <f>+'Cifras Historicas'!J88</f>
        <v>4403790.7410000004</v>
      </c>
      <c r="J68" s="143">
        <f>+'Cifras Historicas'!K88</f>
        <v>5736207.8629999999</v>
      </c>
      <c r="K68" s="399">
        <f>K67*'Cifras Historicas'!$Q$88</f>
        <v>5841469.2481019031</v>
      </c>
      <c r="L68" s="399">
        <f>L67*'Cifras Historicas'!$Q$88</f>
        <v>6016713.3255449608</v>
      </c>
      <c r="M68" s="399">
        <f>M67*'Cifras Historicas'!$Q$88</f>
        <v>6197214.72531131</v>
      </c>
      <c r="N68" s="398">
        <f>N67*'Cifras Historicas'!$Q$88</f>
        <v>6383131.1670706486</v>
      </c>
      <c r="O68" s="398">
        <f>O67*'Cifras Historicas'!$Q$88</f>
        <v>6574625.1020827685</v>
      </c>
    </row>
    <row r="69" spans="1:16" ht="15.75">
      <c r="A69" s="581" t="s">
        <v>16</v>
      </c>
      <c r="B69" s="581"/>
      <c r="C69" s="581"/>
      <c r="D69" s="581"/>
      <c r="E69" s="581"/>
      <c r="F69" s="91">
        <f t="shared" ref="F69:J69" si="23">F67-F68</f>
        <v>475593.56199999992</v>
      </c>
      <c r="G69" s="91">
        <f t="shared" si="23"/>
        <v>464617.63399999961</v>
      </c>
      <c r="H69" s="91">
        <f t="shared" si="23"/>
        <v>360162.04099999927</v>
      </c>
      <c r="I69" s="91">
        <f t="shared" si="23"/>
        <v>261465.58899999969</v>
      </c>
      <c r="J69" s="91">
        <f t="shared" si="23"/>
        <v>351873.93800000008</v>
      </c>
      <c r="K69" s="400">
        <f>K67-K68</f>
        <v>429255.00692809746</v>
      </c>
      <c r="L69" s="400">
        <f t="shared" ref="L69:O69" si="24">L67-L68</f>
        <v>442132.65713594016</v>
      </c>
      <c r="M69" s="400">
        <f t="shared" si="24"/>
        <v>455396.63685001805</v>
      </c>
      <c r="N69" s="400">
        <f t="shared" si="24"/>
        <v>469058.53595551942</v>
      </c>
      <c r="O69" s="400">
        <f t="shared" si="24"/>
        <v>483130.29203418456</v>
      </c>
    </row>
    <row r="70" spans="1:16" ht="15.75">
      <c r="A70" s="577" t="s">
        <v>175</v>
      </c>
      <c r="B70" s="577"/>
      <c r="C70" s="577"/>
      <c r="D70" s="577"/>
      <c r="E70" s="577"/>
      <c r="F70" s="143">
        <f>+'Cifras Historicas'!G90</f>
        <v>463295.07299999997</v>
      </c>
      <c r="G70" s="143">
        <f>+'Cifras Historicas'!H90</f>
        <v>415721.8</v>
      </c>
      <c r="H70" s="143">
        <f>+'Cifras Historicas'!I90</f>
        <v>254647.41399999999</v>
      </c>
      <c r="I70" s="143">
        <f>+'Cifras Historicas'!J90</f>
        <v>212200.503</v>
      </c>
      <c r="J70" s="143">
        <f>+'Cifras Historicas'!K90</f>
        <v>242970.18900000001</v>
      </c>
      <c r="K70" s="399">
        <f>K67*'Cifras Historicas'!$Q$90</f>
        <v>357940.41678073688</v>
      </c>
      <c r="L70" s="399">
        <f>L67*'Cifras Historicas'!$Q$90</f>
        <v>368678.62928415899</v>
      </c>
      <c r="M70" s="399">
        <f>M67*'Cifras Historicas'!$Q$90</f>
        <v>379738.98816268379</v>
      </c>
      <c r="N70" s="399">
        <f>N67*'Cifras Historicas'!$Q$90</f>
        <v>391131.1578075643</v>
      </c>
      <c r="O70" s="399">
        <f>O67*'Cifras Historicas'!$Q$90</f>
        <v>402865.09254179121</v>
      </c>
    </row>
    <row r="71" spans="1:16" ht="15.75">
      <c r="A71" s="577" t="s">
        <v>637</v>
      </c>
      <c r="B71" s="577"/>
      <c r="C71" s="577"/>
      <c r="D71" s="577"/>
      <c r="E71" s="577"/>
      <c r="F71" s="143">
        <f>+'Cifras Historicas'!G91</f>
        <v>0</v>
      </c>
      <c r="G71" s="143">
        <f>+'Cifras Historicas'!H91</f>
        <v>115970.139</v>
      </c>
      <c r="H71" s="143">
        <f>+'Cifras Historicas'!I91</f>
        <v>47396.315000000002</v>
      </c>
      <c r="I71" s="143">
        <f>+'Cifras Historicas'!J91</f>
        <v>13436.021000000001</v>
      </c>
      <c r="J71" s="143">
        <f>+'Cifras Historicas'!K91</f>
        <v>7163.1570000000002</v>
      </c>
      <c r="K71" s="399">
        <f>K67*'Cifras Historicas'!$Q$91</f>
        <v>40287.982992008241</v>
      </c>
      <c r="L71" s="399">
        <f>L67*'Cifras Historicas'!$Q$91</f>
        <v>41496.622481768492</v>
      </c>
      <c r="M71" s="399">
        <f>M67*'Cifras Historicas'!$Q$91</f>
        <v>42741.521156221548</v>
      </c>
      <c r="N71" s="399">
        <f>N67*'Cifras Historicas'!$Q$91</f>
        <v>44023.766790908194</v>
      </c>
      <c r="O71" s="399">
        <f>O67*'Cifras Historicas'!$Q$91</f>
        <v>45344.479794635437</v>
      </c>
    </row>
    <row r="72" spans="1:16" ht="15.75">
      <c r="A72" s="581" t="s">
        <v>17</v>
      </c>
      <c r="B72" s="581"/>
      <c r="C72" s="581"/>
      <c r="D72" s="581"/>
      <c r="E72" s="581"/>
      <c r="F72" s="91">
        <f t="shared" ref="F72:J72" si="25">F69-F70-F71</f>
        <v>12298.488999999943</v>
      </c>
      <c r="G72" s="91">
        <f t="shared" si="25"/>
        <v>-67074.305000000371</v>
      </c>
      <c r="H72" s="91">
        <f t="shared" si="25"/>
        <v>58118.311999999278</v>
      </c>
      <c r="I72" s="91">
        <f t="shared" si="25"/>
        <v>35829.064999999689</v>
      </c>
      <c r="J72" s="91">
        <f t="shared" si="25"/>
        <v>101740.59200000006</v>
      </c>
      <c r="K72" s="400">
        <f>K69-K70-K71</f>
        <v>31026.607155352336</v>
      </c>
      <c r="L72" s="400">
        <f t="shared" ref="L72:O72" si="26">L69-L70-L71</f>
        <v>31957.405370012675</v>
      </c>
      <c r="M72" s="400">
        <f t="shared" si="26"/>
        <v>32916.127531112717</v>
      </c>
      <c r="N72" s="400">
        <f t="shared" si="26"/>
        <v>33903.611357046917</v>
      </c>
      <c r="O72" s="400">
        <f t="shared" si="26"/>
        <v>34920.719697757915</v>
      </c>
    </row>
    <row r="73" spans="1:16">
      <c r="A73" s="648" t="s">
        <v>20</v>
      </c>
      <c r="B73" s="649"/>
      <c r="C73" s="649"/>
      <c r="D73" s="649"/>
      <c r="E73" s="649"/>
      <c r="F73" s="488"/>
      <c r="G73" s="488"/>
      <c r="H73" s="488"/>
      <c r="I73" s="488"/>
      <c r="J73" s="489"/>
      <c r="K73" s="475"/>
      <c r="L73" s="475"/>
      <c r="M73" s="475"/>
      <c r="N73" s="475"/>
      <c r="O73" s="475"/>
    </row>
    <row r="74" spans="1:16" ht="15.75">
      <c r="A74" s="577" t="s">
        <v>176</v>
      </c>
      <c r="B74" s="577"/>
      <c r="C74" s="577"/>
      <c r="D74" s="577"/>
      <c r="E74" s="577"/>
      <c r="F74" s="141">
        <f>+'Cifras Historicas'!G94</f>
        <v>18614.454000000002</v>
      </c>
      <c r="G74" s="141">
        <f>+'Cifras Historicas'!H94</f>
        <v>0</v>
      </c>
      <c r="H74" s="141">
        <f>+'Cifras Historicas'!I94</f>
        <v>0</v>
      </c>
      <c r="I74" s="141">
        <f>+'Cifras Historicas'!J94</f>
        <v>0</v>
      </c>
      <c r="J74" s="141">
        <f>+'Cifras Historicas'!K94</f>
        <v>0</v>
      </c>
      <c r="K74" s="141">
        <f>K67*'Cifras Historicas'!$Q$94</f>
        <v>4293.7102317166864</v>
      </c>
      <c r="L74" s="141">
        <f>L67*'Cifras Historicas'!$Q$94</f>
        <v>4422.5215386681875</v>
      </c>
      <c r="M74" s="141">
        <f>M67*'Cifras Historicas'!$Q$94</f>
        <v>4555.1971848282328</v>
      </c>
      <c r="N74" s="143">
        <f>N67*'Cifras Historicas'!$Q$94</f>
        <v>4691.8531003730795</v>
      </c>
      <c r="O74" s="143">
        <f>O67*'Cifras Historicas'!$Q$94</f>
        <v>4832.6086933842726</v>
      </c>
    </row>
    <row r="75" spans="1:16" ht="15.75">
      <c r="A75" s="577" t="s">
        <v>177</v>
      </c>
      <c r="B75" s="577"/>
      <c r="C75" s="577"/>
      <c r="D75" s="577"/>
      <c r="E75" s="577"/>
      <c r="F75" s="143">
        <f>+'Cifras Historicas'!G95</f>
        <v>0</v>
      </c>
      <c r="G75" s="143">
        <f>+'Cifras Historicas'!H95</f>
        <v>0</v>
      </c>
      <c r="H75" s="143">
        <f>+'Cifras Historicas'!I95</f>
        <v>0</v>
      </c>
      <c r="I75" s="143">
        <f>+'Cifras Historicas'!J95</f>
        <v>0</v>
      </c>
      <c r="J75" s="143">
        <f>+'Cifras Historicas'!K95</f>
        <v>0</v>
      </c>
      <c r="K75" s="143">
        <f>K67*'Cifras Historicas'!$Q$95</f>
        <v>0</v>
      </c>
      <c r="L75" s="143">
        <f>L67*'Cifras Historicas'!$Q$95</f>
        <v>0</v>
      </c>
      <c r="M75" s="143">
        <f>M67*'Cifras Historicas'!$Q$95</f>
        <v>0</v>
      </c>
      <c r="N75" s="143">
        <f>N67*'Cifras Historicas'!$Q$95</f>
        <v>0</v>
      </c>
      <c r="O75" s="143">
        <f>O67*'Cifras Historicas'!$Q$95</f>
        <v>0</v>
      </c>
    </row>
    <row r="76" spans="1:16" ht="15.75">
      <c r="A76" s="577" t="s">
        <v>178</v>
      </c>
      <c r="B76" s="577"/>
      <c r="C76" s="577"/>
      <c r="D76" s="577"/>
      <c r="E76" s="577"/>
      <c r="F76" s="143">
        <f>+'Cifras Historicas'!G96</f>
        <v>668.49199999999996</v>
      </c>
      <c r="G76" s="143">
        <f>+'Cifras Historicas'!H96</f>
        <v>-21484.746999999999</v>
      </c>
      <c r="H76" s="143">
        <f>+'Cifras Historicas'!I96</f>
        <v>-1031.787</v>
      </c>
      <c r="I76" s="143">
        <f>+'Cifras Historicas'!J96</f>
        <v>7933.05</v>
      </c>
      <c r="J76" s="143">
        <f>+'Cifras Historicas'!K96</f>
        <v>26265.449000000001</v>
      </c>
      <c r="K76" s="143">
        <f>K67*'Cifras Historicas'!$Q$96</f>
        <v>2803.2207561643013</v>
      </c>
      <c r="L76" s="143">
        <f>L67*'Cifras Historicas'!$Q$96</f>
        <v>2887.3173788492304</v>
      </c>
      <c r="M76" s="143">
        <f>M67*'Cifras Historicas'!$Q$96</f>
        <v>2973.9369002147073</v>
      </c>
      <c r="N76" s="143">
        <f>N67*'Cifras Historicas'!$Q$96</f>
        <v>3063.1550072211489</v>
      </c>
      <c r="O76" s="143">
        <f>O67*'Cifras Historicas'!$Q$96</f>
        <v>3155.049657437783</v>
      </c>
    </row>
    <row r="77" spans="1:16">
      <c r="A77" s="648" t="s">
        <v>21</v>
      </c>
      <c r="B77" s="649"/>
      <c r="C77" s="649"/>
      <c r="D77" s="649"/>
      <c r="E77" s="649"/>
      <c r="F77" s="488"/>
      <c r="G77" s="488"/>
      <c r="H77" s="488"/>
      <c r="I77" s="488"/>
      <c r="J77" s="489"/>
      <c r="K77" s="475"/>
      <c r="L77" s="475"/>
      <c r="M77" s="475"/>
      <c r="N77" s="475"/>
      <c r="O77" s="475"/>
    </row>
    <row r="78" spans="1:16" ht="15.75">
      <c r="A78" s="581" t="s">
        <v>18</v>
      </c>
      <c r="B78" s="581"/>
      <c r="C78" s="581"/>
      <c r="D78" s="581"/>
      <c r="E78" s="581"/>
      <c r="F78" s="91">
        <f t="shared" ref="F78:J78" si="27">F72+F74-F75-F76</f>
        <v>30244.450999999946</v>
      </c>
      <c r="G78" s="91">
        <f t="shared" si="27"/>
        <v>-45589.558000000368</v>
      </c>
      <c r="H78" s="91">
        <f t="shared" si="27"/>
        <v>59150.098999999274</v>
      </c>
      <c r="I78" s="91">
        <f t="shared" si="27"/>
        <v>27896.01499999969</v>
      </c>
      <c r="J78" s="91">
        <f t="shared" si="27"/>
        <v>75475.143000000069</v>
      </c>
      <c r="K78" s="91">
        <f t="shared" ref="K78:O78" si="28">K72+K74-K75-K76</f>
        <v>32517.096630904722</v>
      </c>
      <c r="L78" s="91">
        <f t="shared" si="28"/>
        <v>33492.609529831636</v>
      </c>
      <c r="M78" s="91">
        <f t="shared" si="28"/>
        <v>34497.387815726244</v>
      </c>
      <c r="N78" s="91">
        <f t="shared" si="28"/>
        <v>35532.309450198853</v>
      </c>
      <c r="O78" s="91">
        <f t="shared" si="28"/>
        <v>36598.278733704406</v>
      </c>
    </row>
    <row r="79" spans="1:16" ht="15.75">
      <c r="A79" s="577" t="s">
        <v>179</v>
      </c>
      <c r="B79" s="577"/>
      <c r="C79" s="577"/>
      <c r="D79" s="577"/>
      <c r="E79" s="577"/>
      <c r="F79" s="143">
        <f>+'Cifras Historicas'!G99</f>
        <v>4124.0039999999999</v>
      </c>
      <c r="G79" s="143">
        <f>+'Cifras Historicas'!H99</f>
        <v>60282.974999999999</v>
      </c>
      <c r="H79" s="143">
        <f>+'Cifras Historicas'!I99</f>
        <v>45871.400999999998</v>
      </c>
      <c r="I79" s="143">
        <f>+'Cifras Historicas'!J99</f>
        <v>19600.11</v>
      </c>
      <c r="J79" s="143">
        <f>+'Cifras Historicas'!K99</f>
        <v>28690.358</v>
      </c>
      <c r="K79" s="143">
        <f>K67*'Cifras Historicas'!$Q$99</f>
        <v>34886.595268102305</v>
      </c>
      <c r="L79" s="143">
        <f>L67*'Cifras Historicas'!$Q$99</f>
        <v>35933.193126145379</v>
      </c>
      <c r="M79" s="143">
        <f>M67*'Cifras Historicas'!$Q$99</f>
        <v>37011.188919929737</v>
      </c>
      <c r="N79" s="143">
        <f>N67*'Cifras Historicas'!$Q$99</f>
        <v>38121.524587527631</v>
      </c>
      <c r="O79" s="143">
        <f>O67*'Cifras Historicas'!$Q$99</f>
        <v>39265.170325153464</v>
      </c>
    </row>
    <row r="80" spans="1:16" ht="15.75">
      <c r="A80" s="581" t="s">
        <v>180</v>
      </c>
      <c r="B80" s="581"/>
      <c r="C80" s="581"/>
      <c r="D80" s="581"/>
      <c r="E80" s="581"/>
      <c r="F80" s="91">
        <f t="shared" ref="F80:J80" si="29">F78-F79</f>
        <v>26120.446999999946</v>
      </c>
      <c r="G80" s="91">
        <f t="shared" si="29"/>
        <v>-105872.53300000037</v>
      </c>
      <c r="H80" s="91">
        <f t="shared" si="29"/>
        <v>13278.697999999276</v>
      </c>
      <c r="I80" s="91">
        <f t="shared" si="29"/>
        <v>8295.9049999996896</v>
      </c>
      <c r="J80" s="91">
        <f t="shared" si="29"/>
        <v>46784.785000000069</v>
      </c>
      <c r="K80" s="91">
        <f t="shared" ref="K80:O80" si="30">K78-K79</f>
        <v>-2369.4986371975829</v>
      </c>
      <c r="L80" s="91">
        <f t="shared" si="30"/>
        <v>-2440.5835963137433</v>
      </c>
      <c r="M80" s="91">
        <f t="shared" si="30"/>
        <v>-2513.8011042034923</v>
      </c>
      <c r="N80" s="91">
        <f t="shared" si="30"/>
        <v>-2589.2151373287779</v>
      </c>
      <c r="O80" s="91">
        <f t="shared" si="30"/>
        <v>-2666.8915914490572</v>
      </c>
    </row>
    <row r="81" spans="1:16">
      <c r="G81" s="25"/>
      <c r="H81" s="25"/>
      <c r="I81" s="25"/>
      <c r="J81" s="25"/>
      <c r="K81" s="225"/>
      <c r="L81" s="25"/>
      <c r="M81" s="25"/>
      <c r="N81" s="25"/>
      <c r="O81" s="25"/>
    </row>
    <row r="82" spans="1:16">
      <c r="F82" s="74"/>
      <c r="G82" s="74"/>
      <c r="H82" s="74"/>
      <c r="I82" s="74"/>
      <c r="J82" s="74"/>
    </row>
    <row r="83" spans="1:16" ht="15.75" thickBot="1"/>
    <row r="84" spans="1:16" ht="16.5" thickBot="1">
      <c r="A84" s="147" t="s">
        <v>181</v>
      </c>
      <c r="B84" s="148"/>
      <c r="C84" s="148"/>
      <c r="D84" s="148"/>
      <c r="E84" s="148"/>
      <c r="F84" s="499">
        <f t="shared" ref="F84:J84" si="31">F65</f>
        <v>2018</v>
      </c>
      <c r="G84" s="499">
        <f t="shared" si="31"/>
        <v>2019</v>
      </c>
      <c r="H84" s="499">
        <f t="shared" si="31"/>
        <v>2020</v>
      </c>
      <c r="I84" s="499">
        <f t="shared" si="31"/>
        <v>2021</v>
      </c>
      <c r="J84" s="500">
        <f t="shared" si="31"/>
        <v>2022</v>
      </c>
      <c r="K84" s="508">
        <f t="shared" ref="K84:O84" si="32">K65</f>
        <v>2023</v>
      </c>
      <c r="L84" s="509">
        <f t="shared" si="32"/>
        <v>2024</v>
      </c>
      <c r="M84" s="509">
        <f t="shared" si="32"/>
        <v>2025</v>
      </c>
      <c r="N84" s="509">
        <f t="shared" si="32"/>
        <v>2026</v>
      </c>
      <c r="O84" s="510">
        <f t="shared" si="32"/>
        <v>2027</v>
      </c>
    </row>
    <row r="85" spans="1:16" ht="15.75">
      <c r="A85" s="190" t="s">
        <v>182</v>
      </c>
      <c r="F85" s="141">
        <f>+'Cifras Historicas'!G105</f>
        <v>12165.805</v>
      </c>
      <c r="G85" s="141">
        <f>+'Cifras Historicas'!H105</f>
        <v>11823.081</v>
      </c>
      <c r="H85" s="141">
        <f>+'Cifras Historicas'!I105</f>
        <v>12942.294</v>
      </c>
      <c r="I85" s="141">
        <f>+'Cifras Historicas'!J105</f>
        <v>21062.707999999999</v>
      </c>
      <c r="J85" s="141">
        <f>+'Cifras Historicas'!K105</f>
        <v>28950.13</v>
      </c>
      <c r="K85" s="24">
        <f t="shared" ref="K85:O85" si="33">AVERAGE(F85:J85)</f>
        <v>17388.803599999999</v>
      </c>
      <c r="L85" s="24">
        <f t="shared" si="33"/>
        <v>18433.403320000001</v>
      </c>
      <c r="M85" s="24">
        <f t="shared" si="33"/>
        <v>19755.467784</v>
      </c>
      <c r="N85" s="24">
        <f t="shared" si="33"/>
        <v>21118.102540799999</v>
      </c>
      <c r="O85" s="24">
        <f t="shared" si="33"/>
        <v>21129.18144896</v>
      </c>
    </row>
    <row r="86" spans="1:16" ht="16.5" thickBot="1">
      <c r="A86" s="191" t="s">
        <v>183</v>
      </c>
      <c r="B86" s="496"/>
      <c r="C86" s="496"/>
      <c r="D86" s="496"/>
      <c r="E86" s="496"/>
      <c r="F86" s="497">
        <f>+'Cifras Historicas'!G106</f>
        <v>16679.975999999999</v>
      </c>
      <c r="G86" s="497">
        <f>+'Cifras Historicas'!H106</f>
        <v>626.43700000000001</v>
      </c>
      <c r="H86" s="497">
        <f>+'Cifras Historicas'!I106</f>
        <v>2197.87</v>
      </c>
      <c r="I86" s="497">
        <f>+'Cifras Historicas'!J106</f>
        <v>2721.0230000000001</v>
      </c>
      <c r="J86" s="497">
        <f>+'Cifras Historicas'!K106</f>
        <v>20222.842000000001</v>
      </c>
      <c r="K86" s="498">
        <f t="shared" ref="K86:O86" si="34">AVERAGE(F86:J86)</f>
        <v>8489.6296000000002</v>
      </c>
      <c r="L86" s="166">
        <f t="shared" si="34"/>
        <v>6851.5603199999996</v>
      </c>
      <c r="M86" s="166">
        <f t="shared" si="34"/>
        <v>8096.5849839999992</v>
      </c>
      <c r="N86" s="166">
        <f t="shared" si="34"/>
        <v>9276.3279808000007</v>
      </c>
      <c r="O86" s="166">
        <f t="shared" si="34"/>
        <v>10587.388976960001</v>
      </c>
    </row>
    <row r="89" spans="1:16" ht="15.75" thickBot="1"/>
    <row r="90" spans="1:16">
      <c r="A90" s="650" t="s">
        <v>221</v>
      </c>
      <c r="B90" s="651"/>
      <c r="C90" s="651"/>
      <c r="D90" s="651"/>
      <c r="E90" s="651"/>
      <c r="F90" s="651"/>
      <c r="G90" s="651"/>
      <c r="H90" s="651"/>
      <c r="I90" s="651"/>
      <c r="J90" s="651"/>
      <c r="K90" s="651"/>
      <c r="L90" s="651"/>
      <c r="M90" s="651"/>
      <c r="N90" s="651"/>
      <c r="O90" s="651"/>
      <c r="P90" s="652"/>
    </row>
    <row r="91" spans="1:16" ht="15.75" thickBot="1">
      <c r="A91" s="653"/>
      <c r="B91" s="654"/>
      <c r="C91" s="654"/>
      <c r="D91" s="654"/>
      <c r="E91" s="654"/>
      <c r="F91" s="654"/>
      <c r="G91" s="654"/>
      <c r="H91" s="654"/>
      <c r="I91" s="654"/>
      <c r="J91" s="654"/>
      <c r="K91" s="654"/>
      <c r="L91" s="654"/>
      <c r="M91" s="654"/>
      <c r="N91" s="654"/>
      <c r="O91" s="654"/>
      <c r="P91" s="655"/>
    </row>
    <row r="92" spans="1:16" ht="18">
      <c r="A92" s="625" t="s">
        <v>345</v>
      </c>
      <c r="B92" s="625"/>
      <c r="C92" s="625"/>
      <c r="D92" s="625"/>
      <c r="E92" s="625"/>
      <c r="F92" s="625"/>
      <c r="G92" s="625"/>
      <c r="H92" s="625"/>
      <c r="I92" s="625"/>
      <c r="J92" s="625"/>
      <c r="K92" s="625"/>
      <c r="L92" s="625"/>
      <c r="M92" s="625"/>
      <c r="N92" s="625"/>
      <c r="O92" s="625"/>
      <c r="P92" s="625"/>
    </row>
    <row r="93" spans="1:16">
      <c r="A93" s="592" t="s">
        <v>310</v>
      </c>
      <c r="B93" s="626"/>
      <c r="C93" s="626"/>
      <c r="D93" s="626"/>
      <c r="E93" s="626"/>
      <c r="F93" s="626"/>
      <c r="G93" s="626"/>
      <c r="H93" s="626"/>
      <c r="I93" s="626"/>
      <c r="J93" s="626"/>
      <c r="K93" s="626"/>
      <c r="L93" s="592"/>
      <c r="M93" s="592"/>
      <c r="N93" s="592"/>
      <c r="O93" s="592"/>
      <c r="P93" s="592"/>
    </row>
    <row r="95" spans="1:16" ht="16.5" thickBot="1">
      <c r="A95" s="168"/>
    </row>
    <row r="96" spans="1:16">
      <c r="A96" s="170" t="s">
        <v>231</v>
      </c>
      <c r="F96" s="502">
        <f t="shared" ref="F96:O96" si="35">F84</f>
        <v>2018</v>
      </c>
      <c r="G96" s="503">
        <f t="shared" si="35"/>
        <v>2019</v>
      </c>
      <c r="H96" s="503">
        <f t="shared" si="35"/>
        <v>2020</v>
      </c>
      <c r="I96" s="503">
        <f t="shared" si="35"/>
        <v>2021</v>
      </c>
      <c r="J96" s="503">
        <f t="shared" si="35"/>
        <v>2022</v>
      </c>
      <c r="K96" s="511">
        <f t="shared" si="35"/>
        <v>2023</v>
      </c>
      <c r="L96" s="511">
        <f t="shared" si="35"/>
        <v>2024</v>
      </c>
      <c r="M96" s="511">
        <f t="shared" si="35"/>
        <v>2025</v>
      </c>
      <c r="N96" s="511">
        <f t="shared" si="35"/>
        <v>2026</v>
      </c>
      <c r="O96" s="512">
        <f t="shared" si="35"/>
        <v>2027</v>
      </c>
    </row>
    <row r="97" spans="1:16">
      <c r="A97" s="70" t="s">
        <v>222</v>
      </c>
      <c r="B97" s="437"/>
      <c r="C97" s="437"/>
      <c r="D97" s="437"/>
      <c r="E97" s="437"/>
      <c r="F97" s="501">
        <f>F80/F47</f>
        <v>2.2282041864928364E-2</v>
      </c>
      <c r="G97" s="27">
        <f>G80/G47</f>
        <v>-7.6444294684185135E-2</v>
      </c>
      <c r="H97" s="27">
        <f t="shared" ref="H97:O97" si="36">H80/H47</f>
        <v>1.2089081783840291E-2</v>
      </c>
      <c r="I97" s="27">
        <f t="shared" si="36"/>
        <v>6.108679249012882E-3</v>
      </c>
      <c r="J97" s="27">
        <f t="shared" si="36"/>
        <v>2.77501838590846E-2</v>
      </c>
      <c r="K97" s="27">
        <f t="shared" si="36"/>
        <v>-1.3645217589951712E-3</v>
      </c>
      <c r="L97" s="10">
        <f t="shared" si="36"/>
        <v>-1.3645217589953013E-3</v>
      </c>
      <c r="M97" s="10">
        <f t="shared" si="36"/>
        <v>-1.3645217589954841E-3</v>
      </c>
      <c r="N97" s="10">
        <f t="shared" si="36"/>
        <v>-1.3645217589950522E-3</v>
      </c>
      <c r="O97" s="102">
        <f t="shared" si="36"/>
        <v>-1.3645217589952651E-3</v>
      </c>
      <c r="P97" s="1" t="s">
        <v>571</v>
      </c>
    </row>
    <row r="98" spans="1:16">
      <c r="A98" s="1" t="s">
        <v>223</v>
      </c>
      <c r="F98" s="121">
        <f>F72*(1-(F79/F78))</f>
        <v>10621.519633620774</v>
      </c>
      <c r="G98" s="8">
        <f t="shared" ref="G98:O98" si="37">G72*(1-(G79/G78))</f>
        <v>-155766.51498934408</v>
      </c>
      <c r="H98" s="8">
        <f t="shared" si="37"/>
        <v>13047.070526758267</v>
      </c>
      <c r="I98" s="8">
        <f t="shared" si="37"/>
        <v>10655.088889176988</v>
      </c>
      <c r="J98" s="8">
        <f t="shared" si="37"/>
        <v>63065.951693430063</v>
      </c>
      <c r="K98" s="8">
        <f>K72*(1-(K79/K78))</f>
        <v>-2260.8876864363106</v>
      </c>
      <c r="L98" s="8">
        <f t="shared" si="37"/>
        <v>-2328.7143170296245</v>
      </c>
      <c r="M98" s="8">
        <f t="shared" si="37"/>
        <v>-2398.5757465408319</v>
      </c>
      <c r="N98" s="8">
        <f t="shared" si="37"/>
        <v>-2470.5330189362735</v>
      </c>
      <c r="O98" s="173">
        <f t="shared" si="37"/>
        <v>-2544.6490095047584</v>
      </c>
      <c r="P98" s="1" t="s">
        <v>572</v>
      </c>
    </row>
    <row r="99" spans="1:16">
      <c r="A99" s="1" t="s">
        <v>224</v>
      </c>
      <c r="F99" s="121">
        <f t="shared" ref="F99:O99" si="38">F42+F44-F51</f>
        <v>779598.57500000007</v>
      </c>
      <c r="G99" s="8">
        <f t="shared" si="38"/>
        <v>390946.84500000009</v>
      </c>
      <c r="H99" s="8">
        <f t="shared" si="38"/>
        <v>491798.38500000001</v>
      </c>
      <c r="I99" s="8">
        <f t="shared" si="38"/>
        <v>658903.29600000009</v>
      </c>
      <c r="J99" s="8">
        <f t="shared" si="38"/>
        <v>904351.12799999979</v>
      </c>
      <c r="K99" s="8">
        <f>K42+K44-K51</f>
        <v>931481.66184000007</v>
      </c>
      <c r="L99" s="8">
        <f t="shared" si="38"/>
        <v>959426.11169519997</v>
      </c>
      <c r="M99" s="8">
        <f t="shared" si="38"/>
        <v>988208.89504605613</v>
      </c>
      <c r="N99" s="8">
        <f t="shared" si="38"/>
        <v>1017855.1618974379</v>
      </c>
      <c r="O99" s="173">
        <f t="shared" si="38"/>
        <v>1048390.8167543609</v>
      </c>
    </row>
    <row r="100" spans="1:16">
      <c r="A100" s="70" t="s">
        <v>225</v>
      </c>
      <c r="F100" s="101">
        <f>F98/F99</f>
        <v>1.3624344597629328E-2</v>
      </c>
      <c r="G100" s="10">
        <f>G98/G99</f>
        <v>-0.39843399935698176</v>
      </c>
      <c r="H100" s="10">
        <f t="shared" ref="H100:O100" si="39">H98/H99</f>
        <v>2.6529307384281602E-2</v>
      </c>
      <c r="I100" s="10">
        <f t="shared" si="39"/>
        <v>1.6170944892612872E-2</v>
      </c>
      <c r="J100" s="10">
        <f t="shared" si="39"/>
        <v>6.9736134274418771E-2</v>
      </c>
      <c r="K100" s="10">
        <f t="shared" si="39"/>
        <v>-2.4271950582153935E-3</v>
      </c>
      <c r="L100" s="10">
        <f t="shared" si="39"/>
        <v>-2.4271950582156281E-3</v>
      </c>
      <c r="M100" s="10">
        <f t="shared" si="39"/>
        <v>-2.4271950582159499E-3</v>
      </c>
      <c r="N100" s="10">
        <f t="shared" si="39"/>
        <v>-2.4271950582151801E-3</v>
      </c>
      <c r="O100" s="102">
        <f t="shared" si="39"/>
        <v>-2.4271950582155587E-3</v>
      </c>
      <c r="P100" s="1" t="s">
        <v>573</v>
      </c>
    </row>
    <row r="101" spans="1:16" ht="15.75" thickBot="1">
      <c r="A101" s="1" t="s">
        <v>226</v>
      </c>
      <c r="F101" s="174">
        <f>F100-F97</f>
        <v>-8.657697267299036E-3</v>
      </c>
      <c r="G101" s="175">
        <f t="shared" ref="G101:L101" si="40">G100-G97</f>
        <v>-0.32198970467279664</v>
      </c>
      <c r="H101" s="175">
        <f t="shared" si="40"/>
        <v>1.444022560044131E-2</v>
      </c>
      <c r="I101" s="175">
        <f t="shared" si="40"/>
        <v>1.006226564359999E-2</v>
      </c>
      <c r="J101" s="175">
        <f t="shared" si="40"/>
        <v>4.1985950415334171E-2</v>
      </c>
      <c r="K101" s="175">
        <f t="shared" si="40"/>
        <v>-1.0626732992202223E-3</v>
      </c>
      <c r="L101" s="175">
        <f t="shared" si="40"/>
        <v>-1.0626732992203268E-3</v>
      </c>
      <c r="M101" s="175">
        <f t="shared" ref="M101" si="41">M100-M97</f>
        <v>-1.0626732992204658E-3</v>
      </c>
      <c r="N101" s="175">
        <f t="shared" ref="N101" si="42">N100-N97</f>
        <v>-1.0626732992201279E-3</v>
      </c>
      <c r="O101" s="176">
        <f t="shared" ref="O101" si="43">O100-O97</f>
        <v>-1.0626732992202936E-3</v>
      </c>
      <c r="P101" s="438" t="s">
        <v>574</v>
      </c>
    </row>
    <row r="102" spans="1:16" ht="15.75" thickBot="1">
      <c r="A102" s="169"/>
      <c r="B102" s="169"/>
      <c r="C102" s="169"/>
      <c r="D102" s="169"/>
      <c r="E102" s="169"/>
      <c r="F102" s="169"/>
      <c r="G102" s="169"/>
      <c r="H102" s="169"/>
      <c r="I102" s="169"/>
      <c r="J102" s="169"/>
      <c r="K102" s="169"/>
      <c r="L102" s="169"/>
      <c r="M102" s="169"/>
      <c r="N102" s="169"/>
      <c r="O102" s="169"/>
    </row>
    <row r="103" spans="1:16" ht="15.75" thickBot="1">
      <c r="A103" s="170" t="s">
        <v>232</v>
      </c>
      <c r="F103" s="504">
        <f t="shared" ref="F103:O103" si="44">F96</f>
        <v>2018</v>
      </c>
      <c r="G103" s="505">
        <f t="shared" si="44"/>
        <v>2019</v>
      </c>
      <c r="H103" s="505">
        <f t="shared" si="44"/>
        <v>2020</v>
      </c>
      <c r="I103" s="505">
        <f t="shared" si="44"/>
        <v>2021</v>
      </c>
      <c r="J103" s="505">
        <f t="shared" si="44"/>
        <v>2022</v>
      </c>
      <c r="K103" s="468">
        <f t="shared" si="44"/>
        <v>2023</v>
      </c>
      <c r="L103" s="468">
        <f t="shared" si="44"/>
        <v>2024</v>
      </c>
      <c r="M103" s="468">
        <f t="shared" si="44"/>
        <v>2025</v>
      </c>
      <c r="N103" s="468">
        <f t="shared" si="44"/>
        <v>2026</v>
      </c>
      <c r="O103" s="507">
        <f t="shared" si="44"/>
        <v>2027</v>
      </c>
    </row>
    <row r="104" spans="1:16">
      <c r="A104" s="1" t="s">
        <v>227</v>
      </c>
      <c r="F104" s="121">
        <f>F80+F79+F76+F85+F86</f>
        <v>59758.723999999944</v>
      </c>
      <c r="G104" s="8">
        <f t="shared" ref="G104:O104" si="45">G80+G79+G76+G85+G86</f>
        <v>-54624.787000000375</v>
      </c>
      <c r="H104" s="8">
        <f t="shared" si="45"/>
        <v>73258.475999999268</v>
      </c>
      <c r="I104" s="8">
        <f t="shared" si="45"/>
        <v>59612.795999999689</v>
      </c>
      <c r="J104" s="8">
        <f t="shared" si="45"/>
        <v>150913.56400000007</v>
      </c>
      <c r="K104" s="8">
        <f t="shared" si="45"/>
        <v>61198.750587069022</v>
      </c>
      <c r="L104" s="8">
        <f t="shared" si="45"/>
        <v>61664.890548680858</v>
      </c>
      <c r="M104" s="8">
        <f t="shared" si="45"/>
        <v>65323.377483940953</v>
      </c>
      <c r="N104" s="8">
        <f t="shared" si="45"/>
        <v>68989.894979019999</v>
      </c>
      <c r="O104" s="173">
        <f t="shared" si="45"/>
        <v>71469.898817062189</v>
      </c>
      <c r="P104" s="1" t="s">
        <v>575</v>
      </c>
    </row>
    <row r="105" spans="1:16">
      <c r="A105" s="70" t="s">
        <v>228</v>
      </c>
      <c r="F105" s="177">
        <f>F72+F85+F86</f>
        <v>41144.269999999946</v>
      </c>
      <c r="G105" s="24">
        <f t="shared" ref="G105:O105" si="46">G72+G85+G86</f>
        <v>-54624.787000000375</v>
      </c>
      <c r="H105" s="24">
        <f t="shared" si="46"/>
        <v>73258.475999999268</v>
      </c>
      <c r="I105" s="24">
        <f t="shared" si="46"/>
        <v>59612.795999999689</v>
      </c>
      <c r="J105" s="24">
        <f t="shared" si="46"/>
        <v>150913.56400000007</v>
      </c>
      <c r="K105" s="24">
        <f t="shared" si="46"/>
        <v>56905.040355352336</v>
      </c>
      <c r="L105" s="24">
        <f t="shared" si="46"/>
        <v>57242.369010012677</v>
      </c>
      <c r="M105" s="24">
        <f t="shared" si="46"/>
        <v>60768.180299112719</v>
      </c>
      <c r="N105" s="24">
        <f t="shared" si="46"/>
        <v>64298.041878646916</v>
      </c>
      <c r="O105" s="178">
        <f t="shared" si="46"/>
        <v>66637.290123677914</v>
      </c>
    </row>
    <row r="106" spans="1:16">
      <c r="A106" s="1" t="s">
        <v>229</v>
      </c>
      <c r="F106" s="101">
        <f>F104/F67</f>
        <v>1.0990970599791238E-2</v>
      </c>
      <c r="G106" s="10">
        <f>G104/G67</f>
        <v>-9.4828363866864551E-3</v>
      </c>
      <c r="H106" s="10">
        <f t="shared" ref="H106:O106" si="47">H104/H67</f>
        <v>1.2264643850013E-2</v>
      </c>
      <c r="I106" s="10">
        <f t="shared" si="47"/>
        <v>1.2778032284455352E-2</v>
      </c>
      <c r="J106" s="10">
        <f t="shared" si="47"/>
        <v>2.4788360099762739E-2</v>
      </c>
      <c r="K106" s="10">
        <f t="shared" si="47"/>
        <v>9.7594389576258333E-3</v>
      </c>
      <c r="L106" s="10">
        <f t="shared" si="47"/>
        <v>9.547354235421069E-3</v>
      </c>
      <c r="M106" s="10">
        <f t="shared" si="47"/>
        <v>9.8192084172369909E-3</v>
      </c>
      <c r="N106" s="10">
        <f t="shared" si="47"/>
        <v>1.0068299035642816E-2</v>
      </c>
      <c r="O106" s="102">
        <f t="shared" si="47"/>
        <v>1.01264346560716E-2</v>
      </c>
      <c r="P106" s="1" t="s">
        <v>559</v>
      </c>
    </row>
    <row r="107" spans="1:16">
      <c r="A107" s="70" t="s">
        <v>230</v>
      </c>
      <c r="F107" s="101">
        <f>F105/F67</f>
        <v>7.5673547166079467E-3</v>
      </c>
      <c r="G107" s="10">
        <f t="shared" ref="G107:O107" si="48">G105/G67</f>
        <v>-9.4828363866864551E-3</v>
      </c>
      <c r="H107" s="10">
        <f t="shared" si="48"/>
        <v>1.2264643850013E-2</v>
      </c>
      <c r="I107" s="10">
        <f t="shared" si="48"/>
        <v>1.2778032284455352E-2</v>
      </c>
      <c r="J107" s="10">
        <f t="shared" si="48"/>
        <v>2.4788360099762739E-2</v>
      </c>
      <c r="K107" s="10">
        <f t="shared" si="48"/>
        <v>9.0747157809891749E-3</v>
      </c>
      <c r="L107" s="10">
        <f t="shared" si="48"/>
        <v>8.8626310587844124E-3</v>
      </c>
      <c r="M107" s="10">
        <f t="shared" si="48"/>
        <v>9.1344852406003308E-3</v>
      </c>
      <c r="N107" s="10">
        <f t="shared" si="48"/>
        <v>9.383575859006156E-3</v>
      </c>
      <c r="O107" s="102">
        <f t="shared" si="48"/>
        <v>9.4417114794349416E-3</v>
      </c>
      <c r="P107" s="1" t="s">
        <v>576</v>
      </c>
    </row>
    <row r="108" spans="1:16">
      <c r="A108" s="1" t="s">
        <v>233</v>
      </c>
      <c r="F108" s="177">
        <f>F40+F41-F51</f>
        <v>414026.38600000006</v>
      </c>
      <c r="G108" s="24">
        <f t="shared" ref="G108:O108" si="49">G40+G41-G51</f>
        <v>-30391.381999999983</v>
      </c>
      <c r="H108" s="24">
        <f t="shared" si="49"/>
        <v>91920.212000000058</v>
      </c>
      <c r="I108" s="24">
        <f t="shared" si="49"/>
        <v>68356.79800000001</v>
      </c>
      <c r="J108" s="24">
        <f>J40+J41-J51</f>
        <v>33963.501999999979</v>
      </c>
      <c r="K108" s="24">
        <f t="shared" si="49"/>
        <v>34982.407059999998</v>
      </c>
      <c r="L108" s="24">
        <f t="shared" si="49"/>
        <v>36031.87927179999</v>
      </c>
      <c r="M108" s="24">
        <f t="shared" si="49"/>
        <v>37112.835649954039</v>
      </c>
      <c r="N108" s="24">
        <f t="shared" si="49"/>
        <v>38226.220719452656</v>
      </c>
      <c r="O108" s="178">
        <f t="shared" si="49"/>
        <v>39373.007341036166</v>
      </c>
      <c r="P108" s="1" t="s">
        <v>577</v>
      </c>
    </row>
    <row r="109" spans="1:16">
      <c r="A109" s="1" t="s">
        <v>234</v>
      </c>
      <c r="F109" s="179"/>
      <c r="G109" s="24">
        <f>G108-F108</f>
        <v>-444417.76800000004</v>
      </c>
      <c r="H109" s="24">
        <f>H108-G108</f>
        <v>122311.59400000004</v>
      </c>
      <c r="I109" s="24">
        <f>I108-H108</f>
        <v>-23563.414000000048</v>
      </c>
      <c r="J109" s="24">
        <f>J108-I108</f>
        <v>-34393.296000000031</v>
      </c>
      <c r="K109" s="24">
        <f t="shared" ref="K109:O109" si="50">K108-J108</f>
        <v>1018.9050600000191</v>
      </c>
      <c r="L109" s="24">
        <f t="shared" si="50"/>
        <v>1049.4722117999918</v>
      </c>
      <c r="M109" s="24">
        <f t="shared" si="50"/>
        <v>1080.9563781540492</v>
      </c>
      <c r="N109" s="24">
        <f t="shared" si="50"/>
        <v>1113.3850694986177</v>
      </c>
      <c r="O109" s="178">
        <f t="shared" si="50"/>
        <v>1146.7866215835093</v>
      </c>
      <c r="P109" s="1" t="s">
        <v>578</v>
      </c>
    </row>
    <row r="110" spans="1:16">
      <c r="A110" s="1" t="s">
        <v>235</v>
      </c>
      <c r="F110" s="101">
        <f>F108/F67</f>
        <v>7.6148745011085303E-2</v>
      </c>
      <c r="G110" s="10">
        <f t="shared" ref="G110:O110" si="51">G108/G67</f>
        <v>-5.2759290955456837E-3</v>
      </c>
      <c r="H110" s="10">
        <f t="shared" si="51"/>
        <v>1.5388917765607123E-2</v>
      </c>
      <c r="I110" s="10">
        <f t="shared" si="51"/>
        <v>1.4652313434618931E-2</v>
      </c>
      <c r="J110" s="10">
        <f t="shared" si="51"/>
        <v>5.5786868688954359E-3</v>
      </c>
      <c r="K110" s="10">
        <f t="shared" si="51"/>
        <v>5.5786868688954393E-3</v>
      </c>
      <c r="L110" s="10">
        <f t="shared" si="51"/>
        <v>5.5786868688954376E-3</v>
      </c>
      <c r="M110" s="10">
        <f t="shared" si="51"/>
        <v>5.5786868688954445E-3</v>
      </c>
      <c r="N110" s="10">
        <f t="shared" si="51"/>
        <v>5.5786868688954437E-3</v>
      </c>
      <c r="O110" s="102">
        <f t="shared" si="51"/>
        <v>5.5786868688954341E-3</v>
      </c>
      <c r="P110" s="1" t="s">
        <v>579</v>
      </c>
    </row>
    <row r="111" spans="1:16">
      <c r="A111" s="1" t="s">
        <v>236</v>
      </c>
      <c r="F111" s="180">
        <f>F67/F44</f>
        <v>20.35384486566906</v>
      </c>
      <c r="G111" s="68">
        <f t="shared" ref="G111:O111" si="52">G67/G44</f>
        <v>23.290294534253146</v>
      </c>
      <c r="H111" s="68">
        <f t="shared" si="52"/>
        <v>29.199813600842113</v>
      </c>
      <c r="I111" s="68">
        <f>I67/I44</f>
        <v>16.672254203534965</v>
      </c>
      <c r="J111" s="68">
        <f>J67/J44</f>
        <v>9.7080403205854182</v>
      </c>
      <c r="K111" s="68">
        <f t="shared" si="52"/>
        <v>9.70804032058542</v>
      </c>
      <c r="L111" s="68">
        <f t="shared" si="52"/>
        <v>9.70804032058542</v>
      </c>
      <c r="M111" s="68">
        <f t="shared" si="52"/>
        <v>9.7080403205854182</v>
      </c>
      <c r="N111" s="68">
        <f t="shared" si="52"/>
        <v>9.7080403205854182</v>
      </c>
      <c r="O111" s="122">
        <f t="shared" si="52"/>
        <v>9.7080403205854182</v>
      </c>
    </row>
    <row r="112" spans="1:16" ht="15.75" thickBot="1">
      <c r="A112" s="70" t="s">
        <v>237</v>
      </c>
      <c r="F112" s="181">
        <f>F107/F110</f>
        <v>9.9375961028725215E-2</v>
      </c>
      <c r="G112" s="182">
        <f t="shared" ref="G112:O112" si="53">G107/G110</f>
        <v>1.7973775263000678</v>
      </c>
      <c r="H112" s="182">
        <f t="shared" si="53"/>
        <v>0.79697897128434847</v>
      </c>
      <c r="I112" s="182">
        <f t="shared" si="53"/>
        <v>0.87208291997526977</v>
      </c>
      <c r="J112" s="182">
        <f t="shared" si="53"/>
        <v>4.4434040989059422</v>
      </c>
      <c r="K112" s="182">
        <f t="shared" si="53"/>
        <v>1.6266759533656954</v>
      </c>
      <c r="L112" s="182">
        <f t="shared" si="53"/>
        <v>1.5886589921723255</v>
      </c>
      <c r="M112" s="182">
        <f t="shared" si="53"/>
        <v>1.6373898473367656</v>
      </c>
      <c r="N112" s="182">
        <f t="shared" si="53"/>
        <v>1.6820402506054375</v>
      </c>
      <c r="O112" s="183">
        <f t="shared" si="53"/>
        <v>1.6924612729347142</v>
      </c>
      <c r="P112" s="1" t="s">
        <v>580</v>
      </c>
    </row>
    <row r="113" spans="1:18">
      <c r="A113" s="169"/>
      <c r="B113" s="169"/>
      <c r="C113" s="169"/>
      <c r="D113" s="169"/>
      <c r="E113" s="169"/>
      <c r="F113" s="169"/>
      <c r="G113" s="169"/>
      <c r="H113" s="169"/>
      <c r="I113" s="169"/>
      <c r="J113" s="169"/>
      <c r="K113" s="169"/>
      <c r="L113" s="169"/>
      <c r="M113" s="169"/>
      <c r="N113" s="169"/>
      <c r="O113" s="169"/>
      <c r="Q113" s="1" t="s">
        <v>581</v>
      </c>
      <c r="R113" s="1" t="s">
        <v>582</v>
      </c>
    </row>
    <row r="114" spans="1:18">
      <c r="Q114" s="1" t="s">
        <v>583</v>
      </c>
    </row>
    <row r="115" spans="1:18" ht="15.75" thickBot="1">
      <c r="A115" s="170" t="s">
        <v>251</v>
      </c>
      <c r="Q115" s="333" t="s">
        <v>584</v>
      </c>
    </row>
    <row r="116" spans="1:18" ht="15.75" thickBot="1">
      <c r="F116" s="504">
        <f t="shared" ref="F116:O116" si="54">F103</f>
        <v>2018</v>
      </c>
      <c r="G116" s="505">
        <f t="shared" si="54"/>
        <v>2019</v>
      </c>
      <c r="H116" s="505">
        <f t="shared" si="54"/>
        <v>2020</v>
      </c>
      <c r="I116" s="505">
        <f t="shared" si="54"/>
        <v>2021</v>
      </c>
      <c r="J116" s="505">
        <f t="shared" si="54"/>
        <v>2022</v>
      </c>
      <c r="K116" s="468">
        <f t="shared" si="54"/>
        <v>2023</v>
      </c>
      <c r="L116" s="468">
        <f t="shared" si="54"/>
        <v>2024</v>
      </c>
      <c r="M116" s="468">
        <f t="shared" si="54"/>
        <v>2025</v>
      </c>
      <c r="N116" s="468">
        <f t="shared" si="54"/>
        <v>2026</v>
      </c>
      <c r="O116" s="507">
        <f t="shared" si="54"/>
        <v>2027</v>
      </c>
      <c r="Q116" s="1" t="s">
        <v>585</v>
      </c>
    </row>
    <row r="117" spans="1:18">
      <c r="A117" s="70" t="s">
        <v>71</v>
      </c>
      <c r="F117" s="240">
        <f>F80</f>
        <v>26120.446999999946</v>
      </c>
      <c r="G117" s="240">
        <f t="shared" ref="G117:O117" si="55">G80</f>
        <v>-105872.53300000037</v>
      </c>
      <c r="H117" s="240">
        <f t="shared" si="55"/>
        <v>13278.697999999276</v>
      </c>
      <c r="I117" s="240">
        <f t="shared" si="55"/>
        <v>8295.9049999996896</v>
      </c>
      <c r="J117" s="240">
        <f t="shared" si="55"/>
        <v>46784.785000000069</v>
      </c>
      <c r="K117" s="240">
        <f>K80</f>
        <v>-2369.4986371975829</v>
      </c>
      <c r="L117" s="240">
        <f t="shared" si="55"/>
        <v>-2440.5835963137433</v>
      </c>
      <c r="M117" s="240">
        <f t="shared" si="55"/>
        <v>-2513.8011042034923</v>
      </c>
      <c r="N117" s="240">
        <f t="shared" si="55"/>
        <v>-2589.2151373287779</v>
      </c>
      <c r="O117" s="240">
        <f t="shared" si="55"/>
        <v>-2666.8915914490572</v>
      </c>
    </row>
    <row r="118" spans="1:18">
      <c r="A118" s="1" t="s">
        <v>72</v>
      </c>
      <c r="F118" s="8">
        <f>F79</f>
        <v>4124.0039999999999</v>
      </c>
      <c r="G118" s="8">
        <f t="shared" ref="G118:O118" si="56">G79</f>
        <v>60282.974999999999</v>
      </c>
      <c r="H118" s="8">
        <f t="shared" si="56"/>
        <v>45871.400999999998</v>
      </c>
      <c r="I118" s="8">
        <f t="shared" si="56"/>
        <v>19600.11</v>
      </c>
      <c r="J118" s="8">
        <f t="shared" si="56"/>
        <v>28690.358</v>
      </c>
      <c r="K118" s="8">
        <f>K79</f>
        <v>34886.595268102305</v>
      </c>
      <c r="L118" s="8">
        <f t="shared" si="56"/>
        <v>35933.193126145379</v>
      </c>
      <c r="M118" s="8">
        <f t="shared" si="56"/>
        <v>37011.188919929737</v>
      </c>
      <c r="N118" s="8">
        <f t="shared" si="56"/>
        <v>38121.524587527631</v>
      </c>
      <c r="O118" s="8">
        <f t="shared" si="56"/>
        <v>39265.170325153464</v>
      </c>
    </row>
    <row r="119" spans="1:18">
      <c r="A119" s="1" t="s">
        <v>73</v>
      </c>
      <c r="F119" s="8">
        <f>F76</f>
        <v>668.49199999999996</v>
      </c>
      <c r="G119" s="8">
        <f t="shared" ref="G119:O119" si="57">G76</f>
        <v>-21484.746999999999</v>
      </c>
      <c r="H119" s="8">
        <f t="shared" si="57"/>
        <v>-1031.787</v>
      </c>
      <c r="I119" s="8">
        <f t="shared" si="57"/>
        <v>7933.05</v>
      </c>
      <c r="J119" s="8">
        <f t="shared" si="57"/>
        <v>26265.449000000001</v>
      </c>
      <c r="K119" s="8">
        <f t="shared" si="57"/>
        <v>2803.2207561643013</v>
      </c>
      <c r="L119" s="8">
        <f t="shared" si="57"/>
        <v>2887.3173788492304</v>
      </c>
      <c r="M119" s="8">
        <f t="shared" si="57"/>
        <v>2973.9369002147073</v>
      </c>
      <c r="N119" s="8">
        <f t="shared" si="57"/>
        <v>3063.1550072211489</v>
      </c>
      <c r="O119" s="8">
        <f t="shared" si="57"/>
        <v>3155.049657437783</v>
      </c>
    </row>
    <row r="120" spans="1:18">
      <c r="A120" s="70" t="s">
        <v>74</v>
      </c>
      <c r="F120" s="8">
        <f>F117+F118+F119</f>
        <v>30912.942999999945</v>
      </c>
      <c r="G120" s="8">
        <f t="shared" ref="G120:O120" si="58">G117+G118+G119</f>
        <v>-67074.305000000371</v>
      </c>
      <c r="H120" s="8">
        <f t="shared" si="58"/>
        <v>58118.311999999278</v>
      </c>
      <c r="I120" s="8">
        <f t="shared" si="58"/>
        <v>35829.064999999689</v>
      </c>
      <c r="J120" s="8">
        <f t="shared" si="58"/>
        <v>101740.59200000006</v>
      </c>
      <c r="K120" s="8">
        <f t="shared" si="58"/>
        <v>35320.317387069023</v>
      </c>
      <c r="L120" s="8">
        <f t="shared" si="58"/>
        <v>36379.926908680864</v>
      </c>
      <c r="M120" s="8">
        <f t="shared" si="58"/>
        <v>37471.324715940951</v>
      </c>
      <c r="N120" s="8">
        <f t="shared" si="58"/>
        <v>38595.464457419999</v>
      </c>
      <c r="O120" s="8">
        <f t="shared" si="58"/>
        <v>39753.32839114219</v>
      </c>
    </row>
    <row r="122" spans="1:18">
      <c r="A122" s="1" t="s">
        <v>75</v>
      </c>
      <c r="F122" s="8">
        <f>F120*(F79/F78)</f>
        <v>4215.156710358935</v>
      </c>
      <c r="G122" s="8">
        <f t="shared" ref="G122:O122" si="59">G120*(G79/G78)</f>
        <v>88692.209989343712</v>
      </c>
      <c r="H122" s="8">
        <f t="shared" si="59"/>
        <v>45071.241473241011</v>
      </c>
      <c r="I122" s="8">
        <f t="shared" si="59"/>
        <v>25173.976110822703</v>
      </c>
      <c r="J122" s="8">
        <f t="shared" si="59"/>
        <v>38674.640306570007</v>
      </c>
      <c r="K122" s="8">
        <f t="shared" si="59"/>
        <v>37894.084807451341</v>
      </c>
      <c r="L122" s="8">
        <f t="shared" si="59"/>
        <v>39030.907351674905</v>
      </c>
      <c r="M122" s="8">
        <f t="shared" si="59"/>
        <v>40201.834572225183</v>
      </c>
      <c r="N122" s="8">
        <f t="shared" si="59"/>
        <v>41407.889609391859</v>
      </c>
      <c r="O122" s="8">
        <f t="shared" si="59"/>
        <v>42650.126297673662</v>
      </c>
    </row>
    <row r="123" spans="1:18">
      <c r="A123" s="70" t="s">
        <v>76</v>
      </c>
      <c r="F123" s="8">
        <f>F120-F122</f>
        <v>26697.786289641008</v>
      </c>
      <c r="G123" s="8">
        <f t="shared" ref="G123:O123" si="60">G120-G122</f>
        <v>-155766.51498934408</v>
      </c>
      <c r="H123" s="8">
        <f t="shared" si="60"/>
        <v>13047.070526758267</v>
      </c>
      <c r="I123" s="8">
        <f t="shared" si="60"/>
        <v>10655.088889176986</v>
      </c>
      <c r="J123" s="8">
        <f>J120-J122</f>
        <v>63065.951693430055</v>
      </c>
      <c r="K123" s="8">
        <f t="shared" si="60"/>
        <v>-2573.767420382319</v>
      </c>
      <c r="L123" s="8">
        <f t="shared" si="60"/>
        <v>-2650.9804429940414</v>
      </c>
      <c r="M123" s="8">
        <f t="shared" si="60"/>
        <v>-2730.5098562842322</v>
      </c>
      <c r="N123" s="8">
        <f t="shared" si="60"/>
        <v>-2812.42515197186</v>
      </c>
      <c r="O123" s="8">
        <f t="shared" si="60"/>
        <v>-2896.7979065314721</v>
      </c>
    </row>
    <row r="125" spans="1:18">
      <c r="A125" s="1" t="s">
        <v>77</v>
      </c>
      <c r="F125" s="24">
        <f>F85</f>
        <v>12165.805</v>
      </c>
      <c r="G125" s="24">
        <f t="shared" ref="G125:O125" si="61">G85</f>
        <v>11823.081</v>
      </c>
      <c r="H125" s="24">
        <f t="shared" si="61"/>
        <v>12942.294</v>
      </c>
      <c r="I125" s="24">
        <f t="shared" si="61"/>
        <v>21062.707999999999</v>
      </c>
      <c r="J125" s="24">
        <f t="shared" si="61"/>
        <v>28950.13</v>
      </c>
      <c r="K125" s="24">
        <f t="shared" si="61"/>
        <v>17388.803599999999</v>
      </c>
      <c r="L125" s="24">
        <f t="shared" si="61"/>
        <v>18433.403320000001</v>
      </c>
      <c r="M125" s="24">
        <f t="shared" si="61"/>
        <v>19755.467784</v>
      </c>
      <c r="N125" s="24">
        <f t="shared" si="61"/>
        <v>21118.102540799999</v>
      </c>
      <c r="O125" s="24">
        <f t="shared" si="61"/>
        <v>21129.18144896</v>
      </c>
    </row>
    <row r="126" spans="1:18">
      <c r="A126" s="1" t="s">
        <v>130</v>
      </c>
      <c r="F126" s="24">
        <f>F86</f>
        <v>16679.975999999999</v>
      </c>
      <c r="G126" s="24">
        <f t="shared" ref="G126:O126" si="62">G86</f>
        <v>626.43700000000001</v>
      </c>
      <c r="H126" s="24">
        <f t="shared" si="62"/>
        <v>2197.87</v>
      </c>
      <c r="I126" s="24">
        <f t="shared" si="62"/>
        <v>2721.0230000000001</v>
      </c>
      <c r="J126" s="24">
        <f t="shared" si="62"/>
        <v>20222.842000000001</v>
      </c>
      <c r="K126" s="24">
        <f t="shared" si="62"/>
        <v>8489.6296000000002</v>
      </c>
      <c r="L126" s="24">
        <f t="shared" si="62"/>
        <v>6851.5603199999996</v>
      </c>
      <c r="M126" s="24">
        <f t="shared" si="62"/>
        <v>8096.5849839999992</v>
      </c>
      <c r="N126" s="24">
        <f t="shared" si="62"/>
        <v>9276.3279808000007</v>
      </c>
      <c r="O126" s="24">
        <f t="shared" si="62"/>
        <v>10587.388976960001</v>
      </c>
    </row>
    <row r="127" spans="1:18">
      <c r="A127" s="1" t="s">
        <v>131</v>
      </c>
      <c r="F127" s="144"/>
      <c r="G127" s="144"/>
      <c r="H127" s="144"/>
      <c r="I127" s="144"/>
      <c r="J127" s="144"/>
      <c r="K127" s="144"/>
      <c r="L127" s="144"/>
      <c r="M127" s="144"/>
      <c r="N127" s="144"/>
      <c r="O127" s="144"/>
    </row>
    <row r="128" spans="1:18">
      <c r="A128" s="70" t="s">
        <v>78</v>
      </c>
      <c r="F128" s="8">
        <f t="shared" ref="F128:O128" si="63">F123+F125+F126+F127</f>
        <v>55543.567289641011</v>
      </c>
      <c r="G128" s="8">
        <f>G123+G125+G126+G127</f>
        <v>-143316.99698934407</v>
      </c>
      <c r="H128" s="8">
        <f t="shared" si="63"/>
        <v>28187.234526758268</v>
      </c>
      <c r="I128" s="8">
        <f t="shared" si="63"/>
        <v>34438.819889176986</v>
      </c>
      <c r="J128" s="8">
        <f>J123+J125+J126+J127</f>
        <v>112238.92369343006</v>
      </c>
      <c r="K128" s="8">
        <f t="shared" si="63"/>
        <v>23304.665779617681</v>
      </c>
      <c r="L128" s="8">
        <f t="shared" si="63"/>
        <v>22633.98319700596</v>
      </c>
      <c r="M128" s="8">
        <f t="shared" si="63"/>
        <v>25121.542911715769</v>
      </c>
      <c r="N128" s="8">
        <f t="shared" si="63"/>
        <v>27582.005369628139</v>
      </c>
      <c r="O128" s="8">
        <f t="shared" si="63"/>
        <v>28819.772519388527</v>
      </c>
    </row>
    <row r="129" spans="1:17" ht="15.75" thickBot="1"/>
    <row r="130" spans="1:17">
      <c r="A130" s="1" t="s">
        <v>79</v>
      </c>
      <c r="F130" s="242"/>
      <c r="G130" s="241">
        <f>G108-F108</f>
        <v>-444417.76800000004</v>
      </c>
      <c r="H130" s="24">
        <f t="shared" ref="H130:O130" si="64">H108-G108</f>
        <v>122311.59400000004</v>
      </c>
      <c r="I130" s="24">
        <f t="shared" si="64"/>
        <v>-23563.414000000048</v>
      </c>
      <c r="J130" s="24">
        <f>J108-I108</f>
        <v>-34393.296000000031</v>
      </c>
      <c r="K130" s="24">
        <f t="shared" si="64"/>
        <v>1018.9050600000191</v>
      </c>
      <c r="L130" s="24">
        <f t="shared" si="64"/>
        <v>1049.4722117999918</v>
      </c>
      <c r="M130" s="24">
        <f t="shared" si="64"/>
        <v>1080.9563781540492</v>
      </c>
      <c r="N130" s="24">
        <f t="shared" si="64"/>
        <v>1113.3850694986177</v>
      </c>
      <c r="O130" s="24">
        <f t="shared" si="64"/>
        <v>1146.7866215835093</v>
      </c>
      <c r="P130" s="1" t="s">
        <v>586</v>
      </c>
    </row>
    <row r="131" spans="1:17">
      <c r="A131" s="1" t="s">
        <v>150</v>
      </c>
      <c r="F131" s="243"/>
      <c r="G131" s="241">
        <f>G44-F44</f>
        <v>-19797.78800000003</v>
      </c>
      <c r="H131" s="24">
        <f t="shared" ref="H131:O131" si="65">H44-G44</f>
        <v>-42768.830999999976</v>
      </c>
      <c r="I131" s="24">
        <f t="shared" si="65"/>
        <v>75260.559000000008</v>
      </c>
      <c r="J131" s="24">
        <f>J44-I44</f>
        <v>347295.91299999994</v>
      </c>
      <c r="K131" s="24">
        <f t="shared" si="65"/>
        <v>18813.524459999986</v>
      </c>
      <c r="L131" s="24">
        <f t="shared" si="65"/>
        <v>19377.930193800014</v>
      </c>
      <c r="M131" s="24">
        <f t="shared" si="65"/>
        <v>19959.26809961407</v>
      </c>
      <c r="N131" s="24">
        <f t="shared" si="65"/>
        <v>20558.046142602456</v>
      </c>
      <c r="O131" s="24">
        <f t="shared" si="65"/>
        <v>21174.787526880507</v>
      </c>
    </row>
    <row r="132" spans="1:17" ht="15.75" thickBot="1">
      <c r="A132" s="70" t="s">
        <v>80</v>
      </c>
      <c r="F132" s="244"/>
      <c r="G132" s="241">
        <f>G130+G131</f>
        <v>-464215.5560000001</v>
      </c>
      <c r="H132" s="24">
        <f t="shared" ref="H132:O132" si="66">H130+H131</f>
        <v>79542.763000000064</v>
      </c>
      <c r="I132" s="24">
        <f t="shared" si="66"/>
        <v>51697.14499999996</v>
      </c>
      <c r="J132" s="24">
        <f>J130+J131</f>
        <v>312902.61699999991</v>
      </c>
      <c r="K132" s="24">
        <f t="shared" si="66"/>
        <v>19832.429520000005</v>
      </c>
      <c r="L132" s="24">
        <f t="shared" si="66"/>
        <v>20427.402405600005</v>
      </c>
      <c r="M132" s="24">
        <f t="shared" si="66"/>
        <v>21040.224477768119</v>
      </c>
      <c r="N132" s="24">
        <f t="shared" si="66"/>
        <v>21671.431212101073</v>
      </c>
      <c r="O132" s="24">
        <f t="shared" si="66"/>
        <v>22321.574148464017</v>
      </c>
    </row>
    <row r="133" spans="1:17">
      <c r="P133" s="1" t="s">
        <v>587</v>
      </c>
    </row>
    <row r="134" spans="1:17">
      <c r="A134" s="70" t="s">
        <v>81</v>
      </c>
      <c r="F134" s="24">
        <f>F128-F132</f>
        <v>55543.567289641011</v>
      </c>
      <c r="G134" s="24">
        <f>G128-G132</f>
        <v>320898.55901065603</v>
      </c>
      <c r="H134" s="24">
        <f t="shared" ref="H134:O134" si="67">H128-H132</f>
        <v>-51355.528473241793</v>
      </c>
      <c r="I134" s="24">
        <f>I128-I132</f>
        <v>-17258.325110822974</v>
      </c>
      <c r="J134" s="24">
        <f>J128-J132</f>
        <v>-200663.69330656985</v>
      </c>
      <c r="K134" s="24">
        <f t="shared" si="67"/>
        <v>3472.2362596176754</v>
      </c>
      <c r="L134" s="24">
        <f t="shared" si="67"/>
        <v>2206.5807914059551</v>
      </c>
      <c r="M134" s="24">
        <f t="shared" si="67"/>
        <v>4081.3184339476502</v>
      </c>
      <c r="N134" s="24">
        <f t="shared" si="67"/>
        <v>5910.5741575270658</v>
      </c>
      <c r="O134" s="24">
        <f t="shared" si="67"/>
        <v>6498.1983709245105</v>
      </c>
      <c r="P134" s="1" t="s">
        <v>588</v>
      </c>
    </row>
    <row r="135" spans="1:17">
      <c r="P135" s="1" t="s">
        <v>589</v>
      </c>
    </row>
    <row r="136" spans="1:17">
      <c r="A136" s="169"/>
      <c r="B136" s="169"/>
      <c r="C136" s="169"/>
      <c r="D136" s="169"/>
      <c r="E136" s="169"/>
      <c r="F136" s="169"/>
      <c r="G136" s="169"/>
      <c r="H136" s="169"/>
      <c r="I136" s="169"/>
      <c r="J136" s="169"/>
      <c r="K136" s="169"/>
      <c r="L136" s="169"/>
      <c r="M136" s="169"/>
      <c r="N136" s="169"/>
      <c r="O136" s="169"/>
      <c r="P136" s="1" t="s">
        <v>590</v>
      </c>
    </row>
    <row r="138" spans="1:17" ht="15.75" thickBot="1">
      <c r="A138" s="170" t="s">
        <v>309</v>
      </c>
    </row>
    <row r="139" spans="1:17" ht="15.75" thickBot="1">
      <c r="F139" s="504">
        <f t="shared" ref="F139:O139" si="68">F116</f>
        <v>2018</v>
      </c>
      <c r="G139" s="505">
        <f t="shared" si="68"/>
        <v>2019</v>
      </c>
      <c r="H139" s="505">
        <f t="shared" si="68"/>
        <v>2020</v>
      </c>
      <c r="I139" s="505">
        <f t="shared" si="68"/>
        <v>2021</v>
      </c>
      <c r="J139" s="505">
        <f t="shared" si="68"/>
        <v>2022</v>
      </c>
      <c r="K139" s="468">
        <f t="shared" si="68"/>
        <v>2023</v>
      </c>
      <c r="L139" s="468">
        <f t="shared" si="68"/>
        <v>2024</v>
      </c>
      <c r="M139" s="468">
        <f t="shared" si="68"/>
        <v>2025</v>
      </c>
      <c r="N139" s="468">
        <f t="shared" si="68"/>
        <v>2026</v>
      </c>
      <c r="O139" s="507">
        <f t="shared" si="68"/>
        <v>2027</v>
      </c>
    </row>
    <row r="140" spans="1:17" ht="15.75" thickBot="1">
      <c r="A140" s="303" t="s">
        <v>281</v>
      </c>
      <c r="B140" s="304"/>
      <c r="C140" s="304"/>
      <c r="D140" s="304"/>
      <c r="E140" s="304"/>
      <c r="F140" s="304"/>
      <c r="G140" s="304"/>
      <c r="H140" s="304"/>
      <c r="I140" s="304"/>
      <c r="J140" s="304"/>
      <c r="K140" s="304"/>
      <c r="L140" s="304"/>
      <c r="M140" s="304"/>
      <c r="N140" s="304"/>
      <c r="O140" s="304"/>
      <c r="Q140" s="1" t="s">
        <v>591</v>
      </c>
    </row>
    <row r="141" spans="1:17">
      <c r="A141" s="1" t="s">
        <v>282</v>
      </c>
      <c r="F141" s="308">
        <f>F69/F67</f>
        <v>8.7472330523523156E-2</v>
      </c>
      <c r="G141" s="309">
        <f t="shared" ref="G141:O141" si="69">G69/G67</f>
        <v>8.0657394702359858E-2</v>
      </c>
      <c r="H141" s="309">
        <f t="shared" si="69"/>
        <v>6.0296902179057275E-2</v>
      </c>
      <c r="I141" s="309">
        <f t="shared" si="69"/>
        <v>5.6045278223758328E-2</v>
      </c>
      <c r="J141" s="309">
        <f t="shared" si="69"/>
        <v>5.7797176434489249E-2</v>
      </c>
      <c r="K141" s="309">
        <f t="shared" si="69"/>
        <v>6.8453816412637619E-2</v>
      </c>
      <c r="L141" s="309">
        <f t="shared" si="69"/>
        <v>6.8453816412637578E-2</v>
      </c>
      <c r="M141" s="309">
        <f t="shared" si="69"/>
        <v>6.8453816412637536E-2</v>
      </c>
      <c r="N141" s="309">
        <f t="shared" si="69"/>
        <v>6.8453816412637647E-2</v>
      </c>
      <c r="O141" s="310">
        <f t="shared" si="69"/>
        <v>6.8453816412637591E-2</v>
      </c>
      <c r="Q141" s="1" t="s">
        <v>592</v>
      </c>
    </row>
    <row r="142" spans="1:17">
      <c r="A142" s="1" t="s">
        <v>283</v>
      </c>
      <c r="F142" s="101">
        <f>F72/F67</f>
        <v>2.2619681608472002E-3</v>
      </c>
      <c r="G142" s="10">
        <f t="shared" ref="G142:O142" si="70">G72/G67</f>
        <v>-1.1644066640767028E-2</v>
      </c>
      <c r="H142" s="10">
        <f t="shared" si="70"/>
        <v>9.7299375685065432E-3</v>
      </c>
      <c r="I142" s="10">
        <f t="shared" si="70"/>
        <v>7.6799777902020853E-3</v>
      </c>
      <c r="J142" s="10">
        <f t="shared" si="70"/>
        <v>1.6711436430320078E-2</v>
      </c>
      <c r="K142" s="10">
        <f t="shared" si="70"/>
        <v>4.9478506618218215E-3</v>
      </c>
      <c r="L142" s="10">
        <f t="shared" si="70"/>
        <v>4.947850661821785E-3</v>
      </c>
      <c r="M142" s="10">
        <f t="shared" si="70"/>
        <v>4.9478506618217347E-3</v>
      </c>
      <c r="N142" s="10">
        <f t="shared" si="70"/>
        <v>4.9478506618218536E-3</v>
      </c>
      <c r="O142" s="102">
        <f t="shared" si="70"/>
        <v>4.9478506618217954E-3</v>
      </c>
    </row>
    <row r="143" spans="1:17">
      <c r="A143" s="1" t="s">
        <v>284</v>
      </c>
      <c r="F143" s="101">
        <f>F80/F67</f>
        <v>4.8041364643328886E-3</v>
      </c>
      <c r="G143" s="10">
        <f t="shared" ref="G143:O143" si="71">G80/G67</f>
        <v>-1.8379420102508759E-2</v>
      </c>
      <c r="H143" s="10">
        <f t="shared" si="71"/>
        <v>2.2230670176905218E-3</v>
      </c>
      <c r="I143" s="10">
        <f t="shared" si="71"/>
        <v>1.7782313367547993E-3</v>
      </c>
      <c r="J143" s="10">
        <f t="shared" si="71"/>
        <v>7.6846511806584819E-3</v>
      </c>
      <c r="K143" s="10">
        <f t="shared" si="71"/>
        <v>-3.7786682061436723E-4</v>
      </c>
      <c r="L143" s="10">
        <f t="shared" si="71"/>
        <v>-3.7786682061440328E-4</v>
      </c>
      <c r="M143" s="10">
        <f t="shared" si="71"/>
        <v>-3.7786682061445386E-4</v>
      </c>
      <c r="N143" s="10">
        <f t="shared" si="71"/>
        <v>-3.7786682061433433E-4</v>
      </c>
      <c r="O143" s="102">
        <f t="shared" si="71"/>
        <v>-3.7786682061439325E-4</v>
      </c>
    </row>
    <row r="144" spans="1:17" ht="15.75" thickBot="1">
      <c r="A144" s="1" t="s">
        <v>285</v>
      </c>
      <c r="F144" s="311">
        <f>F80/F59</f>
        <v>0.10349118855757584</v>
      </c>
      <c r="G144" s="312">
        <f t="shared" ref="G144:O144" si="72">G80/G59</f>
        <v>-0.28231117184281174</v>
      </c>
      <c r="H144" s="312">
        <f t="shared" si="72"/>
        <v>2.7480292778662516E-2</v>
      </c>
      <c r="I144" s="312">
        <f t="shared" si="72"/>
        <v>1.6309947361282742E-2</v>
      </c>
      <c r="J144" s="312">
        <f t="shared" si="72"/>
        <v>9.8363820237651611E-2</v>
      </c>
      <c r="K144" s="312">
        <f t="shared" si="72"/>
        <v>-4.8367093239357261E-3</v>
      </c>
      <c r="L144" s="312">
        <f t="shared" si="72"/>
        <v>-4.8367093239361876E-3</v>
      </c>
      <c r="M144" s="312">
        <f t="shared" si="72"/>
        <v>-4.8367093239368355E-3</v>
      </c>
      <c r="N144" s="312">
        <f t="shared" si="72"/>
        <v>-4.8367093239353046E-3</v>
      </c>
      <c r="O144" s="313">
        <f t="shared" si="72"/>
        <v>-4.8367093239360592E-3</v>
      </c>
      <c r="P144" s="1" t="s">
        <v>593</v>
      </c>
    </row>
    <row r="145" spans="1:16" ht="15.75" thickBot="1">
      <c r="A145" s="303" t="s">
        <v>286</v>
      </c>
      <c r="B145" s="304"/>
      <c r="C145" s="304"/>
      <c r="D145" s="304"/>
      <c r="E145" s="304"/>
      <c r="F145" s="304"/>
      <c r="G145" s="304"/>
      <c r="H145" s="304"/>
      <c r="I145" s="304"/>
      <c r="J145" s="304"/>
      <c r="K145" s="304"/>
      <c r="L145" s="304"/>
      <c r="M145" s="304"/>
      <c r="N145" s="304"/>
      <c r="O145" s="304"/>
    </row>
    <row r="146" spans="1:16">
      <c r="A146" s="1" t="s">
        <v>287</v>
      </c>
      <c r="F146" s="314">
        <f t="shared" ref="F146:O146" si="73">F42-F52</f>
        <v>455501.27899999998</v>
      </c>
      <c r="G146" s="315">
        <f t="shared" si="73"/>
        <v>79665.716000000131</v>
      </c>
      <c r="H146" s="315">
        <f t="shared" si="73"/>
        <v>212060.83899999998</v>
      </c>
      <c r="I146" s="315">
        <f t="shared" si="73"/>
        <v>361704.03400000004</v>
      </c>
      <c r="J146" s="315">
        <f t="shared" si="73"/>
        <v>211614.18200000003</v>
      </c>
      <c r="K146" s="315">
        <f t="shared" si="73"/>
        <v>217962.60746000003</v>
      </c>
      <c r="L146" s="315">
        <f t="shared" si="73"/>
        <v>224501.48568380007</v>
      </c>
      <c r="M146" s="315">
        <f t="shared" si="73"/>
        <v>231236.53025431407</v>
      </c>
      <c r="N146" s="315">
        <f t="shared" si="73"/>
        <v>238173.62616194354</v>
      </c>
      <c r="O146" s="316">
        <f t="shared" si="73"/>
        <v>245318.83494680189</v>
      </c>
      <c r="P146" s="1" t="s">
        <v>594</v>
      </c>
    </row>
    <row r="147" spans="1:16">
      <c r="A147" s="1" t="s">
        <v>288</v>
      </c>
      <c r="F147" s="317">
        <f t="shared" ref="F147:O147" si="74">F42/F52</f>
        <v>2.2105874438143158</v>
      </c>
      <c r="G147" s="300">
        <f t="shared" si="74"/>
        <v>1.1440846178955855</v>
      </c>
      <c r="H147" s="300">
        <f t="shared" si="74"/>
        <v>1.5433888348790641</v>
      </c>
      <c r="I147" s="300">
        <f t="shared" si="74"/>
        <v>2.042314643957444</v>
      </c>
      <c r="J147" s="300">
        <f t="shared" si="74"/>
        <v>1.4281351750021003</v>
      </c>
      <c r="K147" s="300">
        <f t="shared" si="74"/>
        <v>1.4281351750021003</v>
      </c>
      <c r="L147" s="300">
        <f t="shared" si="74"/>
        <v>1.4281351750021003</v>
      </c>
      <c r="M147" s="300">
        <f t="shared" si="74"/>
        <v>1.4281351750021003</v>
      </c>
      <c r="N147" s="300">
        <f t="shared" si="74"/>
        <v>1.4281351750021005</v>
      </c>
      <c r="O147" s="318">
        <f t="shared" si="74"/>
        <v>1.4281351750021005</v>
      </c>
    </row>
    <row r="148" spans="1:16" ht="15.75" thickBot="1">
      <c r="A148" s="1" t="s">
        <v>289</v>
      </c>
      <c r="F148" s="319">
        <f t="shared" ref="F148:O148" si="75">(F42-F41)/F52</f>
        <v>1.4138131546314612</v>
      </c>
      <c r="G148" s="320">
        <f t="shared" si="75"/>
        <v>0.67435460238902589</v>
      </c>
      <c r="H148" s="320">
        <f t="shared" si="75"/>
        <v>1.033979540689272</v>
      </c>
      <c r="I148" s="320">
        <f t="shared" si="75"/>
        <v>1.6095060381043278</v>
      </c>
      <c r="J148" s="320">
        <f t="shared" si="75"/>
        <v>0.91627449705307973</v>
      </c>
      <c r="K148" s="320">
        <f t="shared" si="75"/>
        <v>0.91627449705307962</v>
      </c>
      <c r="L148" s="320">
        <f t="shared" si="75"/>
        <v>0.91627449705307973</v>
      </c>
      <c r="M148" s="320">
        <f t="shared" si="75"/>
        <v>0.91627449705307973</v>
      </c>
      <c r="N148" s="320">
        <f t="shared" si="75"/>
        <v>0.91627449705307973</v>
      </c>
      <c r="O148" s="321">
        <f t="shared" si="75"/>
        <v>0.91627449705307973</v>
      </c>
      <c r="P148" s="1" t="s">
        <v>595</v>
      </c>
    </row>
    <row r="149" spans="1:16" ht="15.75" thickBot="1">
      <c r="A149" s="303" t="s">
        <v>290</v>
      </c>
      <c r="B149" s="304"/>
      <c r="C149" s="304"/>
      <c r="D149" s="304"/>
      <c r="E149" s="304"/>
      <c r="F149" s="304"/>
      <c r="G149" s="304"/>
      <c r="H149" s="304"/>
      <c r="I149" s="304"/>
      <c r="J149" s="304"/>
      <c r="K149" s="304"/>
      <c r="L149" s="304"/>
      <c r="M149" s="304"/>
      <c r="N149" s="304"/>
      <c r="O149" s="304"/>
    </row>
    <row r="150" spans="1:16">
      <c r="A150" s="1" t="s">
        <v>291</v>
      </c>
      <c r="F150" s="308">
        <f t="shared" ref="F150:O150" si="76">F56/F47</f>
        <v>0.78469624153043638</v>
      </c>
      <c r="G150" s="309">
        <f t="shared" si="76"/>
        <v>0.72921973230748138</v>
      </c>
      <c r="H150" s="309">
        <f t="shared" si="76"/>
        <v>0.56008176909865248</v>
      </c>
      <c r="I150" s="309">
        <f t="shared" si="76"/>
        <v>0.6254629697019175</v>
      </c>
      <c r="J150" s="309">
        <f t="shared" si="76"/>
        <v>0.71788220717700002</v>
      </c>
      <c r="K150" s="309">
        <f t="shared" si="76"/>
        <v>0.71788220717700002</v>
      </c>
      <c r="L150" s="309">
        <f t="shared" si="76"/>
        <v>0.71788220717700013</v>
      </c>
      <c r="M150" s="309">
        <f t="shared" si="76"/>
        <v>0.71788220717700013</v>
      </c>
      <c r="N150" s="309">
        <f t="shared" si="76"/>
        <v>0.71788220717700002</v>
      </c>
      <c r="O150" s="310">
        <f t="shared" si="76"/>
        <v>0.71788220717700002</v>
      </c>
    </row>
    <row r="151" spans="1:16">
      <c r="A151" s="1" t="s">
        <v>292</v>
      </c>
      <c r="F151" s="101">
        <f t="shared" ref="F151:O151" si="77">F52/F56</f>
        <v>0.40904043756830627</v>
      </c>
      <c r="G151" s="10">
        <f t="shared" si="77"/>
        <v>0.54746606830255351</v>
      </c>
      <c r="H151" s="10">
        <f t="shared" si="77"/>
        <v>0.6343605253789637</v>
      </c>
      <c r="I151" s="10">
        <f t="shared" si="77"/>
        <v>0.40854176642889434</v>
      </c>
      <c r="J151" s="10">
        <f t="shared" si="77"/>
        <v>0.40838698886786323</v>
      </c>
      <c r="K151" s="10">
        <f t="shared" si="77"/>
        <v>0.40838698886786323</v>
      </c>
      <c r="L151" s="10">
        <f t="shared" si="77"/>
        <v>0.40838698886786312</v>
      </c>
      <c r="M151" s="10">
        <f t="shared" si="77"/>
        <v>0.40838698886786312</v>
      </c>
      <c r="N151" s="10">
        <f t="shared" si="77"/>
        <v>0.40838698886786307</v>
      </c>
      <c r="O151" s="102">
        <f t="shared" si="77"/>
        <v>0.40838698886786307</v>
      </c>
      <c r="P151" s="1" t="s">
        <v>596</v>
      </c>
    </row>
    <row r="152" spans="1:16" ht="15.75" thickBot="1">
      <c r="A152" s="1" t="s">
        <v>293</v>
      </c>
      <c r="F152" s="311">
        <f t="shared" ref="F152:O152" si="78">F54/F56</f>
        <v>0</v>
      </c>
      <c r="G152" s="312">
        <f t="shared" si="78"/>
        <v>0</v>
      </c>
      <c r="H152" s="312">
        <f t="shared" si="78"/>
        <v>0.32509955954568881</v>
      </c>
      <c r="I152" s="312">
        <f t="shared" si="78"/>
        <v>0.2354571836581055</v>
      </c>
      <c r="J152" s="312">
        <f t="shared" si="78"/>
        <v>0.13770724441743151</v>
      </c>
      <c r="K152" s="312">
        <f t="shared" si="78"/>
        <v>0.13770724441743151</v>
      </c>
      <c r="L152" s="312">
        <f t="shared" si="78"/>
        <v>0.13770724441743148</v>
      </c>
      <c r="M152" s="312">
        <f t="shared" si="78"/>
        <v>0.13770724441743148</v>
      </c>
      <c r="N152" s="312">
        <f t="shared" si="78"/>
        <v>0.13770724441743151</v>
      </c>
      <c r="O152" s="313">
        <f t="shared" si="78"/>
        <v>0.13770724441743151</v>
      </c>
    </row>
    <row r="153" spans="1:16" ht="15.75" thickBot="1">
      <c r="A153" s="303" t="s">
        <v>294</v>
      </c>
      <c r="B153" s="304"/>
      <c r="C153" s="304"/>
      <c r="D153" s="304"/>
      <c r="E153" s="304"/>
      <c r="F153" s="304"/>
      <c r="G153" s="304"/>
      <c r="H153" s="304"/>
      <c r="I153" s="304"/>
      <c r="J153" s="304"/>
      <c r="K153" s="304"/>
      <c r="L153" s="304"/>
      <c r="M153" s="304"/>
      <c r="N153" s="304"/>
      <c r="O153" s="304"/>
    </row>
    <row r="154" spans="1:16">
      <c r="A154" s="1" t="s">
        <v>295</v>
      </c>
      <c r="C154" s="301" t="s">
        <v>302</v>
      </c>
      <c r="F154" s="322">
        <f t="shared" ref="F154:O154" si="79">F67/F59</f>
        <v>21.542100089354317</v>
      </c>
      <c r="G154" s="323">
        <f t="shared" si="79"/>
        <v>15.360178409778921</v>
      </c>
      <c r="H154" s="323">
        <f t="shared" si="79"/>
        <v>12.36143245344487</v>
      </c>
      <c r="I154" s="323">
        <f t="shared" si="79"/>
        <v>9.1720053652005369</v>
      </c>
      <c r="J154" s="323">
        <f t="shared" si="79"/>
        <v>12.800037103209544</v>
      </c>
      <c r="K154" s="323">
        <f t="shared" si="79"/>
        <v>12.800037103209545</v>
      </c>
      <c r="L154" s="323">
        <f t="shared" si="79"/>
        <v>12.800037103209545</v>
      </c>
      <c r="M154" s="323">
        <f t="shared" si="79"/>
        <v>12.800037103209545</v>
      </c>
      <c r="N154" s="323">
        <f t="shared" si="79"/>
        <v>12.800037103209545</v>
      </c>
      <c r="O154" s="120">
        <f t="shared" si="79"/>
        <v>12.800037103209545</v>
      </c>
      <c r="P154" s="1" t="s">
        <v>597</v>
      </c>
    </row>
    <row r="155" spans="1:16">
      <c r="A155" s="1" t="s">
        <v>296</v>
      </c>
      <c r="C155" s="301" t="s">
        <v>303</v>
      </c>
      <c r="F155" s="180">
        <f t="shared" ref="F155:O155" si="80">F67/F47</f>
        <v>4.6380951145655036</v>
      </c>
      <c r="G155" s="68">
        <f t="shared" si="80"/>
        <v>4.1592332216047785</v>
      </c>
      <c r="H155" s="68">
        <f t="shared" si="80"/>
        <v>5.4380194963259711</v>
      </c>
      <c r="I155" s="68">
        <f t="shared" si="80"/>
        <v>3.4352556513602868</v>
      </c>
      <c r="J155" s="68">
        <f t="shared" si="80"/>
        <v>3.6111182156099821</v>
      </c>
      <c r="K155" s="68">
        <f t="shared" si="80"/>
        <v>3.6111182156099826</v>
      </c>
      <c r="L155" s="68">
        <f t="shared" si="80"/>
        <v>3.6111182156099826</v>
      </c>
      <c r="M155" s="68">
        <f t="shared" si="80"/>
        <v>3.6111182156099826</v>
      </c>
      <c r="N155" s="68">
        <f t="shared" si="80"/>
        <v>3.6111182156099821</v>
      </c>
      <c r="O155" s="122">
        <f t="shared" si="80"/>
        <v>3.6111182156099821</v>
      </c>
    </row>
    <row r="156" spans="1:16">
      <c r="A156" s="1" t="s">
        <v>297</v>
      </c>
      <c r="C156" s="301" t="s">
        <v>304</v>
      </c>
      <c r="F156" s="180">
        <f>F67/F40</f>
        <v>12.541594429788679</v>
      </c>
      <c r="G156" s="68">
        <f t="shared" ref="G156:O156" si="81">G67/G40</f>
        <v>28.968711285539378</v>
      </c>
      <c r="H156" s="68">
        <f t="shared" si="81"/>
        <v>28.689487968571715</v>
      </c>
      <c r="I156" s="68">
        <f t="shared" si="81"/>
        <v>18.826254621430149</v>
      </c>
      <c r="J156" s="68">
        <f t="shared" si="81"/>
        <v>29.04391332029234</v>
      </c>
      <c r="K156" s="68">
        <f>K67/K40</f>
        <v>29.04391332029234</v>
      </c>
      <c r="L156" s="68">
        <f>L67/L40</f>
        <v>29.043913320292344</v>
      </c>
      <c r="M156" s="68">
        <f t="shared" si="81"/>
        <v>29.043913320292344</v>
      </c>
      <c r="N156" s="68">
        <f t="shared" si="81"/>
        <v>29.043913320292344</v>
      </c>
      <c r="O156" s="122">
        <f t="shared" si="81"/>
        <v>29.043913320292344</v>
      </c>
    </row>
    <row r="157" spans="1:16">
      <c r="A157" s="1" t="s">
        <v>299</v>
      </c>
      <c r="C157" s="301" t="s">
        <v>306</v>
      </c>
      <c r="F157" s="325">
        <f t="shared" ref="F157:O157" si="82">(F41/F68)*365</f>
        <v>22.055164446331606</v>
      </c>
      <c r="G157" s="307">
        <f t="shared" si="82"/>
        <v>17.900540110787841</v>
      </c>
      <c r="H157" s="307">
        <f t="shared" si="82"/>
        <v>12.927540189475003</v>
      </c>
      <c r="I157" s="307">
        <f t="shared" si="82"/>
        <v>12.448487598334772</v>
      </c>
      <c r="J157" s="307">
        <f>(J41/J68)*365</f>
        <v>16.098433249018406</v>
      </c>
      <c r="K157" s="307">
        <f t="shared" si="82"/>
        <v>16.282595033339593</v>
      </c>
      <c r="L157" s="307">
        <f t="shared" si="82"/>
        <v>16.282595033339593</v>
      </c>
      <c r="M157" s="307">
        <f t="shared" si="82"/>
        <v>16.282595033339589</v>
      </c>
      <c r="N157" s="307">
        <f t="shared" si="82"/>
        <v>16.282595033339597</v>
      </c>
      <c r="O157" s="326">
        <f t="shared" si="82"/>
        <v>16.282595033339597</v>
      </c>
    </row>
    <row r="158" spans="1:16">
      <c r="A158" s="1" t="s">
        <v>298</v>
      </c>
      <c r="C158" s="301" t="s">
        <v>305</v>
      </c>
      <c r="F158" s="325">
        <f t="shared" ref="F158:O158" si="83">(F40/F67)*365</f>
        <v>29.103157660166026</v>
      </c>
      <c r="G158" s="307">
        <f t="shared" si="83"/>
        <v>12.599801088914885</v>
      </c>
      <c r="H158" s="307">
        <f t="shared" si="83"/>
        <v>12.722429915788117</v>
      </c>
      <c r="I158" s="307">
        <f t="shared" si="83"/>
        <v>19.387818094445414</v>
      </c>
      <c r="J158" s="307">
        <f t="shared" si="83"/>
        <v>12.567177018290527</v>
      </c>
      <c r="K158" s="307">
        <f t="shared" si="83"/>
        <v>12.567177018290527</v>
      </c>
      <c r="L158" s="307">
        <f t="shared" si="83"/>
        <v>12.567177018290526</v>
      </c>
      <c r="M158" s="307">
        <f t="shared" si="83"/>
        <v>12.567177018290526</v>
      </c>
      <c r="N158" s="307">
        <f t="shared" si="83"/>
        <v>12.567177018290526</v>
      </c>
      <c r="O158" s="326">
        <f t="shared" si="83"/>
        <v>12.567177018290526</v>
      </c>
    </row>
    <row r="159" spans="1:16">
      <c r="A159" s="302" t="s">
        <v>301</v>
      </c>
      <c r="C159" s="301" t="s">
        <v>308</v>
      </c>
      <c r="F159" s="325">
        <f>(F51/F68)*365</f>
        <v>23.489494357523011</v>
      </c>
      <c r="G159" s="307">
        <f t="shared" ref="G159:O159" si="84">(G51/G68)*365</f>
        <v>33.700433561920107</v>
      </c>
      <c r="H159" s="307">
        <f t="shared" si="84"/>
        <v>20.488944368963448</v>
      </c>
      <c r="I159" s="307">
        <f t="shared" si="84"/>
        <v>27.321789640185809</v>
      </c>
      <c r="J159" s="307">
        <f t="shared" si="84"/>
        <v>27.275385862355041</v>
      </c>
      <c r="K159" s="307">
        <f t="shared" si="84"/>
        <v>27.58740900465471</v>
      </c>
      <c r="L159" s="307">
        <f t="shared" si="84"/>
        <v>27.58740900465471</v>
      </c>
      <c r="M159" s="307">
        <f t="shared" si="84"/>
        <v>27.587409004654706</v>
      </c>
      <c r="N159" s="307">
        <f t="shared" si="84"/>
        <v>27.58740900465471</v>
      </c>
      <c r="O159" s="326">
        <f t="shared" si="84"/>
        <v>27.58740900465471</v>
      </c>
    </row>
    <row r="160" spans="1:16" ht="15.75" thickBot="1">
      <c r="A160" s="1" t="s">
        <v>300</v>
      </c>
      <c r="C160" s="301" t="s">
        <v>307</v>
      </c>
      <c r="F160" s="181">
        <f>F158+F157</f>
        <v>51.158322106497636</v>
      </c>
      <c r="G160" s="182">
        <f t="shared" ref="G160:O160" si="85">G158+G157</f>
        <v>30.500341199702724</v>
      </c>
      <c r="H160" s="182">
        <f t="shared" si="85"/>
        <v>25.649970105263122</v>
      </c>
      <c r="I160" s="182">
        <f t="shared" si="85"/>
        <v>31.836305692780186</v>
      </c>
      <c r="J160" s="182">
        <f t="shared" si="85"/>
        <v>28.665610267308935</v>
      </c>
      <c r="K160" s="182">
        <f t="shared" si="85"/>
        <v>28.849772051630119</v>
      </c>
      <c r="L160" s="182">
        <f t="shared" si="85"/>
        <v>28.849772051630119</v>
      </c>
      <c r="M160" s="182">
        <f t="shared" si="85"/>
        <v>28.849772051630115</v>
      </c>
      <c r="N160" s="182">
        <f t="shared" si="85"/>
        <v>28.849772051630122</v>
      </c>
      <c r="O160" s="183">
        <f t="shared" si="85"/>
        <v>28.849772051630122</v>
      </c>
    </row>
    <row r="161" spans="1:16">
      <c r="A161" s="169"/>
      <c r="B161" s="169"/>
      <c r="C161" s="169"/>
      <c r="D161" s="169"/>
      <c r="E161" s="169"/>
      <c r="F161" s="169"/>
      <c r="G161" s="169"/>
      <c r="H161" s="169"/>
      <c r="I161" s="169"/>
      <c r="J161" s="169"/>
      <c r="K161" s="169"/>
      <c r="L161" s="169"/>
      <c r="M161" s="169"/>
      <c r="N161" s="169"/>
      <c r="O161" s="169"/>
    </row>
    <row r="163" spans="1:16" ht="15" customHeight="1" thickBot="1">
      <c r="A163" s="303" t="s">
        <v>311</v>
      </c>
      <c r="B163" s="306"/>
      <c r="C163" s="306"/>
      <c r="D163" s="306"/>
      <c r="E163" s="306"/>
      <c r="F163" s="306"/>
      <c r="G163" s="304"/>
      <c r="H163" s="304"/>
      <c r="I163" s="304"/>
      <c r="J163" s="304"/>
      <c r="K163" s="304"/>
      <c r="L163" s="304"/>
      <c r="M163" s="304"/>
      <c r="N163" s="304"/>
      <c r="O163" s="304"/>
    </row>
    <row r="164" spans="1:16" ht="15" customHeight="1" thickBot="1">
      <c r="A164" s="305"/>
      <c r="F164" s="504">
        <f t="shared" ref="F164:O164" si="86">F139</f>
        <v>2018</v>
      </c>
      <c r="G164" s="505">
        <f t="shared" si="86"/>
        <v>2019</v>
      </c>
      <c r="H164" s="505">
        <f t="shared" si="86"/>
        <v>2020</v>
      </c>
      <c r="I164" s="505">
        <f t="shared" si="86"/>
        <v>2021</v>
      </c>
      <c r="J164" s="505">
        <f t="shared" si="86"/>
        <v>2022</v>
      </c>
      <c r="K164" s="468">
        <f t="shared" si="86"/>
        <v>2023</v>
      </c>
      <c r="L164" s="468">
        <f t="shared" si="86"/>
        <v>2024</v>
      </c>
      <c r="M164" s="468">
        <f t="shared" si="86"/>
        <v>2025</v>
      </c>
      <c r="N164" s="468">
        <f t="shared" si="86"/>
        <v>2026</v>
      </c>
      <c r="O164" s="507">
        <f t="shared" si="86"/>
        <v>2027</v>
      </c>
    </row>
    <row r="165" spans="1:16">
      <c r="A165" s="1" t="s">
        <v>313</v>
      </c>
      <c r="F165" s="101">
        <f>F80/F67</f>
        <v>4.8041364643328886E-3</v>
      </c>
      <c r="G165" s="10">
        <f t="shared" ref="G165:O165" si="87">G80/G67</f>
        <v>-1.8379420102508759E-2</v>
      </c>
      <c r="H165" s="10">
        <f t="shared" si="87"/>
        <v>2.2230670176905218E-3</v>
      </c>
      <c r="I165" s="10">
        <f t="shared" si="87"/>
        <v>1.7782313367547993E-3</v>
      </c>
      <c r="J165" s="10">
        <f t="shared" si="87"/>
        <v>7.6846511806584819E-3</v>
      </c>
      <c r="K165" s="10">
        <f t="shared" si="87"/>
        <v>-3.7786682061436723E-4</v>
      </c>
      <c r="L165" s="10">
        <f t="shared" si="87"/>
        <v>-3.7786682061440328E-4</v>
      </c>
      <c r="M165" s="10">
        <f t="shared" si="87"/>
        <v>-3.7786682061445386E-4</v>
      </c>
      <c r="N165" s="10">
        <f t="shared" si="87"/>
        <v>-3.7786682061433433E-4</v>
      </c>
      <c r="O165" s="102">
        <f t="shared" si="87"/>
        <v>-3.7786682061439325E-4</v>
      </c>
    </row>
    <row r="166" spans="1:16">
      <c r="A166" s="1" t="s">
        <v>314</v>
      </c>
      <c r="F166" s="325">
        <f>F155</f>
        <v>4.6380951145655036</v>
      </c>
      <c r="G166" s="307">
        <f t="shared" ref="G166:O166" si="88">G155</f>
        <v>4.1592332216047785</v>
      </c>
      <c r="H166" s="307">
        <f t="shared" si="88"/>
        <v>5.4380194963259711</v>
      </c>
      <c r="I166" s="307">
        <f t="shared" si="88"/>
        <v>3.4352556513602868</v>
      </c>
      <c r="J166" s="307">
        <f t="shared" si="88"/>
        <v>3.6111182156099821</v>
      </c>
      <c r="K166" s="307">
        <f t="shared" si="88"/>
        <v>3.6111182156099826</v>
      </c>
      <c r="L166" s="307">
        <f t="shared" si="88"/>
        <v>3.6111182156099826</v>
      </c>
      <c r="M166" s="307">
        <f t="shared" si="88"/>
        <v>3.6111182156099826</v>
      </c>
      <c r="N166" s="307">
        <f t="shared" si="88"/>
        <v>3.6111182156099821</v>
      </c>
      <c r="O166" s="326">
        <f t="shared" si="88"/>
        <v>3.6111182156099821</v>
      </c>
    </row>
    <row r="167" spans="1:16">
      <c r="A167" s="1" t="s">
        <v>315</v>
      </c>
      <c r="F167" s="101">
        <f>F47/F59</f>
        <v>4.6446007589847325</v>
      </c>
      <c r="G167" s="10">
        <f t="shared" ref="G167:O167" si="89">G47/G59</f>
        <v>3.693031285187808</v>
      </c>
      <c r="H167" s="10">
        <f t="shared" si="89"/>
        <v>2.2731497122797166</v>
      </c>
      <c r="I167" s="10">
        <f t="shared" si="89"/>
        <v>2.6699629652217065</v>
      </c>
      <c r="J167" s="10">
        <f t="shared" si="89"/>
        <v>3.5446186856686417</v>
      </c>
      <c r="K167" s="10">
        <f t="shared" si="89"/>
        <v>3.5446186856686412</v>
      </c>
      <c r="L167" s="10">
        <f t="shared" si="89"/>
        <v>3.5446186856686412</v>
      </c>
      <c r="M167" s="10">
        <f t="shared" si="89"/>
        <v>3.5446186856686412</v>
      </c>
      <c r="N167" s="10">
        <f t="shared" si="89"/>
        <v>3.5446186856686417</v>
      </c>
      <c r="O167" s="102">
        <f t="shared" si="89"/>
        <v>3.5446186856686417</v>
      </c>
    </row>
    <row r="168" spans="1:16" ht="15.75" thickBot="1">
      <c r="A168" s="70" t="s">
        <v>312</v>
      </c>
      <c r="F168" s="327">
        <f t="shared" ref="F168:O168" si="90">F165*F166*F167</f>
        <v>0.10349118855757586</v>
      </c>
      <c r="G168" s="328">
        <f t="shared" si="90"/>
        <v>-0.28231117184281174</v>
      </c>
      <c r="H168" s="328">
        <f t="shared" si="90"/>
        <v>2.7480292778662516E-2</v>
      </c>
      <c r="I168" s="328">
        <f t="shared" si="90"/>
        <v>1.6309947361282738E-2</v>
      </c>
      <c r="J168" s="328">
        <f t="shared" si="90"/>
        <v>9.8363820237651611E-2</v>
      </c>
      <c r="K168" s="329">
        <f t="shared" si="90"/>
        <v>-4.8367093239357261E-3</v>
      </c>
      <c r="L168" s="329">
        <f t="shared" si="90"/>
        <v>-4.8367093239361876E-3</v>
      </c>
      <c r="M168" s="329">
        <f t="shared" si="90"/>
        <v>-4.8367093239368346E-3</v>
      </c>
      <c r="N168" s="329">
        <f t="shared" si="90"/>
        <v>-4.8367093239353046E-3</v>
      </c>
      <c r="O168" s="330">
        <f t="shared" si="90"/>
        <v>-4.8367093239360592E-3</v>
      </c>
      <c r="P168" s="1" t="s">
        <v>598</v>
      </c>
    </row>
    <row r="169" spans="1:16">
      <c r="A169" s="169"/>
      <c r="B169" s="169"/>
      <c r="C169" s="169"/>
      <c r="D169" s="169"/>
      <c r="E169" s="169"/>
      <c r="F169" s="169"/>
      <c r="G169" s="169"/>
      <c r="H169" s="169"/>
      <c r="I169" s="169"/>
      <c r="J169" s="169"/>
      <c r="K169" s="169"/>
      <c r="L169" s="169"/>
      <c r="M169" s="169"/>
      <c r="N169" s="169"/>
      <c r="O169" s="169"/>
    </row>
    <row r="171" spans="1:16">
      <c r="F171" s="20"/>
      <c r="G171" s="20"/>
      <c r="H171" s="20"/>
      <c r="I171" s="20"/>
      <c r="J171" s="20"/>
      <c r="K171" s="20"/>
      <c r="L171" s="20"/>
      <c r="M171" s="20"/>
      <c r="N171" s="20"/>
      <c r="O171" s="20"/>
    </row>
    <row r="172" spans="1:16">
      <c r="F172" s="20"/>
      <c r="G172" s="20"/>
      <c r="H172" s="20"/>
      <c r="I172" s="20"/>
      <c r="J172" s="20"/>
      <c r="K172" s="20"/>
      <c r="L172" s="20"/>
      <c r="M172" s="20"/>
      <c r="N172" s="20"/>
      <c r="O172" s="20"/>
    </row>
  </sheetData>
  <mergeCells count="72">
    <mergeCell ref="A78:E78"/>
    <mergeCell ref="A79:E79"/>
    <mergeCell ref="A71:E71"/>
    <mergeCell ref="A72:E72"/>
    <mergeCell ref="A66:E66"/>
    <mergeCell ref="A67:E67"/>
    <mergeCell ref="A73:E73"/>
    <mergeCell ref="A74:E74"/>
    <mergeCell ref="A75:E75"/>
    <mergeCell ref="A68:E68"/>
    <mergeCell ref="A69:E69"/>
    <mergeCell ref="A70:E70"/>
    <mergeCell ref="R14:AB14"/>
    <mergeCell ref="Y23:AC23"/>
    <mergeCell ref="S23:W23"/>
    <mergeCell ref="A49:E49"/>
    <mergeCell ref="A50:E50"/>
    <mergeCell ref="A44:E44"/>
    <mergeCell ref="A27:E27"/>
    <mergeCell ref="A14:P14"/>
    <mergeCell ref="A15:E15"/>
    <mergeCell ref="A24:E24"/>
    <mergeCell ref="K23:O23"/>
    <mergeCell ref="F23:J23"/>
    <mergeCell ref="R31:S31"/>
    <mergeCell ref="A17:P18"/>
    <mergeCell ref="A19:P19"/>
    <mergeCell ref="A20:P20"/>
    <mergeCell ref="A1:P5"/>
    <mergeCell ref="A9:P10"/>
    <mergeCell ref="A11:P11"/>
    <mergeCell ref="A12:P12"/>
    <mergeCell ref="A13:P13"/>
    <mergeCell ref="A51:E51"/>
    <mergeCell ref="A21:P21"/>
    <mergeCell ref="A22:P22"/>
    <mergeCell ref="A25:E25"/>
    <mergeCell ref="A26:E26"/>
    <mergeCell ref="A32:P32"/>
    <mergeCell ref="A42:E42"/>
    <mergeCell ref="A90:P91"/>
    <mergeCell ref="A28:E28"/>
    <mergeCell ref="A41:E41"/>
    <mergeCell ref="A45:E45"/>
    <mergeCell ref="A76:E76"/>
    <mergeCell ref="A77:E77"/>
    <mergeCell ref="G28:J28"/>
    <mergeCell ref="K28:O28"/>
    <mergeCell ref="A30:E30"/>
    <mergeCell ref="A59:E59"/>
    <mergeCell ref="A47:E47"/>
    <mergeCell ref="A53:E53"/>
    <mergeCell ref="A54:E54"/>
    <mergeCell ref="A80:E80"/>
    <mergeCell ref="A61:E61"/>
    <mergeCell ref="A65:E65"/>
    <mergeCell ref="A92:P92"/>
    <mergeCell ref="A93:P93"/>
    <mergeCell ref="Q62:R62"/>
    <mergeCell ref="A33:P34"/>
    <mergeCell ref="A35:P35"/>
    <mergeCell ref="A36:P36"/>
    <mergeCell ref="A37:P37"/>
    <mergeCell ref="A43:E43"/>
    <mergeCell ref="R51:AA51"/>
    <mergeCell ref="A38:E38"/>
    <mergeCell ref="A39:E39"/>
    <mergeCell ref="A40:E40"/>
    <mergeCell ref="K66:O66"/>
    <mergeCell ref="A56:E56"/>
    <mergeCell ref="A58:E58"/>
    <mergeCell ref="A52:E52"/>
  </mergeCells>
  <hyperlinks>
    <hyperlink ref="Q25" r:id="rId1" xr:uid="{6E80E719-B830-4993-B19B-00D20D743D1D}"/>
  </hyperlinks>
  <pageMargins left="0.7" right="0.7" top="0.75" bottom="0.75" header="0.3" footer="0.3"/>
  <pageSetup orientation="portrait"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9" tint="-0.499984740745262"/>
  </sheetPr>
  <dimension ref="A1:T187"/>
  <sheetViews>
    <sheetView tabSelected="1" topLeftCell="A156" zoomScale="80" zoomScaleNormal="80" workbookViewId="0">
      <selection activeCell="L173" sqref="L173"/>
    </sheetView>
  </sheetViews>
  <sheetFormatPr baseColWidth="10" defaultColWidth="11.42578125" defaultRowHeight="15"/>
  <cols>
    <col min="1" max="1" width="11.42578125" style="1"/>
    <col min="2" max="2" width="8.140625" style="1" customWidth="1"/>
    <col min="3" max="3" width="9.140625" style="1" customWidth="1"/>
    <col min="4" max="4" width="12.140625" style="1" customWidth="1"/>
    <col min="5" max="5" width="9.85546875" style="1" customWidth="1"/>
    <col min="6" max="6" width="17.28515625" style="1" customWidth="1"/>
    <col min="7" max="7" width="16.85546875" style="1" customWidth="1"/>
    <col min="8" max="8" width="22" style="1" customWidth="1"/>
    <col min="9" max="9" width="21" style="1" customWidth="1"/>
    <col min="10" max="10" width="18.42578125" style="1" customWidth="1"/>
    <col min="11" max="11" width="18.85546875" style="1" customWidth="1"/>
    <col min="12" max="12" width="46.7109375" style="1" bestFit="1" customWidth="1"/>
    <col min="13" max="13" width="12.5703125" style="1" bestFit="1" customWidth="1"/>
    <col min="14" max="14" width="18.140625" style="1" customWidth="1"/>
    <col min="15" max="15" width="11.42578125" style="1"/>
    <col min="16" max="16" width="14" style="1" bestFit="1" customWidth="1"/>
    <col min="17" max="16384" width="11.42578125" style="1"/>
  </cols>
  <sheetData>
    <row r="1" spans="1:17">
      <c r="A1" s="628" t="s">
        <v>36</v>
      </c>
      <c r="B1" s="629"/>
      <c r="C1" s="629"/>
      <c r="D1" s="629"/>
      <c r="E1" s="629"/>
      <c r="F1" s="629"/>
      <c r="G1" s="629"/>
      <c r="H1" s="629"/>
      <c r="I1" s="629"/>
      <c r="J1" s="629"/>
      <c r="K1" s="629"/>
      <c r="L1" s="629"/>
      <c r="M1" s="629"/>
      <c r="N1" s="629"/>
      <c r="O1" s="629"/>
      <c r="P1" s="629"/>
      <c r="Q1" s="630"/>
    </row>
    <row r="2" spans="1:17" ht="15.75" thickBot="1">
      <c r="A2" s="631"/>
      <c r="B2" s="632"/>
      <c r="C2" s="632"/>
      <c r="D2" s="632"/>
      <c r="E2" s="632"/>
      <c r="F2" s="632"/>
      <c r="G2" s="632"/>
      <c r="H2" s="632"/>
      <c r="I2" s="632"/>
      <c r="J2" s="632"/>
      <c r="K2" s="632"/>
      <c r="L2" s="632"/>
      <c r="M2" s="632"/>
      <c r="N2" s="632"/>
      <c r="O2" s="632"/>
      <c r="P2" s="632"/>
      <c r="Q2" s="633"/>
    </row>
    <row r="3" spans="1:17" ht="23.25">
      <c r="A3" s="589" t="s">
        <v>345</v>
      </c>
      <c r="B3" s="590"/>
      <c r="C3" s="590"/>
      <c r="D3" s="590"/>
      <c r="E3" s="590"/>
      <c r="F3" s="590"/>
      <c r="G3" s="590"/>
      <c r="H3" s="590"/>
      <c r="I3" s="590"/>
      <c r="J3" s="590"/>
      <c r="K3" s="590"/>
      <c r="L3" s="590"/>
      <c r="M3" s="590"/>
      <c r="N3" s="590"/>
      <c r="O3" s="590"/>
      <c r="P3" s="590"/>
      <c r="Q3" s="676"/>
    </row>
    <row r="4" spans="1:17">
      <c r="A4" s="591" t="s">
        <v>35</v>
      </c>
      <c r="B4" s="592"/>
      <c r="C4" s="592"/>
      <c r="D4" s="592"/>
      <c r="E4" s="592"/>
      <c r="F4" s="592"/>
      <c r="G4" s="592"/>
      <c r="H4" s="592"/>
      <c r="I4" s="592"/>
      <c r="J4" s="592"/>
      <c r="K4" s="592"/>
      <c r="L4" s="592"/>
      <c r="M4" s="592"/>
      <c r="N4" s="592"/>
      <c r="O4" s="592"/>
      <c r="P4" s="592"/>
      <c r="Q4" s="637"/>
    </row>
    <row r="5" spans="1:17">
      <c r="A5" s="591" t="s">
        <v>557</v>
      </c>
      <c r="B5" s="592"/>
      <c r="C5" s="592"/>
      <c r="D5" s="592"/>
      <c r="E5" s="592"/>
      <c r="F5" s="592"/>
      <c r="G5" s="592"/>
      <c r="H5" s="592"/>
      <c r="I5" s="592"/>
      <c r="J5" s="592"/>
      <c r="K5" s="592"/>
      <c r="L5" s="592"/>
      <c r="M5" s="592"/>
      <c r="N5" s="592"/>
      <c r="O5" s="592"/>
      <c r="P5" s="592"/>
      <c r="Q5" s="637"/>
    </row>
    <row r="6" spans="1:17" ht="15.75" thickBot="1">
      <c r="A6" s="593" t="s">
        <v>2</v>
      </c>
      <c r="B6" s="594"/>
      <c r="C6" s="594"/>
      <c r="D6" s="594"/>
      <c r="E6" s="594"/>
      <c r="F6" s="594"/>
      <c r="G6" s="594"/>
      <c r="H6" s="594"/>
      <c r="I6" s="594"/>
      <c r="J6" s="594"/>
      <c r="K6" s="594"/>
      <c r="L6" s="594"/>
      <c r="M6" s="594"/>
      <c r="N6" s="594"/>
      <c r="O6" s="594"/>
      <c r="P6" s="594"/>
      <c r="Q6" s="681"/>
    </row>
    <row r="7" spans="1:17" ht="20.25" thickBot="1">
      <c r="A7" s="777" t="s">
        <v>46</v>
      </c>
      <c r="B7" s="778"/>
      <c r="C7" s="778"/>
      <c r="D7" s="778"/>
      <c r="E7" s="778"/>
      <c r="F7" s="779"/>
    </row>
    <row r="8" spans="1:17" ht="20.25" thickBot="1">
      <c r="A8" s="780" t="s">
        <v>37</v>
      </c>
      <c r="B8" s="781"/>
      <c r="C8" s="781"/>
      <c r="D8" s="781"/>
      <c r="E8" s="781"/>
      <c r="F8" s="782"/>
      <c r="I8" s="761" t="s">
        <v>83</v>
      </c>
      <c r="J8" s="762"/>
      <c r="K8" s="762"/>
      <c r="L8" s="762"/>
      <c r="M8" s="762"/>
      <c r="N8" s="763"/>
    </row>
    <row r="9" spans="1:17" ht="30.75" thickBot="1">
      <c r="A9" s="775" t="s">
        <v>84</v>
      </c>
      <c r="B9" s="775"/>
      <c r="C9" s="775"/>
      <c r="D9" s="775"/>
      <c r="E9" s="775"/>
      <c r="F9" s="516">
        <f>Proyecciones!J24</f>
        <v>2022</v>
      </c>
      <c r="I9" s="112" t="s">
        <v>47</v>
      </c>
      <c r="J9" s="226" t="s">
        <v>51</v>
      </c>
      <c r="K9" s="226" t="s">
        <v>38</v>
      </c>
      <c r="L9" s="226" t="s">
        <v>39</v>
      </c>
      <c r="M9" s="113" t="s">
        <v>40</v>
      </c>
      <c r="N9" s="114" t="s">
        <v>41</v>
      </c>
      <c r="O9" s="30"/>
    </row>
    <row r="10" spans="1:17" ht="18">
      <c r="A10" s="715" t="s">
        <v>48</v>
      </c>
      <c r="B10" s="715"/>
      <c r="C10" s="715"/>
      <c r="D10" s="715"/>
      <c r="E10" s="715"/>
      <c r="F10" s="32">
        <f>AVERAGE(K10:K19)</f>
        <v>2.5918688403144374E-2</v>
      </c>
      <c r="G10" s="768" t="s">
        <v>56</v>
      </c>
      <c r="H10" s="35"/>
      <c r="I10" s="109">
        <v>2012</v>
      </c>
      <c r="J10" s="27">
        <v>0.15890585241730293</v>
      </c>
      <c r="K10" s="27">
        <v>2.971571978018946E-2</v>
      </c>
      <c r="L10" s="27">
        <v>1.7410200000000001E-2</v>
      </c>
      <c r="M10" s="27">
        <v>2.4400000000000002E-2</v>
      </c>
      <c r="N10" s="27">
        <v>1.12E-2</v>
      </c>
      <c r="O10" s="31"/>
      <c r="P10" s="14"/>
    </row>
    <row r="11" spans="1:17">
      <c r="A11" s="776" t="s">
        <v>42</v>
      </c>
      <c r="B11" s="776"/>
      <c r="C11" s="776"/>
      <c r="D11" s="776"/>
      <c r="E11" s="776"/>
      <c r="F11" s="32">
        <f>AVERAGE(L10:L19)</f>
        <v>2.1469769999999999E-2</v>
      </c>
      <c r="G11" s="768"/>
      <c r="H11" s="35"/>
      <c r="I11" s="109">
        <v>2013</v>
      </c>
      <c r="J11" s="27">
        <v>0.32145085858125483</v>
      </c>
      <c r="K11" s="27">
        <v>-9.104568794347262E-2</v>
      </c>
      <c r="L11" s="27">
        <v>1.50174E-2</v>
      </c>
      <c r="M11" s="27">
        <v>1.9400000000000001E-2</v>
      </c>
      <c r="N11" s="27">
        <v>1.6299999999999999E-2</v>
      </c>
      <c r="O11" s="31"/>
    </row>
    <row r="12" spans="1:17">
      <c r="A12" s="715" t="s">
        <v>43</v>
      </c>
      <c r="B12" s="715"/>
      <c r="C12" s="715"/>
      <c r="D12" s="715"/>
      <c r="E12" s="715"/>
      <c r="F12" s="33">
        <f>+((1+F10)/(1+F11))-1</f>
        <v>4.3554087784158924E-3</v>
      </c>
      <c r="G12" s="768"/>
      <c r="H12" s="35"/>
      <c r="I12" s="109">
        <v>2014</v>
      </c>
      <c r="J12" s="27">
        <v>0.13524421649462237</v>
      </c>
      <c r="K12" s="27">
        <v>0.10746180452004755</v>
      </c>
      <c r="L12" s="27">
        <v>7.5649000000000003E-3</v>
      </c>
      <c r="M12" s="27">
        <v>3.6600000000000001E-2</v>
      </c>
      <c r="N12" s="27">
        <v>1.9599999999999999E-2</v>
      </c>
      <c r="O12" s="31"/>
    </row>
    <row r="13" spans="1:17">
      <c r="G13" s="768"/>
      <c r="H13" s="35"/>
      <c r="I13" s="109">
        <v>2015</v>
      </c>
      <c r="J13" s="27">
        <v>1.3788916411676138E-2</v>
      </c>
      <c r="K13" s="27">
        <v>1.2842996709792224E-2</v>
      </c>
      <c r="L13" s="27">
        <v>7.2951999999999991E-3</v>
      </c>
      <c r="M13" s="27">
        <v>6.7699999999999996E-2</v>
      </c>
      <c r="N13" s="27">
        <v>3.1699999999999999E-2</v>
      </c>
      <c r="O13" s="31"/>
    </row>
    <row r="14" spans="1:17">
      <c r="A14" s="776" t="s">
        <v>44</v>
      </c>
      <c r="B14" s="776"/>
      <c r="C14" s="776"/>
      <c r="D14" s="776"/>
      <c r="E14" s="776"/>
      <c r="F14" s="32">
        <f>AVERAGE(M10:M19)</f>
        <v>3.884E-2</v>
      </c>
      <c r="G14" s="768"/>
      <c r="H14" s="35"/>
      <c r="I14" s="109">
        <v>2016</v>
      </c>
      <c r="J14" s="27">
        <v>0.11773080874798171</v>
      </c>
      <c r="K14" s="27">
        <v>6.9055046987477921E-3</v>
      </c>
      <c r="L14" s="27">
        <v>2.0746199999999999E-2</v>
      </c>
      <c r="M14" s="27">
        <v>5.7500000000000002E-2</v>
      </c>
      <c r="N14" s="27">
        <v>2.2499999999999999E-2</v>
      </c>
      <c r="O14" s="31"/>
    </row>
    <row r="15" spans="1:17">
      <c r="A15" s="715" t="s">
        <v>49</v>
      </c>
      <c r="B15" s="715"/>
      <c r="C15" s="715"/>
      <c r="D15" s="715"/>
      <c r="E15" s="715"/>
      <c r="F15" s="34">
        <f>+((1+F14)*(1+F12))-1</f>
        <v>4.3364572855369543E-2</v>
      </c>
      <c r="G15" s="768"/>
      <c r="H15" s="35"/>
      <c r="I15" s="109">
        <v>2017</v>
      </c>
      <c r="J15" s="27">
        <v>0.2160548143449928</v>
      </c>
      <c r="K15" s="27">
        <v>2.8017162707789457E-2</v>
      </c>
      <c r="L15" s="27">
        <v>2.10908E-2</v>
      </c>
      <c r="M15" s="27">
        <v>4.0899999999999999E-2</v>
      </c>
      <c r="N15" s="27">
        <v>1.7299999999999999E-2</v>
      </c>
      <c r="O15" s="31"/>
    </row>
    <row r="16" spans="1:17">
      <c r="H16" s="35"/>
      <c r="I16" s="109">
        <v>2018</v>
      </c>
      <c r="J16" s="27">
        <v>-4.2268692890885438E-2</v>
      </c>
      <c r="K16" s="27">
        <v>-1.6692385713402633E-4</v>
      </c>
      <c r="L16" s="27">
        <v>1.91016E-2</v>
      </c>
      <c r="M16" s="27">
        <v>3.1800000000000002E-2</v>
      </c>
      <c r="N16" s="27">
        <v>2.2800000000000001E-2</v>
      </c>
      <c r="O16" s="31"/>
    </row>
    <row r="17" spans="1:15">
      <c r="A17" s="774" t="s">
        <v>45</v>
      </c>
      <c r="B17" s="774"/>
      <c r="C17" s="774"/>
      <c r="D17" s="774"/>
      <c r="E17" s="774"/>
      <c r="F17" s="28">
        <f>AVERAGE(N10:N19)</f>
        <v>2.1389999999999999E-2</v>
      </c>
      <c r="G17" s="769" t="s">
        <v>57</v>
      </c>
      <c r="H17" s="35"/>
      <c r="I17" s="109">
        <v>2019</v>
      </c>
      <c r="J17" s="27">
        <v>0.3221</v>
      </c>
      <c r="K17" s="27">
        <v>9.6356307415483927E-2</v>
      </c>
      <c r="L17" s="27">
        <v>2.2851300000000001E-2</v>
      </c>
      <c r="M17" s="27">
        <v>3.7999999999999999E-2</v>
      </c>
      <c r="N17" s="27">
        <v>1.66E-2</v>
      </c>
      <c r="O17" s="31"/>
    </row>
    <row r="18" spans="1:15">
      <c r="A18" s="771"/>
      <c r="B18" s="772"/>
      <c r="C18" s="772"/>
      <c r="D18" s="772"/>
      <c r="E18" s="772"/>
      <c r="F18" s="773"/>
      <c r="G18" s="769"/>
      <c r="H18" s="35"/>
      <c r="I18" s="109">
        <v>2020</v>
      </c>
      <c r="J18" s="27">
        <v>0.1802</v>
      </c>
      <c r="K18" s="27">
        <v>0.1133</v>
      </c>
      <c r="L18" s="27">
        <v>1.36201E-2</v>
      </c>
      <c r="M18" s="27">
        <v>1.61E-2</v>
      </c>
      <c r="N18" s="27">
        <v>2.06E-2</v>
      </c>
      <c r="O18" s="31"/>
    </row>
    <row r="19" spans="1:15">
      <c r="H19" s="35"/>
      <c r="I19" s="109">
        <v>2021</v>
      </c>
      <c r="J19" s="27">
        <v>0.28470000000000001</v>
      </c>
      <c r="K19" s="27">
        <v>-4.4200000000000003E-2</v>
      </c>
      <c r="L19" s="27">
        <v>7.0000000000000007E-2</v>
      </c>
      <c r="M19" s="27">
        <v>5.6000000000000001E-2</v>
      </c>
      <c r="N19" s="27">
        <v>3.5299999999999998E-2</v>
      </c>
      <c r="O19" s="31"/>
    </row>
    <row r="20" spans="1:15" ht="18">
      <c r="A20" s="765" t="s">
        <v>53</v>
      </c>
      <c r="B20" s="765"/>
      <c r="C20" s="765"/>
      <c r="D20" s="765"/>
      <c r="E20" s="765"/>
      <c r="F20" s="32">
        <f>AVERAGE(J10:J19)</f>
        <v>0.17079067741069451</v>
      </c>
      <c r="G20" s="770" t="s">
        <v>55</v>
      </c>
      <c r="H20" s="35"/>
      <c r="O20" s="31"/>
    </row>
    <row r="21" spans="1:15">
      <c r="A21" s="766" t="s">
        <v>42</v>
      </c>
      <c r="B21" s="766"/>
      <c r="C21" s="766"/>
      <c r="D21" s="766"/>
      <c r="E21" s="766"/>
      <c r="F21" s="32">
        <f>F11</f>
        <v>2.1469769999999999E-2</v>
      </c>
      <c r="G21" s="770"/>
      <c r="H21" s="35"/>
    </row>
    <row r="22" spans="1:15">
      <c r="A22" s="767" t="s">
        <v>54</v>
      </c>
      <c r="B22" s="767"/>
      <c r="C22" s="767"/>
      <c r="D22" s="767"/>
      <c r="E22" s="767"/>
      <c r="F22" s="33">
        <f>+((1+F20)/(1+F21))-1</f>
        <v>0.14618240480155809</v>
      </c>
      <c r="G22" s="770"/>
      <c r="H22" s="35"/>
      <c r="I22" s="1" t="s">
        <v>560</v>
      </c>
    </row>
    <row r="23" spans="1:15">
      <c r="G23" s="770"/>
      <c r="H23" s="35"/>
      <c r="I23" s="1" t="s">
        <v>599</v>
      </c>
    </row>
    <row r="24" spans="1:15">
      <c r="A24" s="766" t="s">
        <v>44</v>
      </c>
      <c r="B24" s="766"/>
      <c r="C24" s="766"/>
      <c r="D24" s="766"/>
      <c r="E24" s="766"/>
      <c r="F24" s="32">
        <f>F14</f>
        <v>3.884E-2</v>
      </c>
      <c r="G24" s="770"/>
      <c r="H24" s="35"/>
    </row>
    <row r="25" spans="1:15">
      <c r="A25" s="767" t="s">
        <v>52</v>
      </c>
      <c r="B25" s="767"/>
      <c r="C25" s="767"/>
      <c r="D25" s="767"/>
      <c r="E25" s="767"/>
      <c r="F25" s="34">
        <f>+((1+F24)*(1+F22))-1</f>
        <v>0.19070012940405068</v>
      </c>
      <c r="G25" s="770"/>
      <c r="H25" s="35"/>
    </row>
    <row r="26" spans="1:15">
      <c r="H26" s="35"/>
    </row>
    <row r="27" spans="1:15" ht="18">
      <c r="A27" s="764" t="s">
        <v>50</v>
      </c>
      <c r="B27" s="764"/>
      <c r="C27" s="764"/>
      <c r="D27" s="764"/>
      <c r="E27" s="764"/>
      <c r="F27" s="29">
        <f>F25-F15</f>
        <v>0.14733555654868113</v>
      </c>
      <c r="H27" s="35"/>
    </row>
    <row r="28" spans="1:15">
      <c r="H28" s="35"/>
    </row>
    <row r="30" spans="1:15">
      <c r="A30" s="581" t="s">
        <v>58</v>
      </c>
      <c r="B30" s="581"/>
      <c r="C30" s="581"/>
      <c r="D30" s="581"/>
      <c r="E30" s="581"/>
      <c r="F30" s="351">
        <f>+'Industry Averages'!F66</f>
        <v>0.64548215825934985</v>
      </c>
      <c r="G30" s="38" t="s">
        <v>67</v>
      </c>
    </row>
    <row r="32" spans="1:15">
      <c r="F32" s="515">
        <f>Proyecciones!K38</f>
        <v>2023</v>
      </c>
      <c r="G32" s="515">
        <f>Proyecciones!L38</f>
        <v>2024</v>
      </c>
      <c r="H32" s="515">
        <f>Proyecciones!M38</f>
        <v>2025</v>
      </c>
      <c r="I32" s="515">
        <f>Proyecciones!N38</f>
        <v>2026</v>
      </c>
      <c r="J32" s="515">
        <f>Proyecciones!O38</f>
        <v>2027</v>
      </c>
    </row>
    <row r="33" spans="1:17" hidden="1">
      <c r="A33" s="719" t="s">
        <v>60</v>
      </c>
      <c r="B33" s="719"/>
      <c r="C33" s="719"/>
      <c r="D33" s="719"/>
      <c r="E33" s="719"/>
      <c r="F33" s="8">
        <f>Proyecciones!J50+Proyecciones!J54</f>
        <v>200555.511</v>
      </c>
      <c r="G33" s="8">
        <f>Proyecciones!K50+Proyecciones!K54</f>
        <v>206572.17632999999</v>
      </c>
      <c r="H33" s="8">
        <f>Proyecciones!L50+Proyecciones!L54</f>
        <v>212769.34161989999</v>
      </c>
      <c r="I33" s="8">
        <f>Proyecciones!M50+Proyecciones!M54</f>
        <v>219152.42186849701</v>
      </c>
      <c r="J33" s="8">
        <f>Proyecciones!N50+Proyecciones!N54</f>
        <v>225726.99452455193</v>
      </c>
    </row>
    <row r="34" spans="1:17" hidden="1">
      <c r="A34" s="719" t="s">
        <v>59</v>
      </c>
      <c r="B34" s="719"/>
      <c r="C34" s="719"/>
      <c r="D34" s="719"/>
      <c r="E34" s="719"/>
      <c r="F34" s="8">
        <f>Proyecciones!J59</f>
        <v>475630.01199999993</v>
      </c>
      <c r="G34" s="8">
        <f>Proyecciones!K59</f>
        <v>489898.91235999996</v>
      </c>
      <c r="H34" s="8">
        <f>Proyecciones!L59</f>
        <v>504595.87973079999</v>
      </c>
      <c r="I34" s="8">
        <f>Proyecciones!M59</f>
        <v>519733.75612272398</v>
      </c>
      <c r="J34" s="8">
        <f>Proyecciones!N59</f>
        <v>535325.76880640571</v>
      </c>
    </row>
    <row r="35" spans="1:17" hidden="1">
      <c r="A35" s="719" t="s">
        <v>61</v>
      </c>
      <c r="B35" s="719"/>
      <c r="C35" s="719"/>
      <c r="D35" s="719"/>
      <c r="E35" s="719"/>
      <c r="F35" s="36">
        <f>$F$30*(1+(1-(Proyecciones!K79/Proyecciones!K78))*('Valoración Sin Estrategia'!F33/'Valoración Sin Estrategia'!F34))</f>
        <v>0.62564888964384624</v>
      </c>
      <c r="G35" s="36">
        <f>$F$30*(1+(1-(Proyecciones!L79/Proyecciones!L78))*('Valoración Sin Estrategia'!G33/'Valoración Sin Estrategia'!G34))</f>
        <v>0.62564888964384413</v>
      </c>
      <c r="H35" s="36">
        <f>$F$30*(1+(1-(Proyecciones!M79/Proyecciones!M78))*('Valoración Sin Estrategia'!H33/'Valoración Sin Estrategia'!H34))</f>
        <v>0.62564888964384135</v>
      </c>
      <c r="I35" s="36">
        <f>$F$30*(1+(1-(Proyecciones!N79/Proyecciones!N78))*('Valoración Sin Estrategia'!I33/'Valoración Sin Estrategia'!I34))</f>
        <v>0.62564888964384802</v>
      </c>
      <c r="J35" s="36">
        <f>$F$30*(1+(1-(Proyecciones!O79/Proyecciones!O78))*('Valoración Sin Estrategia'!J33/'Valoración Sin Estrategia'!J34))</f>
        <v>0.6256488896438448</v>
      </c>
    </row>
    <row r="36" spans="1:17" hidden="1">
      <c r="L36" s="14"/>
    </row>
    <row r="37" spans="1:17" ht="18" hidden="1">
      <c r="A37" s="739" t="s">
        <v>62</v>
      </c>
      <c r="B37" s="739"/>
      <c r="C37" s="739"/>
      <c r="D37" s="739"/>
      <c r="E37" s="739"/>
      <c r="F37" s="11">
        <f>$F$15+($F$25-$F$15)*F35+$F$17</f>
        <v>0.15693490021511</v>
      </c>
      <c r="G37" s="11">
        <f t="shared" ref="G37:J37" si="0">$F$15+($F$25-$F$15)*G35+$F$17</f>
        <v>0.1569349002151097</v>
      </c>
      <c r="H37" s="11">
        <f t="shared" si="0"/>
        <v>0.15693490021510928</v>
      </c>
      <c r="I37" s="11">
        <f t="shared" si="0"/>
        <v>0.15693490021511028</v>
      </c>
      <c r="J37" s="11">
        <f t="shared" si="0"/>
        <v>0.15693490021510978</v>
      </c>
    </row>
    <row r="38" spans="1:17" hidden="1"/>
    <row r="39" spans="1:17" hidden="1"/>
    <row r="40" spans="1:17" hidden="1">
      <c r="A40" s="740" t="s">
        <v>64</v>
      </c>
      <c r="B40" s="741"/>
      <c r="C40" s="741"/>
      <c r="D40" s="741"/>
      <c r="E40" s="742"/>
      <c r="F40" s="10">
        <f>F33/(F33+F34)</f>
        <v>0.29659835086413117</v>
      </c>
      <c r="G40" s="10">
        <f t="shared" ref="G40:I40" si="1">G33/(G33+G34)</f>
        <v>0.29659835086413117</v>
      </c>
      <c r="H40" s="10">
        <f t="shared" si="1"/>
        <v>0.29659835086413111</v>
      </c>
      <c r="I40" s="10">
        <f t="shared" si="1"/>
        <v>0.29659835086413117</v>
      </c>
      <c r="J40" s="10">
        <f>J33/(J33+J34)</f>
        <v>0.29659835086413117</v>
      </c>
      <c r="K40" s="1" t="s">
        <v>319</v>
      </c>
      <c r="L40" s="1" t="s">
        <v>320</v>
      </c>
    </row>
    <row r="41" spans="1:17" hidden="1">
      <c r="A41" s="740" t="s">
        <v>63</v>
      </c>
      <c r="B41" s="741"/>
      <c r="C41" s="741"/>
      <c r="D41" s="741"/>
      <c r="E41" s="742"/>
      <c r="F41" s="10">
        <f>F34/(F33+F34)</f>
        <v>0.70340164913586889</v>
      </c>
      <c r="G41" s="10">
        <f t="shared" ref="G41:J41" si="2">G34/(G33+G34)</f>
        <v>0.70340164913586889</v>
      </c>
      <c r="H41" s="10">
        <f t="shared" si="2"/>
        <v>0.70340164913586889</v>
      </c>
      <c r="I41" s="10">
        <f t="shared" si="2"/>
        <v>0.70340164913586889</v>
      </c>
      <c r="J41" s="10">
        <f t="shared" si="2"/>
        <v>0.70340164913586889</v>
      </c>
    </row>
    <row r="42" spans="1:17" hidden="1">
      <c r="A42" s="716" t="s">
        <v>66</v>
      </c>
      <c r="B42" s="717"/>
      <c r="C42" s="717"/>
      <c r="D42" s="717"/>
      <c r="E42" s="718"/>
      <c r="F42" s="15">
        <f>SUM(F40:F41)</f>
        <v>1</v>
      </c>
      <c r="G42" s="15">
        <f t="shared" ref="G42:J42" si="3">SUM(G40:G41)</f>
        <v>1</v>
      </c>
      <c r="H42" s="15">
        <f t="shared" si="3"/>
        <v>1</v>
      </c>
      <c r="I42" s="15">
        <f t="shared" si="3"/>
        <v>1</v>
      </c>
      <c r="J42" s="15">
        <f t="shared" si="3"/>
        <v>1</v>
      </c>
    </row>
    <row r="43" spans="1:17" hidden="1"/>
    <row r="44" spans="1:17" hidden="1">
      <c r="A44" s="719" t="s">
        <v>65</v>
      </c>
      <c r="B44" s="719"/>
      <c r="C44" s="719"/>
      <c r="D44" s="719"/>
      <c r="E44" s="719"/>
      <c r="F44" s="11">
        <f>Proyecciones!X16*(1-(Proyecciones!K79/Proyecciones!K78))</f>
        <v>-1.1644516929728073E-2</v>
      </c>
      <c r="G44" s="11">
        <f>Proyecciones!Y16*(1-(Proyecciones!L79/Proyecciones!L78))</f>
        <v>-1.0434187971918788E-2</v>
      </c>
      <c r="H44" s="11">
        <f>Proyecciones!Z16*(1-(Proyecciones!M79/Proyecciones!M78))</f>
        <v>-8.1928380500486935E-3</v>
      </c>
      <c r="I44" s="11">
        <f>Proyecciones!AA16*(1-(Proyecciones!N79/Proyecciones!N78))</f>
        <v>-5.5779298078632682E-3</v>
      </c>
      <c r="J44" s="11">
        <f>Proyecciones!AB16*(1-(Proyecciones!O79/Proyecciones!O78))</f>
        <v>-5.2043714875523363E-3</v>
      </c>
    </row>
    <row r="45" spans="1:17" hidden="1">
      <c r="J45" s="70"/>
      <c r="K45" s="70"/>
    </row>
    <row r="46" spans="1:17" ht="15.75" hidden="1" thickBot="1">
      <c r="A46" s="719" t="s">
        <v>68</v>
      </c>
      <c r="B46" s="719"/>
      <c r="C46" s="719"/>
      <c r="D46" s="719"/>
      <c r="E46" s="719"/>
      <c r="F46" s="10">
        <f>F40*F44</f>
        <v>-3.4537445179668022E-3</v>
      </c>
      <c r="G46" s="10">
        <f t="shared" ref="G46:J46" si="4">G40*G44</f>
        <v>-3.094762945077466E-3</v>
      </c>
      <c r="H46" s="10">
        <f t="shared" si="4"/>
        <v>-2.4299822545413461E-3</v>
      </c>
      <c r="I46" s="10">
        <f t="shared" si="4"/>
        <v>-1.6544047822481254E-3</v>
      </c>
      <c r="J46" s="10">
        <f t="shared" si="4"/>
        <v>-1.5436080004923281E-3</v>
      </c>
    </row>
    <row r="47" spans="1:17" ht="16.5" hidden="1" thickBot="1">
      <c r="A47" s="719" t="s">
        <v>69</v>
      </c>
      <c r="B47" s="719"/>
      <c r="C47" s="719"/>
      <c r="D47" s="719"/>
      <c r="E47" s="719"/>
      <c r="F47" s="10">
        <f>F41*F37</f>
        <v>0.1103882676182814</v>
      </c>
      <c r="G47" s="10">
        <f t="shared" ref="G47:J47" si="5">G41*G37</f>
        <v>0.11038826761828119</v>
      </c>
      <c r="H47" s="10">
        <f t="shared" si="5"/>
        <v>0.1103882676182809</v>
      </c>
      <c r="I47" s="10">
        <f t="shared" si="5"/>
        <v>0.11038826761828159</v>
      </c>
      <c r="J47" s="10">
        <f t="shared" si="5"/>
        <v>0.11038826761828124</v>
      </c>
      <c r="N47" s="786" t="s">
        <v>92</v>
      </c>
      <c r="O47" s="787"/>
      <c r="P47" s="787"/>
      <c r="Q47" s="788"/>
    </row>
    <row r="48" spans="1:17">
      <c r="A48" s="582" t="s">
        <v>70</v>
      </c>
      <c r="B48" s="582"/>
      <c r="C48" s="582"/>
      <c r="D48" s="582"/>
      <c r="E48" s="582"/>
      <c r="F48" s="11">
        <f>F46+F47</f>
        <v>0.10693452310031459</v>
      </c>
      <c r="G48" s="11">
        <f>G46+G47</f>
        <v>0.10729350467320373</v>
      </c>
      <c r="H48" s="11">
        <f>H46+H47</f>
        <v>0.10795828536373955</v>
      </c>
      <c r="I48" s="11">
        <f>I46+I47</f>
        <v>0.10873386283603347</v>
      </c>
      <c r="J48" s="11">
        <f>J46+J47</f>
        <v>0.10884465961778891</v>
      </c>
      <c r="K48" s="1" t="s">
        <v>318</v>
      </c>
    </row>
    <row r="49" spans="1:20">
      <c r="E49" s="47"/>
      <c r="F49" s="86"/>
      <c r="G49" s="86"/>
      <c r="H49" s="86"/>
      <c r="I49" s="86"/>
      <c r="J49" s="86"/>
      <c r="K49" s="1" t="s">
        <v>321</v>
      </c>
      <c r="L49" s="14"/>
    </row>
    <row r="50" spans="1:20" ht="15.75" thickBot="1">
      <c r="A50" s="26"/>
      <c r="B50" s="26"/>
      <c r="C50" s="26"/>
      <c r="D50" s="592"/>
      <c r="E50" s="592"/>
      <c r="F50" s="47"/>
      <c r="G50" s="47"/>
      <c r="H50" s="47"/>
      <c r="I50" s="47"/>
      <c r="J50" s="47"/>
    </row>
    <row r="51" spans="1:20" ht="15" customHeight="1">
      <c r="A51" s="628" t="s">
        <v>82</v>
      </c>
      <c r="B51" s="629"/>
      <c r="C51" s="629"/>
      <c r="D51" s="629"/>
      <c r="E51" s="629"/>
      <c r="F51" s="629"/>
      <c r="G51" s="629"/>
      <c r="H51" s="629"/>
      <c r="I51" s="629"/>
      <c r="J51" s="630"/>
      <c r="K51" s="48"/>
      <c r="L51" s="48"/>
      <c r="M51" s="48"/>
      <c r="N51" s="48"/>
      <c r="O51" s="48"/>
      <c r="P51" s="48"/>
      <c r="Q51" s="48"/>
    </row>
    <row r="52" spans="1:20" ht="15.75" customHeight="1" thickBot="1">
      <c r="A52" s="631"/>
      <c r="B52" s="632"/>
      <c r="C52" s="632"/>
      <c r="D52" s="632"/>
      <c r="E52" s="632"/>
      <c r="F52" s="632"/>
      <c r="G52" s="632"/>
      <c r="H52" s="632"/>
      <c r="I52" s="632"/>
      <c r="J52" s="633"/>
      <c r="K52" s="48"/>
      <c r="L52" s="48"/>
      <c r="M52" s="48"/>
      <c r="N52" s="48"/>
      <c r="O52" s="48"/>
      <c r="P52" s="48"/>
      <c r="Q52" s="48"/>
    </row>
    <row r="53" spans="1:20" ht="15.75" thickBot="1">
      <c r="K53" s="1" t="s">
        <v>322</v>
      </c>
    </row>
    <row r="54" spans="1:20">
      <c r="A54" s="49"/>
      <c r="B54" s="723"/>
      <c r="C54" s="724"/>
      <c r="D54" s="724"/>
      <c r="E54" s="725"/>
      <c r="F54" s="513">
        <f>Proyecciones!K24</f>
        <v>2023</v>
      </c>
      <c r="G54" s="513">
        <f>Proyecciones!L24</f>
        <v>2024</v>
      </c>
      <c r="H54" s="513">
        <f>Proyecciones!M24</f>
        <v>2025</v>
      </c>
      <c r="I54" s="513">
        <f>Proyecciones!N24</f>
        <v>2026</v>
      </c>
      <c r="J54" s="513">
        <f>Proyecciones!O24</f>
        <v>2027</v>
      </c>
      <c r="K54" s="41"/>
    </row>
    <row r="55" spans="1:20" ht="15.75">
      <c r="A55" s="50"/>
      <c r="B55" s="729" t="s">
        <v>71</v>
      </c>
      <c r="C55" s="730"/>
      <c r="D55" s="730"/>
      <c r="E55" s="731"/>
      <c r="F55" s="269">
        <f>Proyecciones!K117</f>
        <v>-2369.4986371975829</v>
      </c>
      <c r="G55" s="269">
        <f>Proyecciones!L117</f>
        <v>-2440.5835963137433</v>
      </c>
      <c r="H55" s="269">
        <f>Proyecciones!M117</f>
        <v>-2513.8011042034923</v>
      </c>
      <c r="I55" s="269">
        <f>Proyecciones!N117</f>
        <v>-2589.2151373287779</v>
      </c>
      <c r="J55" s="269">
        <f>Proyecciones!O117</f>
        <v>-2666.8915914490572</v>
      </c>
      <c r="K55" s="41"/>
    </row>
    <row r="56" spans="1:20" ht="15.75">
      <c r="A56" s="51"/>
      <c r="B56" s="729" t="s">
        <v>72</v>
      </c>
      <c r="C56" s="730"/>
      <c r="D56" s="730"/>
      <c r="E56" s="731"/>
      <c r="F56" s="270">
        <f>Proyecciones!K118</f>
        <v>34886.595268102305</v>
      </c>
      <c r="G56" s="270">
        <f>Proyecciones!L118</f>
        <v>35933.193126145379</v>
      </c>
      <c r="H56" s="270">
        <f>Proyecciones!M118</f>
        <v>37011.188919929737</v>
      </c>
      <c r="I56" s="270">
        <f>Proyecciones!N118</f>
        <v>38121.524587527631</v>
      </c>
      <c r="J56" s="270">
        <f>Proyecciones!O118</f>
        <v>39265.170325153464</v>
      </c>
      <c r="K56" s="43"/>
    </row>
    <row r="57" spans="1:20" ht="16.5" thickBot="1">
      <c r="A57" s="51"/>
      <c r="B57" s="729" t="s">
        <v>73</v>
      </c>
      <c r="C57" s="730"/>
      <c r="D57" s="730"/>
      <c r="E57" s="731"/>
      <c r="F57" s="271">
        <f>Proyecciones!K119</f>
        <v>2803.2207561643013</v>
      </c>
      <c r="G57" s="271">
        <f>Proyecciones!L119</f>
        <v>2887.3173788492304</v>
      </c>
      <c r="H57" s="271">
        <f>Proyecciones!M119</f>
        <v>2973.9369002147073</v>
      </c>
      <c r="I57" s="271">
        <f>Proyecciones!N119</f>
        <v>3063.1550072211489</v>
      </c>
      <c r="J57" s="271">
        <f>Proyecciones!O119</f>
        <v>3155.049657437783</v>
      </c>
      <c r="K57" s="43"/>
    </row>
    <row r="58" spans="1:20" ht="16.5" thickBot="1">
      <c r="A58" s="51"/>
      <c r="B58" s="747" t="s">
        <v>74</v>
      </c>
      <c r="C58" s="748"/>
      <c r="D58" s="748"/>
      <c r="E58" s="749"/>
      <c r="F58" s="272">
        <f>SUM(F55:F57)</f>
        <v>35320.317387069023</v>
      </c>
      <c r="G58" s="272">
        <f t="shared" ref="G58:J58" si="6">SUM(G55:G57)</f>
        <v>36379.926908680864</v>
      </c>
      <c r="H58" s="272">
        <f t="shared" si="6"/>
        <v>37471.324715940951</v>
      </c>
      <c r="I58" s="272">
        <f t="shared" si="6"/>
        <v>38595.464457419999</v>
      </c>
      <c r="J58" s="272">
        <f t="shared" si="6"/>
        <v>39753.32839114219</v>
      </c>
      <c r="K58" s="42"/>
    </row>
    <row r="59" spans="1:20" ht="16.5" thickBot="1">
      <c r="A59" s="51"/>
      <c r="B59" s="45"/>
      <c r="C59" s="39"/>
      <c r="D59" s="39"/>
      <c r="E59" s="39"/>
      <c r="F59" s="273"/>
      <c r="G59" s="273"/>
      <c r="H59" s="273"/>
      <c r="I59" s="273"/>
      <c r="J59" s="273"/>
      <c r="K59" s="39"/>
      <c r="N59" s="786" t="s">
        <v>90</v>
      </c>
      <c r="O59" s="787"/>
      <c r="P59" s="787"/>
      <c r="Q59" s="788"/>
    </row>
    <row r="60" spans="1:20" ht="23.25" customHeight="1" thickBot="1">
      <c r="A60" s="51"/>
      <c r="B60" s="726" t="s">
        <v>75</v>
      </c>
      <c r="C60" s="727"/>
      <c r="D60" s="727"/>
      <c r="E60" s="728"/>
      <c r="F60" s="271">
        <f>Proyecciones!K122</f>
        <v>37894.084807451341</v>
      </c>
      <c r="G60" s="274">
        <f>Proyecciones!L122</f>
        <v>39030.907351674905</v>
      </c>
      <c r="H60" s="274">
        <f>Proyecciones!M122</f>
        <v>40201.834572225183</v>
      </c>
      <c r="I60" s="274">
        <f>Proyecciones!N122</f>
        <v>41407.889609391859</v>
      </c>
      <c r="J60" s="274">
        <f>Proyecciones!O122</f>
        <v>42650.126297673662</v>
      </c>
      <c r="K60" s="43"/>
      <c r="T60" s="1" t="s">
        <v>323</v>
      </c>
    </row>
    <row r="61" spans="1:20" ht="15.75">
      <c r="A61" s="51"/>
      <c r="B61" s="720" t="s">
        <v>76</v>
      </c>
      <c r="C61" s="721"/>
      <c r="D61" s="721"/>
      <c r="E61" s="722"/>
      <c r="F61" s="275">
        <f>+F58-F60</f>
        <v>-2573.767420382319</v>
      </c>
      <c r="G61" s="276">
        <f t="shared" ref="G61:J61" si="7">+G58-G60</f>
        <v>-2650.9804429940414</v>
      </c>
      <c r="H61" s="276">
        <f t="shared" si="7"/>
        <v>-2730.5098562842322</v>
      </c>
      <c r="I61" s="276">
        <f t="shared" si="7"/>
        <v>-2812.42515197186</v>
      </c>
      <c r="J61" s="276">
        <f t="shared" si="7"/>
        <v>-2896.7979065314721</v>
      </c>
      <c r="K61" s="42"/>
    </row>
    <row r="62" spans="1:20" ht="15.75">
      <c r="A62" s="51"/>
      <c r="B62" s="45"/>
      <c r="C62" s="39"/>
      <c r="D62" s="39"/>
      <c r="E62" s="39"/>
      <c r="F62" s="273"/>
      <c r="G62" s="273"/>
      <c r="H62" s="273"/>
      <c r="I62" s="273"/>
      <c r="J62" s="273"/>
      <c r="K62" s="39"/>
    </row>
    <row r="63" spans="1:20" ht="18.75" customHeight="1">
      <c r="A63" s="51"/>
      <c r="B63" s="743" t="s">
        <v>77</v>
      </c>
      <c r="C63" s="744"/>
      <c r="D63" s="744"/>
      <c r="E63" s="745"/>
      <c r="F63" s="270">
        <f>Proyecciones!K125</f>
        <v>17388.803599999999</v>
      </c>
      <c r="G63" s="277">
        <f>Proyecciones!L125</f>
        <v>18433.403320000001</v>
      </c>
      <c r="H63" s="277">
        <f>Proyecciones!M125</f>
        <v>19755.467784</v>
      </c>
      <c r="I63" s="277">
        <f>Proyecciones!N125</f>
        <v>21118.102540799999</v>
      </c>
      <c r="J63" s="277">
        <f>Proyecciones!O125</f>
        <v>21129.18144896</v>
      </c>
      <c r="K63" s="43"/>
      <c r="N63" s="48"/>
      <c r="O63" s="48"/>
      <c r="P63" s="48"/>
      <c r="Q63" s="48"/>
    </row>
    <row r="64" spans="1:20" ht="20.25" customHeight="1">
      <c r="A64" s="51"/>
      <c r="B64" s="729" t="s">
        <v>130</v>
      </c>
      <c r="C64" s="730"/>
      <c r="D64" s="730"/>
      <c r="E64" s="731"/>
      <c r="F64" s="270">
        <f>Proyecciones!K126</f>
        <v>8489.6296000000002</v>
      </c>
      <c r="G64" s="277">
        <f>Proyecciones!L126</f>
        <v>6851.5603199999996</v>
      </c>
      <c r="H64" s="277">
        <f>Proyecciones!M126</f>
        <v>8096.5849839999992</v>
      </c>
      <c r="I64" s="277">
        <f>Proyecciones!N126</f>
        <v>9276.3279808000007</v>
      </c>
      <c r="J64" s="277">
        <f>Proyecciones!O126</f>
        <v>10587.388976960001</v>
      </c>
      <c r="K64" s="43"/>
      <c r="N64" s="48"/>
      <c r="O64" s="48"/>
      <c r="P64" s="48"/>
      <c r="Q64" s="48"/>
    </row>
    <row r="65" spans="1:20" ht="15.75">
      <c r="A65" s="51"/>
      <c r="B65" s="729" t="s">
        <v>131</v>
      </c>
      <c r="C65" s="730"/>
      <c r="D65" s="730"/>
      <c r="E65" s="731"/>
      <c r="F65" s="270">
        <f>Proyecciones!K127</f>
        <v>0</v>
      </c>
      <c r="G65" s="277">
        <f>Proyecciones!L127</f>
        <v>0</v>
      </c>
      <c r="H65" s="277">
        <f>Proyecciones!M127</f>
        <v>0</v>
      </c>
      <c r="I65" s="277">
        <f>Proyecciones!N127</f>
        <v>0</v>
      </c>
      <c r="J65" s="277">
        <f>Proyecciones!O127</f>
        <v>0</v>
      </c>
      <c r="K65" s="43"/>
    </row>
    <row r="66" spans="1:20" ht="15.75">
      <c r="A66" s="52"/>
      <c r="B66" s="720" t="s">
        <v>78</v>
      </c>
      <c r="C66" s="721"/>
      <c r="D66" s="721"/>
      <c r="E66" s="722"/>
      <c r="F66" s="275">
        <f t="shared" ref="F66:J66" si="8">F61+F63+F64+F65</f>
        <v>23304.665779617681</v>
      </c>
      <c r="G66" s="276">
        <f t="shared" si="8"/>
        <v>22633.98319700596</v>
      </c>
      <c r="H66" s="276">
        <f t="shared" si="8"/>
        <v>25121.542911715769</v>
      </c>
      <c r="I66" s="276">
        <f t="shared" si="8"/>
        <v>27582.005369628139</v>
      </c>
      <c r="J66" s="276">
        <f t="shared" si="8"/>
        <v>28819.772519388527</v>
      </c>
      <c r="K66" s="42"/>
      <c r="T66" s="333" t="s">
        <v>324</v>
      </c>
    </row>
    <row r="67" spans="1:20" ht="15.75">
      <c r="A67" s="51"/>
      <c r="B67" s="45"/>
      <c r="C67" s="39"/>
      <c r="D67" s="39"/>
      <c r="E67" s="39"/>
      <c r="F67" s="273"/>
      <c r="G67" s="273"/>
      <c r="H67" s="273"/>
      <c r="I67" s="273"/>
      <c r="J67" s="273"/>
      <c r="K67" s="39"/>
    </row>
    <row r="68" spans="1:20" ht="15.75">
      <c r="A68" s="126"/>
      <c r="B68" s="750" t="s">
        <v>79</v>
      </c>
      <c r="C68" s="744"/>
      <c r="D68" s="744"/>
      <c r="E68" s="745"/>
      <c r="F68" s="270">
        <f>Proyecciones!K130</f>
        <v>1018.9050600000191</v>
      </c>
      <c r="G68" s="277">
        <f>Proyecciones!L130</f>
        <v>1049.4722117999918</v>
      </c>
      <c r="H68" s="277">
        <f>Proyecciones!M130</f>
        <v>1080.9563781540492</v>
      </c>
      <c r="I68" s="277">
        <f>Proyecciones!N130</f>
        <v>1113.3850694986177</v>
      </c>
      <c r="J68" s="277">
        <f>Proyecciones!O130</f>
        <v>1146.7866215835093</v>
      </c>
      <c r="K68" s="43"/>
    </row>
    <row r="69" spans="1:20" ht="16.5" thickBot="1">
      <c r="A69" s="126"/>
      <c r="B69" s="746" t="s">
        <v>150</v>
      </c>
      <c r="C69" s="730"/>
      <c r="D69" s="730"/>
      <c r="E69" s="731"/>
      <c r="F69" s="270">
        <f>Proyecciones!K131</f>
        <v>18813.524459999986</v>
      </c>
      <c r="G69" s="270">
        <f>Proyecciones!L131</f>
        <v>19377.930193800014</v>
      </c>
      <c r="H69" s="270">
        <f>Proyecciones!M131</f>
        <v>19959.26809961407</v>
      </c>
      <c r="I69" s="270">
        <f>Proyecciones!N131</f>
        <v>20558.046142602456</v>
      </c>
      <c r="J69" s="270">
        <f>Proyecciones!O131</f>
        <v>21174.787526880507</v>
      </c>
      <c r="K69" s="43"/>
    </row>
    <row r="70" spans="1:20" ht="16.5" thickBot="1">
      <c r="A70" s="127"/>
      <c r="B70" s="735" t="s">
        <v>80</v>
      </c>
      <c r="C70" s="721"/>
      <c r="D70" s="721"/>
      <c r="E70" s="722"/>
      <c r="F70" s="278">
        <f t="shared" ref="F70:J70" si="9">F68+F69</f>
        <v>19832.429520000005</v>
      </c>
      <c r="G70" s="279">
        <f t="shared" si="9"/>
        <v>20427.402405600005</v>
      </c>
      <c r="H70" s="279">
        <f t="shared" si="9"/>
        <v>21040.224477768119</v>
      </c>
      <c r="I70" s="279">
        <f t="shared" si="9"/>
        <v>21671.431212101073</v>
      </c>
      <c r="J70" s="279">
        <f t="shared" si="9"/>
        <v>22321.574148464017</v>
      </c>
      <c r="K70" s="42"/>
    </row>
    <row r="71" spans="1:20" ht="13.5" customHeight="1">
      <c r="A71" s="53"/>
      <c r="B71" s="46"/>
      <c r="C71" s="40"/>
      <c r="D71" s="40"/>
      <c r="E71" s="40"/>
      <c r="F71" s="273"/>
      <c r="G71" s="273"/>
      <c r="H71" s="273"/>
      <c r="I71" s="273"/>
      <c r="J71" s="273"/>
      <c r="K71" s="40"/>
    </row>
    <row r="72" spans="1:20" ht="18.75" thickBot="1">
      <c r="A72" s="54"/>
      <c r="B72" s="736" t="s">
        <v>81</v>
      </c>
      <c r="C72" s="737"/>
      <c r="D72" s="737"/>
      <c r="E72" s="738"/>
      <c r="F72" s="275">
        <f t="shared" ref="F72:J72" si="10">F66-F70</f>
        <v>3472.2362596176754</v>
      </c>
      <c r="G72" s="276">
        <f t="shared" si="10"/>
        <v>2206.5807914059551</v>
      </c>
      <c r="H72" s="276">
        <f t="shared" si="10"/>
        <v>4081.3184339476502</v>
      </c>
      <c r="I72" s="276">
        <f t="shared" si="10"/>
        <v>5910.5741575270658</v>
      </c>
      <c r="J72" s="276">
        <f t="shared" si="10"/>
        <v>6498.1983709245105</v>
      </c>
      <c r="K72" s="44"/>
    </row>
    <row r="73" spans="1:20" ht="15.75">
      <c r="A73" s="70"/>
      <c r="F73" s="280"/>
      <c r="G73" s="280"/>
      <c r="H73" s="280"/>
      <c r="I73" s="280"/>
      <c r="J73" s="280"/>
    </row>
    <row r="74" spans="1:20" ht="15.75">
      <c r="A74" s="789"/>
      <c r="B74" s="789"/>
      <c r="C74" s="789"/>
      <c r="D74" s="789"/>
      <c r="E74" s="44"/>
      <c r="F74" s="281"/>
      <c r="G74" s="281"/>
      <c r="H74" s="281"/>
      <c r="I74" s="281"/>
      <c r="J74" s="281"/>
    </row>
    <row r="75" spans="1:20" ht="15" customHeight="1" thickBot="1"/>
    <row r="76" spans="1:20" ht="15.75" customHeight="1">
      <c r="A76" s="628" t="s">
        <v>85</v>
      </c>
      <c r="B76" s="629"/>
      <c r="C76" s="629"/>
      <c r="D76" s="629"/>
      <c r="E76" s="629"/>
      <c r="F76" s="629"/>
      <c r="G76" s="629"/>
      <c r="H76" s="629"/>
      <c r="I76" s="629"/>
      <c r="J76" s="630"/>
    </row>
    <row r="77" spans="1:20" ht="15.75" thickBot="1">
      <c r="A77" s="631"/>
      <c r="B77" s="632"/>
      <c r="C77" s="632"/>
      <c r="D77" s="632"/>
      <c r="E77" s="632"/>
      <c r="F77" s="632"/>
      <c r="G77" s="632"/>
      <c r="H77" s="632"/>
      <c r="I77" s="632"/>
      <c r="J77" s="633"/>
    </row>
    <row r="78" spans="1:20">
      <c r="N78" t="s">
        <v>600</v>
      </c>
    </row>
    <row r="79" spans="1:20">
      <c r="J79" s="514">
        <f>J54</f>
        <v>2027</v>
      </c>
      <c r="N79" t="s">
        <v>601</v>
      </c>
    </row>
    <row r="80" spans="1:20">
      <c r="E80" s="56" t="s">
        <v>89</v>
      </c>
      <c r="F80" s="799" t="s">
        <v>86</v>
      </c>
      <c r="G80" s="800"/>
      <c r="H80" s="800"/>
      <c r="I80" s="800"/>
      <c r="J80" s="192">
        <f>J72</f>
        <v>6498.1983709245105</v>
      </c>
      <c r="N80" t="s">
        <v>602</v>
      </c>
    </row>
    <row r="81" spans="1:14">
      <c r="E81" s="56" t="s">
        <v>94</v>
      </c>
      <c r="F81" s="799" t="s">
        <v>87</v>
      </c>
      <c r="G81" s="800"/>
      <c r="H81" s="800"/>
      <c r="I81" s="800"/>
      <c r="J81" s="193">
        <f>J48</f>
        <v>0.10884465961778891</v>
      </c>
      <c r="N81" t="s">
        <v>603</v>
      </c>
    </row>
    <row r="82" spans="1:14" ht="15.75" thickBot="1">
      <c r="E82" s="57" t="s">
        <v>88</v>
      </c>
      <c r="F82" s="58" t="s">
        <v>95</v>
      </c>
      <c r="G82" s="59"/>
      <c r="H82" s="201">
        <f>Proyecciones!O26</f>
        <v>3.5000000000000003E-2</v>
      </c>
      <c r="I82" s="202">
        <f>Proyecciones!O25</f>
        <v>4.4999999999999998E-2</v>
      </c>
      <c r="J82" s="194">
        <f>(1+H82)*(1+I82)-1</f>
        <v>8.1574999999999953E-2</v>
      </c>
      <c r="K82" s="1" t="s">
        <v>561</v>
      </c>
      <c r="N82" t="s">
        <v>604</v>
      </c>
    </row>
    <row r="83" spans="1:14" ht="15.75" thickBot="1">
      <c r="A83" s="783" t="s">
        <v>267</v>
      </c>
      <c r="B83" s="784"/>
      <c r="C83" s="785"/>
      <c r="N83"/>
    </row>
    <row r="84" spans="1:14" ht="20.25" thickBot="1">
      <c r="A84" s="813" t="s">
        <v>266</v>
      </c>
      <c r="B84" s="814"/>
      <c r="C84" s="815"/>
      <c r="E84" s="60" t="s">
        <v>96</v>
      </c>
      <c r="F84" s="732" t="s">
        <v>90</v>
      </c>
      <c r="G84" s="733"/>
      <c r="H84" s="733"/>
      <c r="I84" s="734"/>
      <c r="J84" s="55"/>
    </row>
    <row r="85" spans="1:14">
      <c r="F85" s="809" t="s">
        <v>91</v>
      </c>
      <c r="G85" s="809"/>
      <c r="H85" s="809"/>
      <c r="I85" s="809"/>
      <c r="J85" s="195">
        <f>+J80</f>
        <v>6498.1983709245105</v>
      </c>
      <c r="K85" s="793" t="s">
        <v>99</v>
      </c>
      <c r="L85" s="794"/>
    </row>
    <row r="86" spans="1:14">
      <c r="F86" s="810" t="s">
        <v>93</v>
      </c>
      <c r="G86" s="811"/>
      <c r="H86" s="811"/>
      <c r="I86" s="812"/>
      <c r="J86" s="196">
        <f>+J81</f>
        <v>0.10884465961778891</v>
      </c>
      <c r="K86" s="795"/>
      <c r="L86" s="796"/>
    </row>
    <row r="87" spans="1:14" ht="15.75" thickBot="1">
      <c r="F87" s="808" t="s">
        <v>239</v>
      </c>
      <c r="G87" s="808"/>
      <c r="H87" s="808"/>
      <c r="I87" s="808"/>
      <c r="J87" s="197">
        <f>J85/J86</f>
        <v>59701.581995323584</v>
      </c>
      <c r="K87" s="797"/>
      <c r="L87" s="798"/>
    </row>
    <row r="88" spans="1:14" ht="15.75" thickBot="1"/>
    <row r="89" spans="1:14" ht="20.25" thickBot="1">
      <c r="E89" s="61" t="s">
        <v>97</v>
      </c>
      <c r="F89" s="732" t="s">
        <v>92</v>
      </c>
      <c r="G89" s="733"/>
      <c r="H89" s="733"/>
      <c r="I89" s="734"/>
      <c r="J89" s="55"/>
    </row>
    <row r="90" spans="1:14" ht="15" customHeight="1">
      <c r="E90" s="55"/>
      <c r="F90" s="754" t="s">
        <v>91</v>
      </c>
      <c r="G90" s="755"/>
      <c r="H90" s="755"/>
      <c r="I90" s="756"/>
      <c r="J90" s="198">
        <f>J80</f>
        <v>6498.1983709245105</v>
      </c>
      <c r="K90" s="801" t="s">
        <v>100</v>
      </c>
      <c r="L90" s="802"/>
    </row>
    <row r="91" spans="1:14" ht="15" customHeight="1">
      <c r="E91" s="55"/>
      <c r="F91" s="757" t="s">
        <v>93</v>
      </c>
      <c r="G91" s="758"/>
      <c r="H91" s="758"/>
      <c r="I91" s="759"/>
      <c r="J91" s="199">
        <f>J81</f>
        <v>0.10884465961778891</v>
      </c>
      <c r="K91" s="803"/>
      <c r="L91" s="804"/>
    </row>
    <row r="92" spans="1:14" ht="15.75" customHeight="1">
      <c r="E92" s="55"/>
      <c r="F92" s="757" t="s">
        <v>98</v>
      </c>
      <c r="G92" s="758"/>
      <c r="H92" s="758"/>
      <c r="I92" s="759"/>
      <c r="J92" s="199">
        <f>J82</f>
        <v>8.1574999999999953E-2</v>
      </c>
      <c r="K92" s="803"/>
      <c r="L92" s="804"/>
    </row>
    <row r="93" spans="1:14" ht="15.75" thickBot="1">
      <c r="F93" s="710" t="s">
        <v>148</v>
      </c>
      <c r="G93" s="710"/>
      <c r="H93" s="710"/>
      <c r="I93" s="710"/>
      <c r="J93" s="200">
        <f>J90*(1+J92)/(J91-J92)</f>
        <v>257732.91641850476</v>
      </c>
      <c r="K93" s="805"/>
      <c r="L93" s="806"/>
    </row>
    <row r="95" spans="1:14" ht="15.75" thickBot="1"/>
    <row r="96" spans="1:14">
      <c r="A96" s="753" t="s">
        <v>108</v>
      </c>
      <c r="B96" s="753"/>
      <c r="C96" s="753"/>
      <c r="D96" s="753"/>
      <c r="E96" s="753"/>
      <c r="F96" s="214">
        <f>F54</f>
        <v>2023</v>
      </c>
      <c r="G96" s="214">
        <f>G54</f>
        <v>2024</v>
      </c>
      <c r="H96" s="214">
        <f>H54</f>
        <v>2025</v>
      </c>
      <c r="I96" s="214">
        <f>I54</f>
        <v>2026</v>
      </c>
      <c r="J96" s="215">
        <f>J54</f>
        <v>2027</v>
      </c>
      <c r="K96" s="698" t="s">
        <v>142</v>
      </c>
    </row>
    <row r="97" spans="1:12">
      <c r="A97" s="703" t="s">
        <v>101</v>
      </c>
      <c r="B97" s="703"/>
      <c r="C97" s="703"/>
      <c r="D97" s="703"/>
      <c r="E97" s="703"/>
      <c r="F97" s="16">
        <f t="shared" ref="F97:J97" si="11">F48</f>
        <v>0.10693452310031459</v>
      </c>
      <c r="G97" s="16">
        <f t="shared" si="11"/>
        <v>0.10729350467320373</v>
      </c>
      <c r="H97" s="16">
        <f t="shared" si="11"/>
        <v>0.10795828536373955</v>
      </c>
      <c r="I97" s="16">
        <f t="shared" si="11"/>
        <v>0.10873386283603347</v>
      </c>
      <c r="J97" s="17">
        <f t="shared" si="11"/>
        <v>0.10884465961778891</v>
      </c>
      <c r="K97" s="699"/>
    </row>
    <row r="98" spans="1:12">
      <c r="A98" s="707" t="s">
        <v>102</v>
      </c>
      <c r="B98" s="707"/>
      <c r="C98" s="707"/>
      <c r="D98" s="707"/>
      <c r="E98" s="707"/>
      <c r="F98" s="138">
        <f>F97</f>
        <v>0.10693452310031459</v>
      </c>
      <c r="G98" s="138">
        <f t="shared" ref="G98:J98" si="12">(1+F98)*(1+G97)-1</f>
        <v>0.22570140752750856</v>
      </c>
      <c r="H98" s="138">
        <f t="shared" si="12"/>
        <v>0.35802602985210052</v>
      </c>
      <c r="I98" s="138">
        <f t="shared" si="12"/>
        <v>0.50568944590980203</v>
      </c>
      <c r="J98" s="211">
        <f t="shared" si="12"/>
        <v>0.66957570113995168</v>
      </c>
      <c r="K98" s="699"/>
    </row>
    <row r="99" spans="1:12">
      <c r="A99" s="133"/>
      <c r="B99" s="137"/>
      <c r="C99" s="137"/>
      <c r="D99" s="137"/>
      <c r="E99" s="137"/>
      <c r="F99" s="137"/>
      <c r="G99" s="137"/>
      <c r="H99" s="137"/>
      <c r="I99" s="137"/>
      <c r="J99" s="137"/>
      <c r="K99" s="699"/>
    </row>
    <row r="100" spans="1:12" ht="15.75" thickBot="1">
      <c r="A100" s="751" t="s">
        <v>103</v>
      </c>
      <c r="B100" s="751"/>
      <c r="C100" s="751"/>
      <c r="D100" s="751"/>
      <c r="E100" s="751"/>
      <c r="F100" s="139">
        <f t="shared" ref="F100:J100" si="13">F72</f>
        <v>3472.2362596176754</v>
      </c>
      <c r="G100" s="139">
        <f t="shared" si="13"/>
        <v>2206.5807914059551</v>
      </c>
      <c r="H100" s="139">
        <f t="shared" si="13"/>
        <v>4081.3184339476502</v>
      </c>
      <c r="I100" s="139">
        <f t="shared" si="13"/>
        <v>5910.5741575270658</v>
      </c>
      <c r="J100" s="136">
        <f t="shared" si="13"/>
        <v>6498.1983709245105</v>
      </c>
      <c r="K100" s="699"/>
    </row>
    <row r="101" spans="1:12" ht="15.75" thickBot="1">
      <c r="A101" s="707" t="s">
        <v>104</v>
      </c>
      <c r="B101" s="707"/>
      <c r="C101" s="707"/>
      <c r="D101" s="707"/>
      <c r="E101" s="707"/>
      <c r="F101" s="128"/>
      <c r="G101" s="129"/>
      <c r="H101" s="129"/>
      <c r="I101" s="130"/>
      <c r="J101" s="134">
        <f>IF(A84="Anualidad Perpetua",J87,J93)</f>
        <v>257732.91641850476</v>
      </c>
      <c r="K101" s="699"/>
      <c r="L101" s="286" t="str">
        <f>A84</f>
        <v>Crecimiento Constante</v>
      </c>
    </row>
    <row r="102" spans="1:12">
      <c r="A102" s="133"/>
      <c r="B102" s="137"/>
      <c r="C102" s="137"/>
      <c r="D102" s="137"/>
      <c r="E102" s="137"/>
      <c r="F102" s="137"/>
      <c r="G102" s="137"/>
      <c r="H102" s="137"/>
      <c r="I102" s="137"/>
      <c r="J102" s="137"/>
      <c r="K102" s="699"/>
    </row>
    <row r="103" spans="1:12">
      <c r="A103" s="751" t="s">
        <v>105</v>
      </c>
      <c r="B103" s="751"/>
      <c r="C103" s="751"/>
      <c r="D103" s="751"/>
      <c r="E103" s="751"/>
      <c r="F103" s="135">
        <f t="shared" ref="F103:J103" si="14">F100/(1+F98)</f>
        <v>3136.8036565456441</v>
      </c>
      <c r="G103" s="135">
        <f t="shared" si="14"/>
        <v>1800.2596536599249</v>
      </c>
      <c r="H103" s="135">
        <f t="shared" si="14"/>
        <v>3005.3315210696933</v>
      </c>
      <c r="I103" s="135">
        <f t="shared" si="14"/>
        <v>3925.4935163310811</v>
      </c>
      <c r="J103" s="136">
        <f t="shared" si="14"/>
        <v>3892.1256259825027</v>
      </c>
      <c r="K103" s="699"/>
    </row>
    <row r="104" spans="1:12">
      <c r="A104" s="707" t="s">
        <v>104</v>
      </c>
      <c r="B104" s="707"/>
      <c r="C104" s="707"/>
      <c r="D104" s="707"/>
      <c r="E104" s="760"/>
      <c r="F104" s="128"/>
      <c r="G104" s="129"/>
      <c r="H104" s="129"/>
      <c r="I104" s="130"/>
      <c r="J104" s="131">
        <f>J101/(1+J98)</f>
        <v>154370.30872126977</v>
      </c>
      <c r="K104" s="699"/>
    </row>
    <row r="105" spans="1:12">
      <c r="A105" s="128"/>
      <c r="B105" s="129"/>
      <c r="C105" s="129"/>
      <c r="D105" s="129"/>
      <c r="E105" s="129"/>
      <c r="F105" s="132"/>
      <c r="G105" s="132"/>
      <c r="H105" s="132"/>
      <c r="I105" s="132"/>
      <c r="J105" s="129"/>
      <c r="K105" s="699"/>
    </row>
    <row r="106" spans="1:12">
      <c r="A106" s="751" t="s">
        <v>149</v>
      </c>
      <c r="B106" s="751"/>
      <c r="C106" s="751"/>
      <c r="D106" s="751"/>
      <c r="E106" s="751"/>
      <c r="F106" s="62">
        <f>SUM(F103:J103)</f>
        <v>15760.013973588844</v>
      </c>
      <c r="K106" s="699"/>
    </row>
    <row r="107" spans="1:12">
      <c r="A107" s="703" t="s">
        <v>106</v>
      </c>
      <c r="B107" s="703"/>
      <c r="C107" s="703"/>
      <c r="D107" s="703"/>
      <c r="E107" s="703"/>
      <c r="F107" s="62">
        <f>J104</f>
        <v>154370.30872126977</v>
      </c>
      <c r="K107" s="699"/>
    </row>
    <row r="108" spans="1:12" ht="15.75">
      <c r="A108" s="752" t="s">
        <v>250</v>
      </c>
      <c r="B108" s="752"/>
      <c r="C108" s="752"/>
      <c r="D108" s="752"/>
      <c r="E108" s="752"/>
      <c r="F108" s="213">
        <f>F106+F107</f>
        <v>170130.32269485862</v>
      </c>
      <c r="K108" s="699"/>
    </row>
    <row r="109" spans="1:12">
      <c r="K109" s="699"/>
    </row>
    <row r="110" spans="1:12">
      <c r="A110" s="703" t="s">
        <v>109</v>
      </c>
      <c r="B110" s="703"/>
      <c r="C110" s="703"/>
      <c r="D110" s="703"/>
      <c r="E110" s="703"/>
      <c r="F110" s="63">
        <f>F108</f>
        <v>170130.32269485862</v>
      </c>
      <c r="K110" s="699"/>
    </row>
    <row r="111" spans="1:12">
      <c r="A111" s="711" t="s">
        <v>110</v>
      </c>
      <c r="B111" s="711"/>
      <c r="C111" s="711"/>
      <c r="D111" s="711"/>
      <c r="E111" s="711"/>
      <c r="F111" s="62">
        <f>Proyecciones!J52-Proyecciones!J50</f>
        <v>460380.71</v>
      </c>
      <c r="K111" s="699"/>
    </row>
    <row r="112" spans="1:12">
      <c r="A112" s="711" t="s">
        <v>246</v>
      </c>
      <c r="B112" s="711"/>
      <c r="C112" s="711"/>
      <c r="D112" s="711"/>
      <c r="E112" s="711"/>
      <c r="F112" s="62">
        <f>Proyecciones!J42</f>
        <v>705883.73600000003</v>
      </c>
      <c r="K112" s="699"/>
    </row>
    <row r="113" spans="1:11">
      <c r="A113" s="711" t="s">
        <v>132</v>
      </c>
      <c r="B113" s="711"/>
      <c r="C113" s="711"/>
      <c r="D113" s="711"/>
      <c r="E113" s="711"/>
      <c r="F113" s="62">
        <f>Proyecciones!J50+Proyecciones!J54</f>
        <v>200555.511</v>
      </c>
      <c r="K113" s="699"/>
    </row>
    <row r="114" spans="1:11" ht="15.75">
      <c r="A114" s="712" t="s">
        <v>111</v>
      </c>
      <c r="B114" s="712"/>
      <c r="C114" s="712"/>
      <c r="D114" s="712"/>
      <c r="E114" s="712"/>
      <c r="F114" s="213">
        <f>F110-F111+F112-F113</f>
        <v>215077.83769485861</v>
      </c>
      <c r="G114" s="65"/>
      <c r="K114" s="699"/>
    </row>
    <row r="115" spans="1:11">
      <c r="F115" s="64"/>
      <c r="K115" s="699"/>
    </row>
    <row r="116" spans="1:11">
      <c r="A116" s="703" t="s">
        <v>112</v>
      </c>
      <c r="B116" s="703"/>
      <c r="C116" s="703"/>
      <c r="D116" s="703"/>
      <c r="E116" s="703"/>
      <c r="F116" s="62">
        <f>Proyecciones!J59</f>
        <v>475630.01199999993</v>
      </c>
      <c r="K116" s="699"/>
    </row>
    <row r="117" spans="1:11">
      <c r="K117" s="699"/>
    </row>
    <row r="118" spans="1:11">
      <c r="A118" s="703" t="s">
        <v>115</v>
      </c>
      <c r="B118" s="703"/>
      <c r="C118" s="703"/>
      <c r="D118" s="703"/>
      <c r="E118" s="703"/>
      <c r="F118" s="352">
        <v>45000000</v>
      </c>
      <c r="G118" s="116" t="s">
        <v>117</v>
      </c>
      <c r="K118" s="699"/>
    </row>
    <row r="119" spans="1:11">
      <c r="A119" s="703" t="s">
        <v>114</v>
      </c>
      <c r="B119" s="703"/>
      <c r="C119" s="703"/>
      <c r="D119" s="703"/>
      <c r="E119" s="703"/>
      <c r="F119" s="66">
        <f>F116/F118</f>
        <v>1.056955582222222E-2</v>
      </c>
      <c r="K119" s="699"/>
    </row>
    <row r="120" spans="1:11">
      <c r="A120" s="703" t="s">
        <v>116</v>
      </c>
      <c r="B120" s="703"/>
      <c r="C120" s="703"/>
      <c r="D120" s="703"/>
      <c r="E120" s="703"/>
      <c r="F120" s="66">
        <f>F114/F118</f>
        <v>4.779507504330191E-3</v>
      </c>
      <c r="K120" s="699"/>
    </row>
    <row r="121" spans="1:11" ht="16.5" thickBot="1">
      <c r="A121" s="713" t="s">
        <v>113</v>
      </c>
      <c r="B121" s="713"/>
      <c r="C121" s="713"/>
      <c r="D121" s="713"/>
      <c r="E121" s="713"/>
      <c r="F121" s="115">
        <f>F120/F119</f>
        <v>0.45219568208168209</v>
      </c>
      <c r="G121" s="1" t="s">
        <v>325</v>
      </c>
      <c r="K121" s="700"/>
    </row>
    <row r="122" spans="1:11">
      <c r="G122" s="1" t="s">
        <v>326</v>
      </c>
    </row>
    <row r="124" spans="1:11" ht="15.75" thickBot="1"/>
    <row r="125" spans="1:11" ht="15" customHeight="1">
      <c r="A125" s="628" t="s">
        <v>119</v>
      </c>
      <c r="B125" s="629"/>
      <c r="C125" s="629"/>
      <c r="D125" s="629"/>
      <c r="E125" s="629"/>
      <c r="F125" s="629"/>
      <c r="G125" s="629"/>
      <c r="H125" s="629"/>
      <c r="I125" s="629"/>
      <c r="J125" s="630"/>
    </row>
    <row r="126" spans="1:11" ht="15.75" customHeight="1" thickBot="1">
      <c r="A126" s="631"/>
      <c r="B126" s="632"/>
      <c r="C126" s="632"/>
      <c r="D126" s="632"/>
      <c r="E126" s="632"/>
      <c r="F126" s="632"/>
      <c r="G126" s="632"/>
      <c r="H126" s="632"/>
      <c r="I126" s="632"/>
      <c r="J126" s="633"/>
    </row>
    <row r="127" spans="1:11" ht="15.75" thickBot="1"/>
    <row r="128" spans="1:11" ht="15" customHeight="1">
      <c r="A128" s="708" t="s">
        <v>120</v>
      </c>
      <c r="B128" s="708"/>
      <c r="C128" s="708"/>
      <c r="D128" s="708"/>
      <c r="E128" s="709"/>
      <c r="F128" s="254">
        <f>F96</f>
        <v>2023</v>
      </c>
      <c r="G128" s="254">
        <f t="shared" ref="G128:J128" si="15">G96</f>
        <v>2024</v>
      </c>
      <c r="H128" s="254">
        <f t="shared" si="15"/>
        <v>2025</v>
      </c>
      <c r="I128" s="254">
        <f t="shared" si="15"/>
        <v>2026</v>
      </c>
      <c r="J128" s="254">
        <f t="shared" si="15"/>
        <v>2027</v>
      </c>
      <c r="K128" s="790" t="s">
        <v>118</v>
      </c>
    </row>
    <row r="129" spans="1:12">
      <c r="A129" s="703" t="s">
        <v>121</v>
      </c>
      <c r="B129" s="703"/>
      <c r="C129" s="703"/>
      <c r="D129" s="703"/>
      <c r="E129" s="807"/>
      <c r="F129" s="8">
        <f>Proyecciones!K47</f>
        <v>1736504.8388399999</v>
      </c>
      <c r="G129" s="8">
        <f>Proyecciones!L47</f>
        <v>1788599.9840052</v>
      </c>
      <c r="H129" s="8">
        <f>Proyecciones!M47</f>
        <v>1842257.983525356</v>
      </c>
      <c r="I129" s="8">
        <f>Proyecciones!N47</f>
        <v>1897525.7230311169</v>
      </c>
      <c r="J129" s="8">
        <f>Proyecciones!O47</f>
        <v>1954451.4947220504</v>
      </c>
      <c r="K129" s="791"/>
    </row>
    <row r="130" spans="1:12">
      <c r="A130" s="703" t="s">
        <v>122</v>
      </c>
      <c r="B130" s="703"/>
      <c r="C130" s="703"/>
      <c r="D130" s="703"/>
      <c r="E130" s="807"/>
      <c r="F130" s="5">
        <f>Proyecciones!K56</f>
        <v>1246605.9264799999</v>
      </c>
      <c r="G130" s="5">
        <f>Proyecciones!L56</f>
        <v>1284004.1042744</v>
      </c>
      <c r="H130" s="5">
        <f>Proyecciones!M56</f>
        <v>1322524.2274026321</v>
      </c>
      <c r="I130" s="5">
        <f>Proyecciones!N56</f>
        <v>1362199.9542247111</v>
      </c>
      <c r="J130" s="5">
        <f>Proyecciones!O56</f>
        <v>1403065.9528514524</v>
      </c>
      <c r="K130" s="791"/>
    </row>
    <row r="131" spans="1:12">
      <c r="A131" s="703" t="s">
        <v>127</v>
      </c>
      <c r="B131" s="703"/>
      <c r="C131" s="703"/>
      <c r="D131" s="703"/>
      <c r="E131" s="807"/>
      <c r="F131" s="6">
        <f>F129-F130</f>
        <v>489898.91235999996</v>
      </c>
      <c r="G131" s="6">
        <f t="shared" ref="G131:J131" si="16">G129-G130</f>
        <v>504595.87973079993</v>
      </c>
      <c r="H131" s="6">
        <f t="shared" si="16"/>
        <v>519733.75612272392</v>
      </c>
      <c r="I131" s="6">
        <f t="shared" si="16"/>
        <v>535325.76880640583</v>
      </c>
      <c r="J131" s="6">
        <f t="shared" si="16"/>
        <v>551385.54187059798</v>
      </c>
      <c r="K131" s="791"/>
    </row>
    <row r="132" spans="1:12">
      <c r="A132" s="703" t="s">
        <v>123</v>
      </c>
      <c r="B132" s="703"/>
      <c r="C132" s="703"/>
      <c r="D132" s="703"/>
      <c r="E132" s="807"/>
      <c r="F132" s="13">
        <f>F131/$F$118</f>
        <v>1.0886642496888888E-2</v>
      </c>
      <c r="G132" s="13">
        <f t="shared" ref="G132:J132" si="17">G131/$F$118</f>
        <v>1.1213241771795553E-2</v>
      </c>
      <c r="H132" s="13">
        <f t="shared" si="17"/>
        <v>1.154963902494942E-2</v>
      </c>
      <c r="I132" s="13">
        <f t="shared" si="17"/>
        <v>1.1896128195697908E-2</v>
      </c>
      <c r="J132" s="13">
        <f t="shared" si="17"/>
        <v>1.2253012041568844E-2</v>
      </c>
      <c r="K132" s="791"/>
    </row>
    <row r="133" spans="1:12" ht="15.75">
      <c r="A133" s="704" t="s">
        <v>113</v>
      </c>
      <c r="B133" s="705"/>
      <c r="C133" s="705"/>
      <c r="D133" s="705"/>
      <c r="E133" s="705"/>
      <c r="F133" s="115">
        <f>F132/$F$119</f>
        <v>1.03</v>
      </c>
      <c r="G133" s="115">
        <f t="shared" ref="G133:J133" si="18">G132/$F$119</f>
        <v>1.0609</v>
      </c>
      <c r="H133" s="115">
        <f t="shared" si="18"/>
        <v>1.092727</v>
      </c>
      <c r="I133" s="115">
        <f t="shared" si="18"/>
        <v>1.1255088100000006</v>
      </c>
      <c r="J133" s="115">
        <f t="shared" si="18"/>
        <v>1.1592740743000005</v>
      </c>
      <c r="K133" s="791"/>
    </row>
    <row r="134" spans="1:12" ht="9" customHeight="1">
      <c r="K134" s="791"/>
    </row>
    <row r="135" spans="1:12" ht="9" customHeight="1">
      <c r="K135" s="791"/>
    </row>
    <row r="136" spans="1:12" ht="7.5" customHeight="1">
      <c r="K136" s="791"/>
    </row>
    <row r="137" spans="1:12" ht="10.5" customHeight="1">
      <c r="K137" s="791"/>
    </row>
    <row r="138" spans="1:12" ht="15.75">
      <c r="A138" s="708" t="s">
        <v>125</v>
      </c>
      <c r="B138" s="708"/>
      <c r="C138" s="708"/>
      <c r="D138" s="708"/>
      <c r="E138" s="708"/>
      <c r="F138" s="254">
        <f t="shared" ref="F138:J138" si="19">F128</f>
        <v>2023</v>
      </c>
      <c r="G138" s="254">
        <f t="shared" si="19"/>
        <v>2024</v>
      </c>
      <c r="H138" s="254">
        <f t="shared" si="19"/>
        <v>2025</v>
      </c>
      <c r="I138" s="254">
        <f t="shared" si="19"/>
        <v>2026</v>
      </c>
      <c r="J138" s="254">
        <f t="shared" si="19"/>
        <v>2027</v>
      </c>
      <c r="K138" s="791"/>
    </row>
    <row r="139" spans="1:12">
      <c r="A139" s="703" t="s">
        <v>126</v>
      </c>
      <c r="B139" s="703"/>
      <c r="C139" s="703"/>
      <c r="D139" s="703"/>
      <c r="E139" s="703"/>
      <c r="F139" s="8">
        <f>Proyecciones!K47</f>
        <v>1736504.8388399999</v>
      </c>
      <c r="G139" s="8">
        <f>Proyecciones!L47</f>
        <v>1788599.9840052</v>
      </c>
      <c r="H139" s="8">
        <f>Proyecciones!M47</f>
        <v>1842257.983525356</v>
      </c>
      <c r="I139" s="8">
        <f>Proyecciones!N47</f>
        <v>1897525.7230311169</v>
      </c>
      <c r="J139" s="8">
        <f>Proyecciones!O47</f>
        <v>1954451.4947220504</v>
      </c>
      <c r="K139" s="791"/>
    </row>
    <row r="140" spans="1:12">
      <c r="A140" s="703" t="s">
        <v>128</v>
      </c>
      <c r="B140" s="703"/>
      <c r="C140" s="703"/>
      <c r="D140" s="703"/>
      <c r="E140" s="703"/>
      <c r="F140" s="5">
        <f>Proyecciones!K50+Proyecciones!K54+Proyecciones!K51</f>
        <v>648081.76903000008</v>
      </c>
      <c r="G140" s="5">
        <f>Proyecciones!L50+Proyecciones!L54+Proyecciones!L51</f>
        <v>667524.22210090002</v>
      </c>
      <c r="H140" s="5">
        <f>Proyecciones!M50+Proyecciones!M54+Proyecciones!M51</f>
        <v>687549.9487639271</v>
      </c>
      <c r="I140" s="5">
        <f>Proyecciones!N50+Proyecciones!N54+Proyecciones!N51</f>
        <v>708176.44722684496</v>
      </c>
      <c r="J140" s="5">
        <f>Proyecciones!O50+Proyecciones!O54+Proyecciones!O51</f>
        <v>729421.74064365029</v>
      </c>
      <c r="K140" s="791"/>
      <c r="L140" s="1" t="s">
        <v>327</v>
      </c>
    </row>
    <row r="141" spans="1:12">
      <c r="A141" s="703" t="s">
        <v>129</v>
      </c>
      <c r="B141" s="703"/>
      <c r="C141" s="703"/>
      <c r="D141" s="703"/>
      <c r="E141" s="703"/>
      <c r="F141" s="6">
        <f>F139-F140</f>
        <v>1088423.0698099998</v>
      </c>
      <c r="G141" s="6">
        <f t="shared" ref="G141:J141" si="20">G139-G140</f>
        <v>1121075.7619043</v>
      </c>
      <c r="H141" s="6">
        <f t="shared" si="20"/>
        <v>1154708.0347614288</v>
      </c>
      <c r="I141" s="6">
        <f t="shared" si="20"/>
        <v>1189349.2758042719</v>
      </c>
      <c r="J141" s="6">
        <f t="shared" si="20"/>
        <v>1225029.7540784001</v>
      </c>
      <c r="K141" s="791"/>
    </row>
    <row r="142" spans="1:12">
      <c r="A142" s="703" t="s">
        <v>124</v>
      </c>
      <c r="B142" s="703"/>
      <c r="C142" s="703"/>
      <c r="D142" s="703"/>
      <c r="E142" s="703"/>
      <c r="F142" s="13">
        <f>F141/$F$118</f>
        <v>2.4187179329111106E-2</v>
      </c>
      <c r="G142" s="13">
        <f t="shared" ref="G142:J142" si="21">G141/$F$118</f>
        <v>2.4912794708984443E-2</v>
      </c>
      <c r="H142" s="13">
        <f t="shared" si="21"/>
        <v>2.5660178550253973E-2</v>
      </c>
      <c r="I142" s="13">
        <f t="shared" si="21"/>
        <v>2.6429983906761597E-2</v>
      </c>
      <c r="J142" s="13">
        <f t="shared" si="21"/>
        <v>2.7222883423964447E-2</v>
      </c>
      <c r="K142" s="791"/>
    </row>
    <row r="143" spans="1:12" ht="16.5" thickBot="1">
      <c r="A143" s="704" t="s">
        <v>113</v>
      </c>
      <c r="B143" s="705"/>
      <c r="C143" s="705"/>
      <c r="D143" s="705"/>
      <c r="E143" s="706"/>
      <c r="F143" s="115">
        <f>F142/$F$119</f>
        <v>2.2883818143292438</v>
      </c>
      <c r="G143" s="115">
        <f t="shared" ref="G143:J143" si="22">G142/$F$119</f>
        <v>2.3570332687591211</v>
      </c>
      <c r="H143" s="115">
        <f t="shared" si="22"/>
        <v>2.4277442668218949</v>
      </c>
      <c r="I143" s="115">
        <f t="shared" si="22"/>
        <v>2.5005765948265521</v>
      </c>
      <c r="J143" s="115">
        <f t="shared" si="22"/>
        <v>2.5755938926713489</v>
      </c>
      <c r="K143" s="792"/>
    </row>
    <row r="144" spans="1:12" ht="9" customHeight="1"/>
    <row r="148" spans="1:14" ht="14.25" customHeight="1"/>
    <row r="149" spans="1:14" ht="9.75" customHeight="1"/>
    <row r="150" spans="1:14" ht="11.25" customHeight="1"/>
    <row r="152" spans="1:14" ht="14.25" customHeight="1"/>
    <row r="153" spans="1:14" ht="14.25" customHeight="1"/>
    <row r="154" spans="1:14" ht="14.25" customHeight="1"/>
    <row r="155" spans="1:14" ht="14.25" customHeight="1"/>
    <row r="156" spans="1:14" ht="13.5" customHeight="1"/>
    <row r="157" spans="1:14" ht="13.5" customHeight="1"/>
    <row r="158" spans="1:14" ht="13.5" customHeight="1"/>
    <row r="159" spans="1:14" ht="15.75" thickBot="1"/>
    <row r="160" spans="1:14" ht="15" customHeight="1" thickBot="1">
      <c r="A160" s="628" t="s">
        <v>133</v>
      </c>
      <c r="B160" s="629"/>
      <c r="C160" s="629"/>
      <c r="D160" s="629"/>
      <c r="E160" s="629"/>
      <c r="F160" s="629"/>
      <c r="G160" s="629"/>
      <c r="H160" s="629"/>
      <c r="I160" s="629"/>
      <c r="J160" s="630"/>
      <c r="K160" s="48"/>
      <c r="M160" s="530" t="s">
        <v>187</v>
      </c>
      <c r="N160" s="531" t="s">
        <v>188</v>
      </c>
    </row>
    <row r="161" spans="1:17" ht="27.75" thickBot="1">
      <c r="A161" s="631"/>
      <c r="B161" s="632"/>
      <c r="C161" s="632"/>
      <c r="D161" s="632"/>
      <c r="E161" s="632"/>
      <c r="F161" s="632"/>
      <c r="G161" s="632"/>
      <c r="H161" s="632"/>
      <c r="I161" s="632"/>
      <c r="J161" s="633"/>
      <c r="K161" s="48"/>
      <c r="M161" s="209" t="s">
        <v>186</v>
      </c>
      <c r="N161" s="210">
        <f>MAX(F163:F165)</f>
        <v>1225029.7540784001</v>
      </c>
    </row>
    <row r="162" spans="1:17" ht="40.15" customHeight="1" thickBot="1">
      <c r="A162" s="701" t="s">
        <v>136</v>
      </c>
      <c r="B162" s="702"/>
      <c r="C162" s="702"/>
      <c r="D162" s="702"/>
      <c r="E162" s="702"/>
      <c r="F162" s="527" t="s">
        <v>135</v>
      </c>
      <c r="G162" s="527" t="s">
        <v>137</v>
      </c>
      <c r="H162" s="528" t="s">
        <v>113</v>
      </c>
      <c r="I162" s="527" t="s">
        <v>138</v>
      </c>
      <c r="J162" s="529" t="s">
        <v>139</v>
      </c>
      <c r="M162" s="205" t="s">
        <v>184</v>
      </c>
      <c r="N162" s="206">
        <f>(N161+N163)/2</f>
        <v>720053.79588662938</v>
      </c>
      <c r="Q162" s="203" t="s">
        <v>136</v>
      </c>
    </row>
    <row r="163" spans="1:17" ht="15" customHeight="1" thickBot="1">
      <c r="A163" s="521" t="s">
        <v>141</v>
      </c>
      <c r="B163" s="522"/>
      <c r="C163" s="522"/>
      <c r="D163" s="522"/>
      <c r="E163" s="523"/>
      <c r="F163" s="255">
        <f>J131</f>
        <v>551385.54187059798</v>
      </c>
      <c r="G163" s="118">
        <f>Proyecciones!J59</f>
        <v>475630.01199999993</v>
      </c>
      <c r="H163" s="119">
        <f>F163/G163</f>
        <v>1.1592740743000003</v>
      </c>
      <c r="I163" s="119">
        <v>2.59</v>
      </c>
      <c r="J163" s="120">
        <f>+H163-I163</f>
        <v>-1.4307259256999996</v>
      </c>
      <c r="M163" s="207" t="s">
        <v>185</v>
      </c>
      <c r="N163" s="208">
        <f>MIN(F163:F165)</f>
        <v>215077.83769485861</v>
      </c>
    </row>
    <row r="164" spans="1:17" ht="15" customHeight="1" thickBot="1">
      <c r="A164" s="524" t="s">
        <v>140</v>
      </c>
      <c r="B164" s="525"/>
      <c r="C164" s="525"/>
      <c r="D164" s="525"/>
      <c r="E164" s="526"/>
      <c r="F164" s="121">
        <f>J141</f>
        <v>1225029.7540784001</v>
      </c>
      <c r="G164" s="8">
        <f>G163</f>
        <v>475630.01199999993</v>
      </c>
      <c r="H164" s="69">
        <f>F164/G164</f>
        <v>2.5755938926713489</v>
      </c>
      <c r="I164" s="69">
        <f>+I163</f>
        <v>2.59</v>
      </c>
      <c r="J164" s="122">
        <f>+H164-I164</f>
        <v>-1.4406107328650997E-2</v>
      </c>
      <c r="L164" s="237">
        <f>N162</f>
        <v>720053.79588662938</v>
      </c>
      <c r="M164" s="238"/>
      <c r="N164" s="117">
        <f>L166/F119</f>
        <v>1.5138947873765156</v>
      </c>
    </row>
    <row r="165" spans="1:17" ht="15" customHeight="1" thickBot="1">
      <c r="A165" s="521" t="s">
        <v>134</v>
      </c>
      <c r="B165" s="522"/>
      <c r="C165" s="522"/>
      <c r="D165" s="522"/>
      <c r="E165" s="523"/>
      <c r="F165" s="123">
        <f>F114</f>
        <v>215077.83769485861</v>
      </c>
      <c r="G165" s="124">
        <f>G164</f>
        <v>475630.01199999993</v>
      </c>
      <c r="H165" s="125">
        <f t="shared" ref="H165" si="23">F165/G165</f>
        <v>0.45219568208168209</v>
      </c>
      <c r="I165" s="125">
        <f>+I164</f>
        <v>2.59</v>
      </c>
      <c r="J165" s="235">
        <f>+H165-I165</f>
        <v>-2.1378043179183179</v>
      </c>
      <c r="L165" s="250"/>
      <c r="M165" s="239"/>
      <c r="N165" s="204" t="s">
        <v>151</v>
      </c>
    </row>
    <row r="166" spans="1:17" ht="15.75" customHeight="1">
      <c r="F166" s="64"/>
      <c r="L166" s="282">
        <f>+L164/F118</f>
        <v>1.6001195464147321E-2</v>
      </c>
      <c r="M166" s="249"/>
      <c r="N166" s="696" t="s">
        <v>248</v>
      </c>
    </row>
    <row r="167" spans="1:17" ht="15.75" customHeight="1" thickBot="1">
      <c r="H167" s="64"/>
      <c r="L167" s="250"/>
      <c r="M167" s="251"/>
      <c r="N167" s="697"/>
    </row>
    <row r="168" spans="1:17" ht="15.75" thickBot="1">
      <c r="J168" s="71"/>
      <c r="M168" s="67"/>
    </row>
    <row r="169" spans="1:17" ht="15" customHeight="1">
      <c r="A169" s="628" t="s">
        <v>249</v>
      </c>
      <c r="B169" s="629"/>
      <c r="C169" s="629"/>
      <c r="D169" s="629"/>
      <c r="E169" s="629"/>
      <c r="F169" s="629"/>
      <c r="G169" s="629"/>
      <c r="H169" s="629"/>
      <c r="I169" s="629"/>
      <c r="J169" s="629"/>
      <c r="K169" s="630"/>
    </row>
    <row r="170" spans="1:17" ht="15.75" customHeight="1" thickBot="1">
      <c r="A170" s="631"/>
      <c r="B170" s="632"/>
      <c r="C170" s="632"/>
      <c r="D170" s="632"/>
      <c r="E170" s="632"/>
      <c r="F170" s="632"/>
      <c r="G170" s="632"/>
      <c r="H170" s="632"/>
      <c r="I170" s="632"/>
      <c r="J170" s="632"/>
      <c r="K170" s="633"/>
      <c r="L170" s="346">
        <f>+L166*1000000</f>
        <v>16001.19546414732</v>
      </c>
    </row>
    <row r="173" spans="1:17" ht="30">
      <c r="A173" s="714" t="s">
        <v>252</v>
      </c>
      <c r="B173" s="714"/>
      <c r="C173" s="714"/>
      <c r="D173" s="714"/>
      <c r="E173" s="714"/>
      <c r="F173" s="554" t="s">
        <v>188</v>
      </c>
      <c r="G173" s="554" t="s">
        <v>257</v>
      </c>
      <c r="H173" s="554" t="s">
        <v>253</v>
      </c>
      <c r="I173" s="554" t="s">
        <v>261</v>
      </c>
      <c r="J173" s="554" t="s">
        <v>262</v>
      </c>
      <c r="K173" s="554" t="s">
        <v>253</v>
      </c>
    </row>
    <row r="174" spans="1:17">
      <c r="A174" s="695" t="s">
        <v>268</v>
      </c>
      <c r="B174" s="695"/>
      <c r="C174" s="695"/>
      <c r="D174" s="695"/>
      <c r="E174" s="695"/>
      <c r="F174" s="69">
        <f>L164/Proyecciones!J105</f>
        <v>4.7712993902034482</v>
      </c>
      <c r="G174" s="246">
        <v>12.62</v>
      </c>
      <c r="H174" s="246">
        <f>+F174-G174</f>
        <v>-7.848700609796551</v>
      </c>
      <c r="I174" s="248">
        <f>Proyecciones!J105*G174</f>
        <v>1904529.1776800009</v>
      </c>
      <c r="J174" s="248">
        <f>Proyecciones!J105</f>
        <v>150913.56400000007</v>
      </c>
      <c r="K174" s="248">
        <f>+J174-I174</f>
        <v>-1753615.6136800009</v>
      </c>
    </row>
    <row r="175" spans="1:17">
      <c r="A175" s="695" t="s">
        <v>269</v>
      </c>
      <c r="B175" s="695"/>
      <c r="C175" s="695"/>
      <c r="D175" s="695"/>
      <c r="E175" s="695"/>
      <c r="F175" s="69">
        <f>L164/Proyecciones!J67</f>
        <v>0.11827268742814144</v>
      </c>
      <c r="G175" s="246">
        <v>2.23</v>
      </c>
      <c r="H175" s="246">
        <f t="shared" ref="H175:H176" si="24">+F175-G175</f>
        <v>-2.1117273125718588</v>
      </c>
      <c r="I175" s="248">
        <f>Proyecciones!J67*'Valoración Sin Estrategia'!G175</f>
        <v>13576422.416230001</v>
      </c>
      <c r="J175" s="248">
        <f>Proyecciones!J67</f>
        <v>6088081.801</v>
      </c>
      <c r="K175" s="248">
        <f t="shared" ref="K175:K176" si="25">+J175-I175</f>
        <v>-7488340.6152300006</v>
      </c>
    </row>
    <row r="176" spans="1:17">
      <c r="A176" s="695" t="s">
        <v>270</v>
      </c>
      <c r="B176" s="695"/>
      <c r="C176" s="695"/>
      <c r="D176" s="695"/>
      <c r="E176" s="695"/>
      <c r="F176" s="69">
        <f>L164/'Valoración Sin Estrategia'!F116</f>
        <v>1.5138947873765154</v>
      </c>
      <c r="G176" s="246">
        <v>2.59</v>
      </c>
      <c r="H176" s="246">
        <f t="shared" si="24"/>
        <v>-1.0761052126234845</v>
      </c>
      <c r="I176" s="252">
        <f>Proyecciones!J59*'Valoración Sin Estrategia'!G176</f>
        <v>1231881.7310799998</v>
      </c>
      <c r="J176" s="252">
        <f>'Valoración Sin Estrategia'!F116</f>
        <v>475630.01199999993</v>
      </c>
      <c r="K176" s="248">
        <f t="shared" si="25"/>
        <v>-756251.71907999995</v>
      </c>
      <c r="M176" t="s">
        <v>605</v>
      </c>
    </row>
    <row r="177" spans="1:13">
      <c r="A177" s="247" t="s">
        <v>254</v>
      </c>
      <c r="G177" s="236"/>
      <c r="J177" s="1" t="s">
        <v>328</v>
      </c>
      <c r="M177" t="s">
        <v>606</v>
      </c>
    </row>
    <row r="178" spans="1:13">
      <c r="E178" s="1">
        <v>1</v>
      </c>
      <c r="F178" s="1" t="s">
        <v>330</v>
      </c>
      <c r="J178" s="1" t="s">
        <v>329</v>
      </c>
      <c r="M178" t="s">
        <v>607</v>
      </c>
    </row>
    <row r="179" spans="1:13">
      <c r="E179" s="1">
        <v>2</v>
      </c>
      <c r="F179" s="1" t="s">
        <v>331</v>
      </c>
      <c r="M179" t="s">
        <v>608</v>
      </c>
    </row>
    <row r="180" spans="1:13">
      <c r="M180" t="s">
        <v>609</v>
      </c>
    </row>
    <row r="181" spans="1:13">
      <c r="M181" t="s">
        <v>610</v>
      </c>
    </row>
    <row r="182" spans="1:13">
      <c r="M182" t="s">
        <v>611</v>
      </c>
    </row>
    <row r="183" spans="1:13">
      <c r="M183" t="s">
        <v>612</v>
      </c>
    </row>
    <row r="184" spans="1:13">
      <c r="M184" t="s">
        <v>613</v>
      </c>
    </row>
    <row r="185" spans="1:13">
      <c r="F185" s="1" t="s">
        <v>332</v>
      </c>
      <c r="G185" s="334" t="s">
        <v>334</v>
      </c>
      <c r="I185" s="335" t="s">
        <v>338</v>
      </c>
      <c r="J185" s="334" t="s">
        <v>339</v>
      </c>
    </row>
    <row r="186" spans="1:13">
      <c r="F186" s="334" t="s">
        <v>333</v>
      </c>
      <c r="G186" s="334" t="s">
        <v>335</v>
      </c>
      <c r="J186" s="1" t="s">
        <v>190</v>
      </c>
    </row>
    <row r="187" spans="1:13">
      <c r="F187" s="1" t="s">
        <v>336</v>
      </c>
      <c r="G187" s="334" t="s">
        <v>337</v>
      </c>
    </row>
  </sheetData>
  <mergeCells count="116">
    <mergeCell ref="A83:C83"/>
    <mergeCell ref="N59:Q59"/>
    <mergeCell ref="N47:Q47"/>
    <mergeCell ref="A174:E174"/>
    <mergeCell ref="A175:E175"/>
    <mergeCell ref="A74:D74"/>
    <mergeCell ref="K128:K143"/>
    <mergeCell ref="K85:L87"/>
    <mergeCell ref="F80:I80"/>
    <mergeCell ref="F81:I81"/>
    <mergeCell ref="K90:L93"/>
    <mergeCell ref="A97:E97"/>
    <mergeCell ref="A98:E98"/>
    <mergeCell ref="A133:E133"/>
    <mergeCell ref="A129:E129"/>
    <mergeCell ref="A130:E130"/>
    <mergeCell ref="A131:E131"/>
    <mergeCell ref="A116:E116"/>
    <mergeCell ref="A132:E132"/>
    <mergeCell ref="F87:I87"/>
    <mergeCell ref="F85:I85"/>
    <mergeCell ref="F86:I86"/>
    <mergeCell ref="A84:C84"/>
    <mergeCell ref="A138:E138"/>
    <mergeCell ref="A1:Q2"/>
    <mergeCell ref="A3:Q3"/>
    <mergeCell ref="A4:Q4"/>
    <mergeCell ref="A5:Q5"/>
    <mergeCell ref="A6:Q6"/>
    <mergeCell ref="I8:N8"/>
    <mergeCell ref="A27:E27"/>
    <mergeCell ref="A20:E20"/>
    <mergeCell ref="A21:E21"/>
    <mergeCell ref="A22:E22"/>
    <mergeCell ref="A24:E24"/>
    <mergeCell ref="A25:E25"/>
    <mergeCell ref="G10:G15"/>
    <mergeCell ref="G17:G18"/>
    <mergeCell ref="G20:G25"/>
    <mergeCell ref="A18:F18"/>
    <mergeCell ref="A17:E17"/>
    <mergeCell ref="A10:E10"/>
    <mergeCell ref="A9:E9"/>
    <mergeCell ref="A11:E11"/>
    <mergeCell ref="A12:E12"/>
    <mergeCell ref="A7:F7"/>
    <mergeCell ref="A8:F8"/>
    <mergeCell ref="A14:E14"/>
    <mergeCell ref="A100:E100"/>
    <mergeCell ref="A108:E108"/>
    <mergeCell ref="A103:E103"/>
    <mergeCell ref="F84:I84"/>
    <mergeCell ref="A96:E96"/>
    <mergeCell ref="F90:I90"/>
    <mergeCell ref="F91:I91"/>
    <mergeCell ref="F92:I92"/>
    <mergeCell ref="A106:E106"/>
    <mergeCell ref="A104:E104"/>
    <mergeCell ref="A120:E120"/>
    <mergeCell ref="F89:I89"/>
    <mergeCell ref="B70:E70"/>
    <mergeCell ref="B72:E72"/>
    <mergeCell ref="A30:E30"/>
    <mergeCell ref="A33:E33"/>
    <mergeCell ref="A34:E34"/>
    <mergeCell ref="A35:E35"/>
    <mergeCell ref="A37:E37"/>
    <mergeCell ref="A40:E40"/>
    <mergeCell ref="B63:E63"/>
    <mergeCell ref="A41:E41"/>
    <mergeCell ref="B69:E69"/>
    <mergeCell ref="A48:E48"/>
    <mergeCell ref="A51:J52"/>
    <mergeCell ref="B61:E61"/>
    <mergeCell ref="A118:E118"/>
    <mergeCell ref="B64:E64"/>
    <mergeCell ref="B65:E65"/>
    <mergeCell ref="B56:E56"/>
    <mergeCell ref="B57:E57"/>
    <mergeCell ref="B58:E58"/>
    <mergeCell ref="B68:E68"/>
    <mergeCell ref="A107:E107"/>
    <mergeCell ref="A15:E15"/>
    <mergeCell ref="A42:E42"/>
    <mergeCell ref="A44:E44"/>
    <mergeCell ref="A46:E46"/>
    <mergeCell ref="B66:E66"/>
    <mergeCell ref="A47:E47"/>
    <mergeCell ref="B54:E54"/>
    <mergeCell ref="B60:E60"/>
    <mergeCell ref="B55:E55"/>
    <mergeCell ref="D50:E50"/>
    <mergeCell ref="A160:J161"/>
    <mergeCell ref="A176:E176"/>
    <mergeCell ref="N166:N167"/>
    <mergeCell ref="A169:K170"/>
    <mergeCell ref="A76:J77"/>
    <mergeCell ref="K96:K121"/>
    <mergeCell ref="A162:E162"/>
    <mergeCell ref="A142:E142"/>
    <mergeCell ref="A143:E143"/>
    <mergeCell ref="A101:E101"/>
    <mergeCell ref="A140:E140"/>
    <mergeCell ref="A141:E141"/>
    <mergeCell ref="A128:E128"/>
    <mergeCell ref="F93:I93"/>
    <mergeCell ref="A110:E110"/>
    <mergeCell ref="A111:E111"/>
    <mergeCell ref="A112:E112"/>
    <mergeCell ref="A113:E113"/>
    <mergeCell ref="A114:E114"/>
    <mergeCell ref="A119:E119"/>
    <mergeCell ref="A121:E121"/>
    <mergeCell ref="A139:E139"/>
    <mergeCell ref="A125:J126"/>
    <mergeCell ref="A173:E173"/>
  </mergeCells>
  <dataValidations disablePrompts="1" count="1">
    <dataValidation type="list" allowBlank="1" showInputMessage="1" showErrorMessage="1" sqref="A84" xr:uid="{C79FE628-0DBA-46CE-B125-51EB176E0B4F}">
      <formula1>"Anualidad Perpetua,Crecimiento Constante"</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4B998-04AD-467F-B938-8544DA82668B}">
  <sheetPr>
    <tabColor theme="5" tint="-0.249977111117893"/>
  </sheetPr>
  <dimension ref="A1:Q90"/>
  <sheetViews>
    <sheetView topLeftCell="A73" zoomScale="85" zoomScaleNormal="85" workbookViewId="0">
      <selection activeCell="H90" sqref="H90"/>
    </sheetView>
  </sheetViews>
  <sheetFormatPr baseColWidth="10" defaultColWidth="11.42578125" defaultRowHeight="15"/>
  <cols>
    <col min="1" max="1" width="20.7109375" style="1" bestFit="1" customWidth="1"/>
    <col min="2" max="2" width="15.5703125" style="1" bestFit="1" customWidth="1"/>
    <col min="3" max="3" width="11.140625" style="1" customWidth="1"/>
    <col min="4" max="4" width="7.7109375" style="1" customWidth="1"/>
    <col min="5" max="5" width="19.85546875" style="1" bestFit="1" customWidth="1"/>
    <col min="6" max="6" width="20.42578125" style="1" bestFit="1" customWidth="1"/>
    <col min="7" max="7" width="21" style="1" customWidth="1"/>
    <col min="8" max="8" width="22.28515625" style="1" customWidth="1"/>
    <col min="9" max="9" width="18.5703125" style="1" customWidth="1"/>
    <col min="10" max="10" width="15.28515625" style="1" customWidth="1"/>
    <col min="11" max="11" width="14.140625" style="1" bestFit="1" customWidth="1"/>
    <col min="12" max="14" width="11.42578125" style="1"/>
    <col min="15" max="15" width="15.5703125" style="1" bestFit="1" customWidth="1"/>
    <col min="16" max="16384" width="11.42578125" style="1"/>
  </cols>
  <sheetData>
    <row r="1" spans="1:17">
      <c r="A1" s="832" t="s">
        <v>143</v>
      </c>
      <c r="B1" s="833"/>
      <c r="C1" s="833"/>
      <c r="D1" s="833"/>
      <c r="E1" s="833"/>
      <c r="F1" s="833"/>
      <c r="G1" s="833"/>
      <c r="H1" s="833"/>
      <c r="I1" s="833"/>
      <c r="J1" s="833"/>
      <c r="K1" s="833"/>
      <c r="L1" s="833"/>
      <c r="M1" s="833"/>
      <c r="N1" s="833"/>
      <c r="O1" s="833"/>
      <c r="P1" s="833"/>
      <c r="Q1" s="834"/>
    </row>
    <row r="2" spans="1:17" ht="15.75" thickBot="1">
      <c r="A2" s="835"/>
      <c r="B2" s="836"/>
      <c r="C2" s="836"/>
      <c r="D2" s="836"/>
      <c r="E2" s="836"/>
      <c r="F2" s="836"/>
      <c r="G2" s="836"/>
      <c r="H2" s="836"/>
      <c r="I2" s="836"/>
      <c r="J2" s="836"/>
      <c r="K2" s="836"/>
      <c r="L2" s="836"/>
      <c r="M2" s="836"/>
      <c r="N2" s="836"/>
      <c r="O2" s="836"/>
      <c r="P2" s="836"/>
      <c r="Q2" s="837"/>
    </row>
    <row r="3" spans="1:17" ht="23.25">
      <c r="A3" s="838" t="s">
        <v>345</v>
      </c>
      <c r="B3" s="839"/>
      <c r="C3" s="839"/>
      <c r="D3" s="839"/>
      <c r="E3" s="839"/>
      <c r="F3" s="839"/>
      <c r="G3" s="839"/>
      <c r="H3" s="839"/>
      <c r="I3" s="839"/>
      <c r="J3" s="839"/>
      <c r="K3" s="839"/>
      <c r="L3" s="839"/>
      <c r="M3" s="839"/>
      <c r="N3" s="839"/>
      <c r="O3" s="839"/>
      <c r="P3" s="839"/>
      <c r="Q3" s="840"/>
    </row>
    <row r="4" spans="1:17">
      <c r="A4" s="591" t="s">
        <v>35</v>
      </c>
      <c r="B4" s="592"/>
      <c r="C4" s="592"/>
      <c r="D4" s="592"/>
      <c r="E4" s="592"/>
      <c r="F4" s="592"/>
      <c r="G4" s="592"/>
      <c r="H4" s="592"/>
      <c r="I4" s="592"/>
      <c r="J4" s="592"/>
      <c r="K4" s="592"/>
      <c r="L4" s="592"/>
      <c r="M4" s="592"/>
      <c r="N4" s="592"/>
      <c r="O4" s="592"/>
      <c r="P4" s="592"/>
      <c r="Q4" s="637"/>
    </row>
    <row r="5" spans="1:17">
      <c r="A5" s="591" t="s">
        <v>619</v>
      </c>
      <c r="B5" s="592"/>
      <c r="C5" s="592"/>
      <c r="D5" s="592"/>
      <c r="E5" s="592"/>
      <c r="F5" s="592"/>
      <c r="G5" s="592"/>
      <c r="H5" s="592"/>
      <c r="I5" s="592"/>
      <c r="J5" s="592"/>
      <c r="K5" s="592"/>
      <c r="L5" s="592"/>
      <c r="M5" s="592"/>
      <c r="N5" s="592"/>
      <c r="O5" s="592"/>
      <c r="P5" s="592"/>
      <c r="Q5" s="637"/>
    </row>
    <row r="6" spans="1:17" ht="15.75" thickBot="1">
      <c r="A6" s="593" t="s">
        <v>2</v>
      </c>
      <c r="B6" s="594"/>
      <c r="C6" s="594"/>
      <c r="D6" s="594"/>
      <c r="E6" s="594"/>
      <c r="F6" s="594"/>
      <c r="G6" s="594"/>
      <c r="H6" s="594"/>
      <c r="I6" s="594"/>
      <c r="J6" s="594"/>
      <c r="K6" s="594"/>
      <c r="L6" s="594"/>
      <c r="M6" s="594"/>
      <c r="N6" s="594"/>
      <c r="O6" s="594"/>
      <c r="P6" s="594"/>
      <c r="Q6" s="681"/>
    </row>
    <row r="7" spans="1:17" ht="15" customHeight="1">
      <c r="A7" s="841" t="s">
        <v>144</v>
      </c>
      <c r="B7" s="842"/>
      <c r="C7" s="842"/>
      <c r="D7" s="842"/>
      <c r="E7" s="842"/>
      <c r="F7" s="842"/>
      <c r="G7" s="842"/>
      <c r="H7" s="842"/>
      <c r="I7" s="842"/>
      <c r="J7" s="842"/>
      <c r="K7" s="842"/>
      <c r="L7" s="842"/>
      <c r="M7" s="842"/>
      <c r="N7" s="842"/>
      <c r="O7" s="842"/>
      <c r="P7" s="842"/>
      <c r="Q7" s="843"/>
    </row>
    <row r="8" spans="1:17" ht="15.75" customHeight="1" thickBot="1">
      <c r="A8" s="844"/>
      <c r="B8" s="845"/>
      <c r="C8" s="845"/>
      <c r="D8" s="845"/>
      <c r="E8" s="845"/>
      <c r="F8" s="845"/>
      <c r="G8" s="845"/>
      <c r="H8" s="845"/>
      <c r="I8" s="845"/>
      <c r="J8" s="845"/>
      <c r="K8" s="845"/>
      <c r="L8" s="845"/>
      <c r="M8" s="845"/>
      <c r="N8" s="845"/>
      <c r="O8" s="845"/>
      <c r="P8" s="845"/>
      <c r="Q8" s="846"/>
    </row>
    <row r="10" spans="1:17">
      <c r="A10" s="436" t="s">
        <v>563</v>
      </c>
    </row>
    <row r="11" spans="1:17">
      <c r="E11" s="517">
        <v>2023</v>
      </c>
      <c r="F11" s="517">
        <v>2024</v>
      </c>
      <c r="G11" s="517">
        <v>2025</v>
      </c>
      <c r="H11" s="517">
        <v>2026</v>
      </c>
      <c r="I11" s="517">
        <v>2027</v>
      </c>
    </row>
    <row r="12" spans="1:17">
      <c r="A12" s="820" t="s">
        <v>564</v>
      </c>
      <c r="B12" s="820"/>
      <c r="C12" s="820"/>
      <c r="D12" s="820"/>
      <c r="E12" s="568">
        <v>4.0000000000000001E-3</v>
      </c>
      <c r="F12" s="568">
        <v>6.0000000000000001E-3</v>
      </c>
      <c r="G12" s="568">
        <v>8.0000000000000002E-3</v>
      </c>
      <c r="H12" s="568">
        <v>7.0000000000000001E-3</v>
      </c>
      <c r="I12" s="568">
        <v>5.0000000000000001E-3</v>
      </c>
      <c r="J12" s="567" t="s">
        <v>632</v>
      </c>
    </row>
    <row r="13" spans="1:17" customFormat="1">
      <c r="A13" s="440"/>
      <c r="B13" s="440"/>
      <c r="C13" s="440"/>
      <c r="D13" s="440"/>
      <c r="E13" s="75"/>
      <c r="F13" s="75"/>
      <c r="G13" s="75"/>
      <c r="H13" s="75"/>
      <c r="I13" s="75"/>
      <c r="J13" s="1"/>
      <c r="K13" s="1"/>
      <c r="L13" s="1"/>
    </row>
    <row r="14" spans="1:17">
      <c r="A14" s="820" t="s">
        <v>622</v>
      </c>
      <c r="B14" s="820"/>
      <c r="C14" s="820"/>
      <c r="D14" s="820"/>
      <c r="E14" s="435">
        <v>0</v>
      </c>
      <c r="F14" s="435">
        <v>4.0000000000000001E-3</v>
      </c>
      <c r="G14" s="435">
        <v>7.0000000000000001E-3</v>
      </c>
      <c r="H14" s="435">
        <v>8.9999999999999993E-3</v>
      </c>
      <c r="I14" s="435">
        <v>0.01</v>
      </c>
      <c r="J14" s="346"/>
    </row>
    <row r="15" spans="1:17">
      <c r="A15" s="825" t="s">
        <v>614</v>
      </c>
      <c r="B15" s="825"/>
      <c r="C15" s="825"/>
      <c r="D15" s="825"/>
      <c r="E15" s="441">
        <v>0</v>
      </c>
      <c r="F15" s="519">
        <v>5000000</v>
      </c>
      <c r="G15" s="562">
        <f>+F15*(1+G14)</f>
        <v>5034999.9999999991</v>
      </c>
      <c r="H15" s="562">
        <f t="shared" ref="H15:I15" si="0">+G15*(1+H14)</f>
        <v>5080314.9999999981</v>
      </c>
      <c r="I15" s="562">
        <f t="shared" si="0"/>
        <v>5131118.1499999985</v>
      </c>
      <c r="J15" s="518"/>
      <c r="K15" s="346"/>
    </row>
    <row r="16" spans="1:17">
      <c r="A16" s="825" t="s">
        <v>616</v>
      </c>
      <c r="B16" s="825"/>
      <c r="C16" s="825"/>
      <c r="D16" s="825"/>
      <c r="E16" s="441">
        <v>0</v>
      </c>
      <c r="F16" s="441">
        <v>12923</v>
      </c>
      <c r="G16" s="563">
        <v>15323</v>
      </c>
      <c r="H16" s="563">
        <v>17723</v>
      </c>
      <c r="I16" s="563">
        <v>20123</v>
      </c>
      <c r="K16" s="346"/>
    </row>
    <row r="17" spans="1:12" s="70" customFormat="1">
      <c r="A17" s="817" t="s">
        <v>630</v>
      </c>
      <c r="B17" s="818"/>
      <c r="C17" s="818"/>
      <c r="D17" s="819"/>
      <c r="E17" s="565"/>
      <c r="F17" s="565">
        <f>(F15*F16)/1000000</f>
        <v>64615</v>
      </c>
      <c r="G17" s="565">
        <f t="shared" ref="G17:I17" si="1">(G15*G16)/1000000</f>
        <v>77151.304999999978</v>
      </c>
      <c r="H17" s="565">
        <f t="shared" si="1"/>
        <v>90038.422744999974</v>
      </c>
      <c r="I17" s="565">
        <f t="shared" si="1"/>
        <v>103253.49053244997</v>
      </c>
      <c r="K17" s="566"/>
    </row>
    <row r="18" spans="1:12">
      <c r="A18" s="825" t="s">
        <v>617</v>
      </c>
      <c r="B18" s="825"/>
      <c r="C18" s="825"/>
      <c r="D18" s="825"/>
      <c r="E18" s="569">
        <v>0</v>
      </c>
      <c r="F18" s="569">
        <v>8000</v>
      </c>
      <c r="G18" s="570">
        <f>(200*12)+F18</f>
        <v>10400</v>
      </c>
      <c r="H18" s="570">
        <f t="shared" ref="H18:I18" si="2">(200*12)+G18</f>
        <v>12800</v>
      </c>
      <c r="I18" s="570">
        <f t="shared" si="2"/>
        <v>15200</v>
      </c>
    </row>
    <row r="19" spans="1:12" s="70" customFormat="1">
      <c r="A19" s="816" t="s">
        <v>631</v>
      </c>
      <c r="B19" s="816"/>
      <c r="C19" s="816"/>
      <c r="D19" s="816"/>
      <c r="E19" s="565">
        <v>0</v>
      </c>
      <c r="F19" s="565">
        <f>(F15*F18)/1000000</f>
        <v>40000</v>
      </c>
      <c r="G19" s="565">
        <f>(G15*G18)/1000000</f>
        <v>52363.999999999993</v>
      </c>
      <c r="H19" s="565">
        <f t="shared" ref="H19:I19" si="3">(H15*H18)/1000000</f>
        <v>65028.031999999977</v>
      </c>
      <c r="I19" s="565">
        <f t="shared" si="3"/>
        <v>77992.995879999988</v>
      </c>
    </row>
    <row r="20" spans="1:12" customFormat="1">
      <c r="A20" s="440"/>
      <c r="B20" s="440"/>
      <c r="C20" s="440"/>
      <c r="D20" s="440"/>
      <c r="E20" s="75"/>
      <c r="F20" s="75"/>
      <c r="G20" s="75"/>
      <c r="H20" s="75"/>
      <c r="I20" s="75"/>
      <c r="J20" s="1"/>
      <c r="K20" s="1"/>
      <c r="L20" s="1"/>
    </row>
    <row r="21" spans="1:12" customFormat="1">
      <c r="A21" s="440"/>
      <c r="B21" s="440"/>
      <c r="C21" s="440"/>
      <c r="D21" s="440"/>
      <c r="E21" s="75"/>
      <c r="F21" s="75"/>
      <c r="G21" s="75"/>
      <c r="H21" s="75"/>
      <c r="I21" s="75"/>
      <c r="J21" s="1"/>
      <c r="K21" s="1"/>
      <c r="L21" s="1"/>
    </row>
    <row r="22" spans="1:12">
      <c r="A22" s="820" t="s">
        <v>623</v>
      </c>
      <c r="B22" s="820"/>
      <c r="C22" s="820"/>
      <c r="D22" s="820"/>
      <c r="E22" s="435">
        <v>0</v>
      </c>
      <c r="F22" s="435">
        <v>5.0000000000000001E-3</v>
      </c>
      <c r="G22" s="435">
        <v>0.01</v>
      </c>
      <c r="H22" s="435">
        <v>1.4999999999999999E-2</v>
      </c>
      <c r="I22" s="435">
        <v>0.02</v>
      </c>
    </row>
    <row r="23" spans="1:12" ht="16.5" customHeight="1">
      <c r="A23" s="825" t="s">
        <v>625</v>
      </c>
      <c r="B23" s="825"/>
      <c r="C23" s="825"/>
      <c r="D23" s="825"/>
      <c r="E23" s="441">
        <v>442</v>
      </c>
      <c r="F23" s="562">
        <f>+E23*(1+F22)</f>
        <v>444.21</v>
      </c>
      <c r="G23" s="562">
        <f t="shared" ref="G23:I23" si="4">+F23*(1+G22)</f>
        <v>448.65209999999996</v>
      </c>
      <c r="H23" s="562">
        <f t="shared" si="4"/>
        <v>455.38188149999991</v>
      </c>
      <c r="I23" s="562">
        <f t="shared" si="4"/>
        <v>464.48951912999991</v>
      </c>
    </row>
    <row r="24" spans="1:12" ht="16.5" customHeight="1">
      <c r="A24" s="825" t="s">
        <v>621</v>
      </c>
      <c r="B24" s="825"/>
      <c r="C24" s="825"/>
      <c r="D24" s="825"/>
      <c r="E24" s="441">
        <f>(30*54)*E23</f>
        <v>716040</v>
      </c>
      <c r="F24" s="441">
        <f>(30*54)*F23</f>
        <v>719620.2</v>
      </c>
      <c r="G24" s="441">
        <f t="shared" ref="G24:I24" si="5">(30*54)*G23</f>
        <v>726816.40199999989</v>
      </c>
      <c r="H24" s="441">
        <f t="shared" si="5"/>
        <v>737718.64802999981</v>
      </c>
      <c r="I24" s="441">
        <f t="shared" si="5"/>
        <v>752473.02099059988</v>
      </c>
      <c r="J24" s="520"/>
    </row>
    <row r="25" spans="1:12">
      <c r="A25" s="825" t="s">
        <v>616</v>
      </c>
      <c r="B25" s="825"/>
      <c r="C25" s="825"/>
      <c r="D25" s="825"/>
      <c r="E25" s="441">
        <v>17000</v>
      </c>
      <c r="F25" s="563">
        <f>(200*12)+E25</f>
        <v>19400</v>
      </c>
      <c r="G25" s="563">
        <f t="shared" ref="G25:I25" si="6">(200*12)+F25</f>
        <v>21800</v>
      </c>
      <c r="H25" s="563">
        <f t="shared" si="6"/>
        <v>24200</v>
      </c>
      <c r="I25" s="563">
        <f t="shared" si="6"/>
        <v>26600</v>
      </c>
    </row>
    <row r="26" spans="1:12" s="70" customFormat="1">
      <c r="A26" s="817" t="s">
        <v>633</v>
      </c>
      <c r="B26" s="818"/>
      <c r="C26" s="818"/>
      <c r="D26" s="819"/>
      <c r="E26" s="565">
        <f>((E25*52)*E23)/1000000</f>
        <v>390.72800000000001</v>
      </c>
      <c r="F26" s="565">
        <f>((F25*52)*F23)/1000000</f>
        <v>448.11904800000002</v>
      </c>
      <c r="G26" s="565">
        <f t="shared" ref="G26:I26" si="7">((G25*52)*G23)/1000000</f>
        <v>508.59202055999992</v>
      </c>
      <c r="H26" s="565">
        <f t="shared" si="7"/>
        <v>573.05255967959988</v>
      </c>
      <c r="I26" s="565">
        <f t="shared" si="7"/>
        <v>642.48190286061583</v>
      </c>
    </row>
    <row r="27" spans="1:12">
      <c r="A27" s="825" t="s">
        <v>617</v>
      </c>
      <c r="B27" s="825"/>
      <c r="C27" s="825"/>
      <c r="D27" s="825"/>
      <c r="E27" s="441">
        <v>15000</v>
      </c>
      <c r="F27" s="563">
        <f>(200*12)+E27</f>
        <v>17400</v>
      </c>
      <c r="G27" s="563">
        <f t="shared" ref="G27:I27" si="8">(200*12)+F27</f>
        <v>19800</v>
      </c>
      <c r="H27" s="563">
        <f t="shared" si="8"/>
        <v>22200</v>
      </c>
      <c r="I27" s="563">
        <f t="shared" si="8"/>
        <v>24600</v>
      </c>
    </row>
    <row r="28" spans="1:12" s="70" customFormat="1">
      <c r="A28" s="817" t="s">
        <v>636</v>
      </c>
      <c r="B28" s="818"/>
      <c r="C28" s="818"/>
      <c r="D28" s="819"/>
      <c r="E28" s="565">
        <f>+((E27*52)*E23)/1000000</f>
        <v>344.76</v>
      </c>
      <c r="F28" s="565">
        <f>+((F27*52)*F23)/1000000</f>
        <v>401.92120799999998</v>
      </c>
      <c r="G28" s="565">
        <f t="shared" ref="G28:I28" si="9">+((G27*52)*G23)/1000000</f>
        <v>461.93220215999997</v>
      </c>
      <c r="H28" s="565">
        <f t="shared" si="9"/>
        <v>525.69284400359993</v>
      </c>
      <c r="I28" s="565">
        <f t="shared" si="9"/>
        <v>594.17499287109592</v>
      </c>
    </row>
    <row r="29" spans="1:12">
      <c r="E29" s="346"/>
      <c r="F29" s="25"/>
      <c r="G29" s="25"/>
      <c r="H29" s="25"/>
      <c r="I29" s="25"/>
    </row>
    <row r="30" spans="1:12" ht="15.75" thickBot="1"/>
    <row r="31" spans="1:12" ht="19.5" thickBot="1">
      <c r="A31" s="826" t="s">
        <v>562</v>
      </c>
      <c r="B31" s="827"/>
      <c r="C31" s="827"/>
      <c r="D31" s="828"/>
      <c r="E31" s="517">
        <f>+E11</f>
        <v>2023</v>
      </c>
      <c r="F31" s="517">
        <f>+F11</f>
        <v>2024</v>
      </c>
      <c r="G31" s="517">
        <f>+G11</f>
        <v>2025</v>
      </c>
      <c r="H31" s="517">
        <f>+H11</f>
        <v>2026</v>
      </c>
      <c r="I31" s="517">
        <f>+I11</f>
        <v>2027</v>
      </c>
    </row>
    <row r="32" spans="1:12">
      <c r="A32" s="821" t="s">
        <v>241</v>
      </c>
      <c r="B32" s="821"/>
      <c r="C32" s="821"/>
      <c r="D32" s="821"/>
      <c r="E32" s="16">
        <f>+Proyecciones!K27</f>
        <v>0.03</v>
      </c>
      <c r="F32" s="16">
        <f>+Proyecciones!L27</f>
        <v>0.03</v>
      </c>
      <c r="G32" s="16">
        <f>+Proyecciones!M27</f>
        <v>0.03</v>
      </c>
      <c r="H32" s="16">
        <f>+Proyecciones!N27</f>
        <v>0.03</v>
      </c>
      <c r="I32" s="16">
        <f>+Proyecciones!O27</f>
        <v>0.03</v>
      </c>
    </row>
    <row r="33" spans="1:9">
      <c r="A33" s="829" t="s">
        <v>145</v>
      </c>
      <c r="B33" s="830"/>
      <c r="C33" s="830"/>
      <c r="D33" s="831"/>
      <c r="E33" s="517">
        <f>+E31</f>
        <v>2023</v>
      </c>
      <c r="F33" s="517">
        <f t="shared" ref="F33:I33" si="10">+F31</f>
        <v>2024</v>
      </c>
      <c r="G33" s="517">
        <f t="shared" si="10"/>
        <v>2025</v>
      </c>
      <c r="H33" s="517">
        <f t="shared" si="10"/>
        <v>2026</v>
      </c>
      <c r="I33" s="517">
        <f t="shared" si="10"/>
        <v>2027</v>
      </c>
    </row>
    <row r="34" spans="1:9">
      <c r="A34" s="821" t="s">
        <v>146</v>
      </c>
      <c r="B34" s="821"/>
      <c r="C34" s="821"/>
      <c r="D34" s="821"/>
      <c r="E34" s="434">
        <f>+E12</f>
        <v>4.0000000000000001E-3</v>
      </c>
      <c r="F34" s="434">
        <f>+F12</f>
        <v>6.0000000000000001E-3</v>
      </c>
      <c r="G34" s="434">
        <f>+G12</f>
        <v>8.0000000000000002E-3</v>
      </c>
      <c r="H34" s="434">
        <f>+H12</f>
        <v>7.0000000000000001E-3</v>
      </c>
      <c r="I34" s="434">
        <f>+I12</f>
        <v>5.0000000000000001E-3</v>
      </c>
    </row>
    <row r="35" spans="1:9" ht="15.75">
      <c r="A35" s="821" t="s">
        <v>240</v>
      </c>
      <c r="B35" s="821"/>
      <c r="C35" s="821"/>
      <c r="D35" s="821"/>
      <c r="E35" s="227">
        <f>(1+E32)*(1+E34)-1</f>
        <v>3.4119999999999928E-2</v>
      </c>
      <c r="F35" s="227">
        <f t="shared" ref="F35" si="11">(1+F32)*(1+F34)-1</f>
        <v>3.6180000000000101E-2</v>
      </c>
      <c r="G35" s="227">
        <f>(1+G32)*(1+G34)-1</f>
        <v>3.8240000000000052E-2</v>
      </c>
      <c r="H35" s="227">
        <f t="shared" ref="H35:I35" si="12">(1+H32)*(1+H34)-1</f>
        <v>3.7209999999999965E-2</v>
      </c>
      <c r="I35" s="227">
        <f t="shared" si="12"/>
        <v>3.5150000000000015E-2</v>
      </c>
    </row>
    <row r="36" spans="1:9">
      <c r="A36" s="821" t="s">
        <v>147</v>
      </c>
      <c r="B36" s="821"/>
      <c r="C36" s="821"/>
      <c r="D36" s="821"/>
      <c r="E36" s="6">
        <f>+Proyecciones!J67*(1+'Estrategias Operativas'!E35)</f>
        <v>6295807.1520501198</v>
      </c>
      <c r="F36" s="6">
        <f>E36*(1+F35)</f>
        <v>6523589.4548112936</v>
      </c>
      <c r="G36" s="6">
        <f>F36*(1+G35)</f>
        <v>6773051.5155632775</v>
      </c>
      <c r="H36" s="6">
        <f t="shared" ref="H36:I36" si="13">G36*(1+H35)</f>
        <v>7025076.7624573866</v>
      </c>
      <c r="I36" s="6">
        <f t="shared" si="13"/>
        <v>7272008.2106577642</v>
      </c>
    </row>
    <row r="37" spans="1:9">
      <c r="A37" s="821" t="s">
        <v>630</v>
      </c>
      <c r="B37" s="821"/>
      <c r="C37" s="821"/>
      <c r="D37" s="821"/>
      <c r="E37" s="6">
        <f>+E17</f>
        <v>0</v>
      </c>
      <c r="F37" s="6">
        <f t="shared" ref="F37:I37" si="14">+F17</f>
        <v>64615</v>
      </c>
      <c r="G37" s="6">
        <f t="shared" si="14"/>
        <v>77151.304999999978</v>
      </c>
      <c r="H37" s="6">
        <f t="shared" si="14"/>
        <v>90038.422744999974</v>
      </c>
      <c r="I37" s="6">
        <f t="shared" si="14"/>
        <v>103253.49053244997</v>
      </c>
    </row>
    <row r="38" spans="1:9">
      <c r="A38" s="821" t="s">
        <v>634</v>
      </c>
      <c r="B38" s="821"/>
      <c r="C38" s="821"/>
      <c r="D38" s="821"/>
      <c r="E38" s="6">
        <f>+E26</f>
        <v>390.72800000000001</v>
      </c>
      <c r="F38" s="6">
        <f t="shared" ref="F38:I38" si="15">+F26</f>
        <v>448.11904800000002</v>
      </c>
      <c r="G38" s="6">
        <f t="shared" si="15"/>
        <v>508.59202055999992</v>
      </c>
      <c r="H38" s="6">
        <f t="shared" si="15"/>
        <v>573.05255967959988</v>
      </c>
      <c r="I38" s="6">
        <f t="shared" si="15"/>
        <v>642.48190286061583</v>
      </c>
    </row>
    <row r="39" spans="1:9">
      <c r="A39" s="820" t="s">
        <v>240</v>
      </c>
      <c r="B39" s="820"/>
      <c r="C39" s="820"/>
      <c r="D39" s="820"/>
      <c r="E39" s="448">
        <f>SUM(E36:E38)</f>
        <v>6296197.8800501199</v>
      </c>
      <c r="F39" s="448">
        <f t="shared" ref="F39:I39" si="16">SUM(F36:F38)</f>
        <v>6588652.5738592939</v>
      </c>
      <c r="G39" s="448">
        <f t="shared" si="16"/>
        <v>6850711.4125838373</v>
      </c>
      <c r="H39" s="448">
        <f t="shared" si="16"/>
        <v>7115688.2377620656</v>
      </c>
      <c r="I39" s="448">
        <f t="shared" si="16"/>
        <v>7375904.1830930756</v>
      </c>
    </row>
    <row r="40" spans="1:9">
      <c r="A40" s="822" t="s">
        <v>635</v>
      </c>
      <c r="B40" s="823"/>
      <c r="C40" s="823"/>
      <c r="D40" s="824"/>
      <c r="E40" s="448">
        <f>+E19+E28</f>
        <v>344.76</v>
      </c>
      <c r="F40" s="448">
        <f>+F19+F28</f>
        <v>40401.921208</v>
      </c>
      <c r="G40" s="448">
        <f t="shared" ref="G40:I40" si="17">+G19+G28</f>
        <v>52825.932202159995</v>
      </c>
      <c r="H40" s="448">
        <f t="shared" si="17"/>
        <v>65553.724844003576</v>
      </c>
      <c r="I40" s="448">
        <f t="shared" si="17"/>
        <v>78587.17087287108</v>
      </c>
    </row>
    <row r="41" spans="1:9">
      <c r="E41" s="346"/>
      <c r="F41" s="346"/>
      <c r="G41" s="346"/>
      <c r="H41" s="346"/>
      <c r="I41" s="346"/>
    </row>
    <row r="42" spans="1:9">
      <c r="E42" s="20"/>
      <c r="F42" s="20"/>
      <c r="G42" s="20"/>
      <c r="H42" s="20"/>
      <c r="I42" s="20"/>
    </row>
    <row r="43" spans="1:9">
      <c r="A43" s="856" t="s">
        <v>638</v>
      </c>
      <c r="B43" s="856"/>
      <c r="C43" s="856"/>
      <c r="D43" s="856"/>
      <c r="E43" s="8">
        <f>+E60</f>
        <v>0</v>
      </c>
      <c r="F43" s="8">
        <f>+F60</f>
        <v>4700</v>
      </c>
      <c r="G43" s="8">
        <f>+G60</f>
        <v>0</v>
      </c>
      <c r="H43" s="8">
        <f>+H60</f>
        <v>0</v>
      </c>
      <c r="I43" s="8">
        <f>+I60</f>
        <v>0</v>
      </c>
    </row>
    <row r="44" spans="1:9">
      <c r="A44" s="856" t="s">
        <v>639</v>
      </c>
      <c r="B44" s="856"/>
      <c r="C44" s="856"/>
      <c r="D44" s="856"/>
      <c r="E44" s="8">
        <f>+E70</f>
        <v>3400</v>
      </c>
      <c r="F44" s="8">
        <f>+F70</f>
        <v>3400</v>
      </c>
      <c r="G44" s="8">
        <f>+G70</f>
        <v>3400</v>
      </c>
      <c r="H44" s="8">
        <f>+H70</f>
        <v>3400</v>
      </c>
      <c r="I44" s="8">
        <f>+I70</f>
        <v>3400</v>
      </c>
    </row>
    <row r="45" spans="1:9">
      <c r="A45" s="822" t="s">
        <v>629</v>
      </c>
      <c r="B45" s="823"/>
      <c r="C45" s="823"/>
      <c r="D45" s="824"/>
      <c r="E45" s="448">
        <f>+E60+E70</f>
        <v>3400</v>
      </c>
      <c r="F45" s="448">
        <f>+F60+F70</f>
        <v>8100</v>
      </c>
      <c r="G45" s="448">
        <f>+G60+G70</f>
        <v>3400</v>
      </c>
      <c r="H45" s="448">
        <f>+H60+H70</f>
        <v>3400</v>
      </c>
      <c r="I45" s="448">
        <f>+I60+I70</f>
        <v>3400</v>
      </c>
    </row>
    <row r="47" spans="1:9">
      <c r="A47" s="657" t="s">
        <v>159</v>
      </c>
      <c r="B47" s="860"/>
      <c r="C47" s="860"/>
      <c r="D47" s="861"/>
      <c r="E47" s="575">
        <f>+E45</f>
        <v>3400</v>
      </c>
      <c r="F47" s="575">
        <f t="shared" ref="F47:I47" si="18">+F45</f>
        <v>8100</v>
      </c>
      <c r="G47" s="575">
        <f t="shared" si="18"/>
        <v>3400</v>
      </c>
      <c r="H47" s="575">
        <f t="shared" si="18"/>
        <v>3400</v>
      </c>
      <c r="I47" s="575">
        <f t="shared" si="18"/>
        <v>3400</v>
      </c>
    </row>
    <row r="48" spans="1:9">
      <c r="A48" s="657" t="s">
        <v>152</v>
      </c>
      <c r="B48" s="860"/>
      <c r="C48" s="860"/>
      <c r="D48" s="861"/>
      <c r="E48" s="8">
        <f>-E47</f>
        <v>-3400</v>
      </c>
      <c r="F48" s="8">
        <f t="shared" ref="F48:I48" si="19">-F47</f>
        <v>-8100</v>
      </c>
      <c r="G48" s="8">
        <f t="shared" si="19"/>
        <v>-3400</v>
      </c>
      <c r="H48" s="8">
        <f t="shared" si="19"/>
        <v>-3400</v>
      </c>
      <c r="I48" s="8">
        <f t="shared" si="19"/>
        <v>-3400</v>
      </c>
    </row>
    <row r="49" spans="1:9">
      <c r="F49" s="20"/>
      <c r="G49" s="20"/>
      <c r="H49" s="20"/>
      <c r="I49" s="20"/>
    </row>
    <row r="50" spans="1:9" hidden="1"/>
    <row r="51" spans="1:9" hidden="1"/>
    <row r="52" spans="1:9" ht="15.75" hidden="1" thickBot="1"/>
    <row r="53" spans="1:9" ht="19.5" hidden="1" thickBot="1">
      <c r="A53" s="847" t="s">
        <v>624</v>
      </c>
      <c r="B53" s="848"/>
      <c r="C53" s="848"/>
      <c r="D53" s="849"/>
      <c r="E53" s="571">
        <f>+E31</f>
        <v>2023</v>
      </c>
      <c r="F53" s="571">
        <f>+F31</f>
        <v>2024</v>
      </c>
      <c r="G53" s="571">
        <f>+G31</f>
        <v>2025</v>
      </c>
      <c r="H53" s="571">
        <f>+H31</f>
        <v>2026</v>
      </c>
      <c r="I53" s="571">
        <f>+I31</f>
        <v>2027</v>
      </c>
    </row>
    <row r="54" spans="1:9" hidden="1">
      <c r="A54" s="850" t="s">
        <v>565</v>
      </c>
      <c r="B54" s="851"/>
      <c r="C54" s="851"/>
      <c r="D54" s="852"/>
      <c r="E54" s="572"/>
      <c r="F54" s="572">
        <f>2000000000/1000000</f>
        <v>2000</v>
      </c>
      <c r="G54" s="572"/>
      <c r="H54" s="572"/>
      <c r="I54" s="572"/>
    </row>
    <row r="55" spans="1:9" hidden="1">
      <c r="A55" s="853" t="s">
        <v>566</v>
      </c>
      <c r="B55" s="854"/>
      <c r="C55" s="854"/>
      <c r="D55" s="855"/>
      <c r="E55" s="572"/>
      <c r="F55" s="572">
        <f>30000000/1000000</f>
        <v>30</v>
      </c>
      <c r="G55" s="572"/>
      <c r="H55" s="572"/>
      <c r="I55" s="572"/>
    </row>
    <row r="56" spans="1:9" hidden="1">
      <c r="A56" s="853" t="s">
        <v>567</v>
      </c>
      <c r="B56" s="854"/>
      <c r="C56" s="854"/>
      <c r="D56" s="855"/>
      <c r="E56" s="572"/>
      <c r="F56" s="572">
        <f>50000000/1000000</f>
        <v>50</v>
      </c>
      <c r="G56" s="572"/>
      <c r="H56" s="572"/>
      <c r="I56" s="572"/>
    </row>
    <row r="57" spans="1:9" hidden="1">
      <c r="A57" s="853" t="s">
        <v>568</v>
      </c>
      <c r="B57" s="854"/>
      <c r="C57" s="854"/>
      <c r="D57" s="855"/>
      <c r="E57" s="572"/>
      <c r="F57" s="572">
        <f>2000000000/1000000</f>
        <v>2000</v>
      </c>
      <c r="G57" s="572"/>
      <c r="H57" s="572"/>
      <c r="I57" s="572"/>
    </row>
    <row r="58" spans="1:9" hidden="1">
      <c r="A58" s="853" t="s">
        <v>569</v>
      </c>
      <c r="B58" s="854"/>
      <c r="C58" s="854"/>
      <c r="D58" s="855"/>
      <c r="E58" s="572"/>
      <c r="F58" s="572">
        <f>500000000/1000000</f>
        <v>500</v>
      </c>
      <c r="G58" s="572"/>
      <c r="H58" s="572"/>
      <c r="I58" s="572"/>
    </row>
    <row r="59" spans="1:9" hidden="1">
      <c r="A59" s="853" t="s">
        <v>570</v>
      </c>
      <c r="B59" s="854"/>
      <c r="C59" s="854"/>
      <c r="D59" s="855"/>
      <c r="E59" s="572"/>
      <c r="F59" s="572">
        <f>120000000/1000000</f>
        <v>120</v>
      </c>
      <c r="G59" s="572"/>
      <c r="H59" s="572"/>
      <c r="I59" s="572"/>
    </row>
    <row r="60" spans="1:9" hidden="1">
      <c r="A60" s="857" t="s">
        <v>615</v>
      </c>
      <c r="B60" s="858"/>
      <c r="C60" s="858"/>
      <c r="D60" s="859"/>
      <c r="E60" s="573">
        <f>SUM(E54:E59)</f>
        <v>0</v>
      </c>
      <c r="F60" s="573">
        <f t="shared" ref="F60:I60" si="20">SUM(F54:F59)</f>
        <v>4700</v>
      </c>
      <c r="G60" s="573">
        <f t="shared" si="20"/>
        <v>0</v>
      </c>
      <c r="H60" s="573">
        <f t="shared" si="20"/>
        <v>0</v>
      </c>
      <c r="I60" s="573">
        <f t="shared" si="20"/>
        <v>0</v>
      </c>
    </row>
    <row r="61" spans="1:9" hidden="1">
      <c r="A61" s="440"/>
      <c r="B61" s="440"/>
      <c r="C61" s="440"/>
      <c r="D61" s="440"/>
      <c r="E61" s="439"/>
      <c r="F61" s="439"/>
      <c r="G61" s="439"/>
      <c r="H61" s="439"/>
      <c r="I61" s="439"/>
    </row>
    <row r="62" spans="1:9" ht="15.75" hidden="1" thickBot="1"/>
    <row r="63" spans="1:9" ht="19.5" hidden="1" thickBot="1">
      <c r="A63" s="847" t="s">
        <v>626</v>
      </c>
      <c r="B63" s="848"/>
      <c r="C63" s="848"/>
      <c r="D63" s="849"/>
      <c r="E63" s="571">
        <f>+E53</f>
        <v>2023</v>
      </c>
      <c r="F63" s="571">
        <f t="shared" ref="F63:I63" si="21">+F53</f>
        <v>2024</v>
      </c>
      <c r="G63" s="571">
        <f t="shared" si="21"/>
        <v>2025</v>
      </c>
      <c r="H63" s="571">
        <f t="shared" si="21"/>
        <v>2026</v>
      </c>
      <c r="I63" s="571">
        <f t="shared" si="21"/>
        <v>2027</v>
      </c>
    </row>
    <row r="64" spans="1:9" hidden="1">
      <c r="A64" s="850" t="s">
        <v>565</v>
      </c>
      <c r="B64" s="851"/>
      <c r="C64" s="851"/>
      <c r="D64" s="852"/>
      <c r="E64" s="572">
        <f>1200000000/1000000</f>
        <v>1200</v>
      </c>
      <c r="F64" s="574">
        <f t="shared" ref="F64:I64" si="22">1200000000/1000000</f>
        <v>1200</v>
      </c>
      <c r="G64" s="574">
        <f t="shared" si="22"/>
        <v>1200</v>
      </c>
      <c r="H64" s="574">
        <f t="shared" si="22"/>
        <v>1200</v>
      </c>
      <c r="I64" s="574">
        <f t="shared" si="22"/>
        <v>1200</v>
      </c>
    </row>
    <row r="65" spans="1:9" hidden="1">
      <c r="A65" s="853" t="s">
        <v>566</v>
      </c>
      <c r="B65" s="854"/>
      <c r="C65" s="854"/>
      <c r="D65" s="855"/>
      <c r="E65" s="572">
        <f>30000000/1000000</f>
        <v>30</v>
      </c>
      <c r="F65" s="574">
        <f t="shared" ref="F65:I65" si="23">30000000/1000000</f>
        <v>30</v>
      </c>
      <c r="G65" s="574">
        <f t="shared" si="23"/>
        <v>30</v>
      </c>
      <c r="H65" s="574">
        <f t="shared" si="23"/>
        <v>30</v>
      </c>
      <c r="I65" s="574">
        <f t="shared" si="23"/>
        <v>30</v>
      </c>
    </row>
    <row r="66" spans="1:9" hidden="1">
      <c r="A66" s="853" t="s">
        <v>567</v>
      </c>
      <c r="B66" s="854"/>
      <c r="C66" s="854"/>
      <c r="D66" s="855"/>
      <c r="E66" s="572">
        <f>50000000/1000000</f>
        <v>50</v>
      </c>
      <c r="F66" s="574">
        <f t="shared" ref="F66:I66" si="24">50000000/1000000</f>
        <v>50</v>
      </c>
      <c r="G66" s="574">
        <f t="shared" si="24"/>
        <v>50</v>
      </c>
      <c r="H66" s="574">
        <f t="shared" si="24"/>
        <v>50</v>
      </c>
      <c r="I66" s="574">
        <f t="shared" si="24"/>
        <v>50</v>
      </c>
    </row>
    <row r="67" spans="1:9" hidden="1">
      <c r="A67" s="853" t="s">
        <v>568</v>
      </c>
      <c r="B67" s="854"/>
      <c r="C67" s="854"/>
      <c r="D67" s="855"/>
      <c r="E67" s="572">
        <f>1500000000/1000000</f>
        <v>1500</v>
      </c>
      <c r="F67" s="574">
        <f t="shared" ref="F67:I67" si="25">1500000000/1000000</f>
        <v>1500</v>
      </c>
      <c r="G67" s="574">
        <f t="shared" si="25"/>
        <v>1500</v>
      </c>
      <c r="H67" s="574">
        <f t="shared" si="25"/>
        <v>1500</v>
      </c>
      <c r="I67" s="574">
        <f t="shared" si="25"/>
        <v>1500</v>
      </c>
    </row>
    <row r="68" spans="1:9" hidden="1">
      <c r="A68" s="853" t="s">
        <v>569</v>
      </c>
      <c r="B68" s="854"/>
      <c r="C68" s="854"/>
      <c r="D68" s="855"/>
      <c r="E68" s="572">
        <f>500000000/1000000</f>
        <v>500</v>
      </c>
      <c r="F68" s="574">
        <f t="shared" ref="F68:I68" si="26">500000000/1000000</f>
        <v>500</v>
      </c>
      <c r="G68" s="574">
        <f t="shared" si="26"/>
        <v>500</v>
      </c>
      <c r="H68" s="574">
        <f t="shared" si="26"/>
        <v>500</v>
      </c>
      <c r="I68" s="574">
        <f t="shared" si="26"/>
        <v>500</v>
      </c>
    </row>
    <row r="69" spans="1:9" hidden="1">
      <c r="A69" s="853" t="s">
        <v>570</v>
      </c>
      <c r="B69" s="854"/>
      <c r="C69" s="854"/>
      <c r="D69" s="855"/>
      <c r="E69" s="572">
        <f>120000000/1000000</f>
        <v>120</v>
      </c>
      <c r="F69" s="574">
        <f t="shared" ref="F69:I69" si="27">120000000/1000000</f>
        <v>120</v>
      </c>
      <c r="G69" s="574">
        <f t="shared" si="27"/>
        <v>120</v>
      </c>
      <c r="H69" s="574">
        <f t="shared" si="27"/>
        <v>120</v>
      </c>
      <c r="I69" s="574">
        <f t="shared" si="27"/>
        <v>120</v>
      </c>
    </row>
    <row r="70" spans="1:9" hidden="1">
      <c r="A70" s="857" t="s">
        <v>615</v>
      </c>
      <c r="B70" s="858"/>
      <c r="C70" s="858"/>
      <c r="D70" s="859"/>
      <c r="E70" s="573">
        <f>SUM(E64:E69)</f>
        <v>3400</v>
      </c>
      <c r="F70" s="573">
        <f t="shared" ref="F70:I70" si="28">SUM(F64:F69)</f>
        <v>3400</v>
      </c>
      <c r="G70" s="573">
        <f t="shared" si="28"/>
        <v>3400</v>
      </c>
      <c r="H70" s="573">
        <f t="shared" si="28"/>
        <v>3400</v>
      </c>
      <c r="I70" s="573">
        <f t="shared" si="28"/>
        <v>3400</v>
      </c>
    </row>
    <row r="71" spans="1:9" hidden="1"/>
    <row r="72" spans="1:9" s="576" customFormat="1" hidden="1"/>
    <row r="75" spans="1:9">
      <c r="A75" s="820" t="s">
        <v>641</v>
      </c>
      <c r="B75" s="820"/>
      <c r="C75" s="820"/>
      <c r="D75" s="820"/>
      <c r="E75" s="517">
        <v>2023</v>
      </c>
      <c r="F75" s="517">
        <v>2024</v>
      </c>
      <c r="G75" s="517">
        <v>2025</v>
      </c>
      <c r="H75" s="517">
        <v>2026</v>
      </c>
      <c r="I75" s="517">
        <v>2027</v>
      </c>
    </row>
    <row r="76" spans="1:9">
      <c r="A76" s="817" t="s">
        <v>614</v>
      </c>
      <c r="B76" s="818"/>
      <c r="C76" s="818"/>
      <c r="D76" s="819"/>
      <c r="E76" s="24">
        <f>+E15</f>
        <v>0</v>
      </c>
      <c r="F76" s="24">
        <f>+F15</f>
        <v>5000000</v>
      </c>
      <c r="G76" s="24">
        <f t="shared" ref="G76:I76" si="29">+G15</f>
        <v>5034999.9999999991</v>
      </c>
      <c r="H76" s="24">
        <f t="shared" si="29"/>
        <v>5080314.9999999981</v>
      </c>
      <c r="I76" s="24">
        <f t="shared" si="29"/>
        <v>5131118.1499999985</v>
      </c>
    </row>
    <row r="77" spans="1:9">
      <c r="A77" s="817" t="s">
        <v>630</v>
      </c>
      <c r="B77" s="818"/>
      <c r="C77" s="818"/>
      <c r="D77" s="819"/>
      <c r="E77" s="24">
        <f>+E18</f>
        <v>0</v>
      </c>
      <c r="F77" s="8">
        <f t="shared" ref="F77:I77" si="30">+F17</f>
        <v>64615</v>
      </c>
      <c r="G77" s="8">
        <f t="shared" si="30"/>
        <v>77151.304999999978</v>
      </c>
      <c r="H77" s="8">
        <f t="shared" si="30"/>
        <v>90038.422744999974</v>
      </c>
      <c r="I77" s="8">
        <f t="shared" si="30"/>
        <v>103253.49053244997</v>
      </c>
    </row>
    <row r="78" spans="1:9">
      <c r="A78" s="816" t="s">
        <v>631</v>
      </c>
      <c r="B78" s="816"/>
      <c r="C78" s="816"/>
      <c r="D78" s="816"/>
      <c r="E78" s="24">
        <f>+E19</f>
        <v>0</v>
      </c>
      <c r="F78" s="24">
        <f t="shared" ref="F78:I78" si="31">+F19</f>
        <v>40000</v>
      </c>
      <c r="G78" s="24">
        <f t="shared" si="31"/>
        <v>52363.999999999993</v>
      </c>
      <c r="H78" s="24">
        <f t="shared" si="31"/>
        <v>65028.031999999977</v>
      </c>
      <c r="I78" s="24">
        <f t="shared" si="31"/>
        <v>77992.995879999988</v>
      </c>
    </row>
    <row r="79" spans="1:9">
      <c r="A79" s="816" t="s">
        <v>640</v>
      </c>
      <c r="B79" s="816"/>
      <c r="C79" s="816"/>
      <c r="D79" s="816"/>
      <c r="E79" s="24">
        <f>+E77-E78</f>
        <v>0</v>
      </c>
      <c r="F79" s="24">
        <f t="shared" ref="F79:I79" si="32">+F77-F78</f>
        <v>24615</v>
      </c>
      <c r="G79" s="24">
        <f t="shared" si="32"/>
        <v>24787.304999999986</v>
      </c>
      <c r="H79" s="24">
        <f t="shared" si="32"/>
        <v>25010.390744999997</v>
      </c>
      <c r="I79" s="24">
        <f t="shared" si="32"/>
        <v>25260.494652449983</v>
      </c>
    </row>
    <row r="82" spans="1:9">
      <c r="A82" s="820" t="s">
        <v>642</v>
      </c>
      <c r="B82" s="820"/>
      <c r="C82" s="820"/>
      <c r="D82" s="820"/>
      <c r="E82" s="517">
        <v>2023</v>
      </c>
      <c r="F82" s="517">
        <v>2024</v>
      </c>
      <c r="G82" s="517">
        <v>2025</v>
      </c>
      <c r="H82" s="517">
        <v>2026</v>
      </c>
      <c r="I82" s="517">
        <v>2027</v>
      </c>
    </row>
    <row r="83" spans="1:9">
      <c r="A83" s="817" t="s">
        <v>614</v>
      </c>
      <c r="B83" s="818"/>
      <c r="C83" s="818"/>
      <c r="D83" s="819"/>
      <c r="E83" s="24">
        <f>+E24</f>
        <v>716040</v>
      </c>
      <c r="F83" s="24">
        <f t="shared" ref="F83:I83" si="33">+F24</f>
        <v>719620.2</v>
      </c>
      <c r="G83" s="24">
        <f t="shared" si="33"/>
        <v>726816.40199999989</v>
      </c>
      <c r="H83" s="24">
        <f t="shared" si="33"/>
        <v>737718.64802999981</v>
      </c>
      <c r="I83" s="24">
        <f t="shared" si="33"/>
        <v>752473.02099059988</v>
      </c>
    </row>
    <row r="84" spans="1:9">
      <c r="A84" s="817" t="s">
        <v>633</v>
      </c>
      <c r="B84" s="818"/>
      <c r="C84" s="818"/>
      <c r="D84" s="819"/>
      <c r="E84" s="24">
        <f>+E26</f>
        <v>390.72800000000001</v>
      </c>
      <c r="F84" s="24">
        <f>+F26</f>
        <v>448.11904800000002</v>
      </c>
      <c r="G84" s="24">
        <f>+G26</f>
        <v>508.59202055999992</v>
      </c>
      <c r="H84" s="24">
        <f>+H26</f>
        <v>573.05255967959988</v>
      </c>
      <c r="I84" s="24">
        <f>+I26</f>
        <v>642.48190286061583</v>
      </c>
    </row>
    <row r="85" spans="1:9">
      <c r="A85" s="817" t="s">
        <v>636</v>
      </c>
      <c r="B85" s="818"/>
      <c r="C85" s="818"/>
      <c r="D85" s="819"/>
      <c r="E85" s="8">
        <f>+E28</f>
        <v>344.76</v>
      </c>
      <c r="F85" s="8">
        <f t="shared" ref="F85:I85" si="34">+F28</f>
        <v>401.92120799999998</v>
      </c>
      <c r="G85" s="8">
        <f t="shared" si="34"/>
        <v>461.93220215999997</v>
      </c>
      <c r="H85" s="8">
        <f t="shared" si="34"/>
        <v>525.69284400359993</v>
      </c>
      <c r="I85" s="8">
        <f t="shared" si="34"/>
        <v>594.17499287109592</v>
      </c>
    </row>
    <row r="86" spans="1:9">
      <c r="A86" s="816" t="s">
        <v>640</v>
      </c>
      <c r="B86" s="816"/>
      <c r="C86" s="816"/>
      <c r="D86" s="816"/>
      <c r="E86" s="8">
        <f t="shared" ref="E86:I86" si="35">+E84-E85</f>
        <v>45.968000000000018</v>
      </c>
      <c r="F86" s="8">
        <f t="shared" si="35"/>
        <v>46.197840000000042</v>
      </c>
      <c r="G86" s="8">
        <f t="shared" si="35"/>
        <v>46.659818399999949</v>
      </c>
      <c r="H86" s="8">
        <f t="shared" si="35"/>
        <v>47.359715675999951</v>
      </c>
      <c r="I86" s="8">
        <f t="shared" si="35"/>
        <v>48.306909989519909</v>
      </c>
    </row>
    <row r="90" spans="1:9">
      <c r="H90" s="346"/>
    </row>
  </sheetData>
  <mergeCells count="61">
    <mergeCell ref="A67:D67"/>
    <mergeCell ref="A68:D68"/>
    <mergeCell ref="A23:D23"/>
    <mergeCell ref="A69:D69"/>
    <mergeCell ref="A70:D70"/>
    <mergeCell ref="A59:D59"/>
    <mergeCell ref="A60:D60"/>
    <mergeCell ref="A53:D53"/>
    <mergeCell ref="A54:D54"/>
    <mergeCell ref="A57:D57"/>
    <mergeCell ref="A47:D47"/>
    <mergeCell ref="A48:D48"/>
    <mergeCell ref="A58:D58"/>
    <mergeCell ref="A65:D65"/>
    <mergeCell ref="A66:D66"/>
    <mergeCell ref="A43:D43"/>
    <mergeCell ref="A44:D44"/>
    <mergeCell ref="A45:D45"/>
    <mergeCell ref="A55:D55"/>
    <mergeCell ref="A56:D56"/>
    <mergeCell ref="A25:D25"/>
    <mergeCell ref="A12:D12"/>
    <mergeCell ref="A14:D14"/>
    <mergeCell ref="A1:Q2"/>
    <mergeCell ref="A3:Q3"/>
    <mergeCell ref="A4:Q4"/>
    <mergeCell ref="A5:Q5"/>
    <mergeCell ref="A6:Q6"/>
    <mergeCell ref="A7:Q8"/>
    <mergeCell ref="A17:D17"/>
    <mergeCell ref="A19:D19"/>
    <mergeCell ref="A15:D15"/>
    <mergeCell ref="A16:D16"/>
    <mergeCell ref="A18:D18"/>
    <mergeCell ref="A22:D22"/>
    <mergeCell ref="A24:D24"/>
    <mergeCell ref="A75:D75"/>
    <mergeCell ref="A37:D37"/>
    <mergeCell ref="A39:D39"/>
    <mergeCell ref="A26:D26"/>
    <mergeCell ref="A38:D38"/>
    <mergeCell ref="A40:D40"/>
    <mergeCell ref="A36:D36"/>
    <mergeCell ref="A27:D27"/>
    <mergeCell ref="A31:D31"/>
    <mergeCell ref="A32:D32"/>
    <mergeCell ref="A33:D33"/>
    <mergeCell ref="A34:D34"/>
    <mergeCell ref="A35:D35"/>
    <mergeCell ref="A28:D28"/>
    <mergeCell ref="A63:D63"/>
    <mergeCell ref="A64:D64"/>
    <mergeCell ref="A86:D86"/>
    <mergeCell ref="A76:D76"/>
    <mergeCell ref="A83:D83"/>
    <mergeCell ref="A77:D77"/>
    <mergeCell ref="A78:D78"/>
    <mergeCell ref="A79:D79"/>
    <mergeCell ref="A82:D82"/>
    <mergeCell ref="A84:D84"/>
    <mergeCell ref="A85:D85"/>
  </mergeCells>
  <pageMargins left="0.7" right="0.7" top="0.75" bottom="0.75" header="0.3" footer="0.3"/>
  <pageSetup orientation="portrait" r:id="rId1"/>
  <ignoredErrors>
    <ignoredError sqref="G26:I26"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EB118-CFBA-4DF0-9BC3-4C157A94705A}">
  <sheetPr codeName="Hoja5">
    <tabColor rgb="FF0070C0"/>
  </sheetPr>
  <dimension ref="A1:AI170"/>
  <sheetViews>
    <sheetView topLeftCell="E156" zoomScale="66" zoomScaleNormal="70" workbookViewId="0">
      <selection activeCell="O81" sqref="O81"/>
    </sheetView>
  </sheetViews>
  <sheetFormatPr baseColWidth="10" defaultColWidth="11.42578125" defaultRowHeight="15"/>
  <cols>
    <col min="1" max="2" width="11.42578125" style="1"/>
    <col min="3" max="4" width="15.5703125" style="1" customWidth="1"/>
    <col min="5" max="5" width="20.140625" style="1" customWidth="1"/>
    <col min="6" max="10" width="19.85546875" style="1" customWidth="1"/>
    <col min="11" max="15" width="21.5703125" style="1" customWidth="1"/>
    <col min="16" max="16" width="20.140625" style="1" customWidth="1"/>
    <col min="17" max="17" width="27.85546875" style="1" customWidth="1"/>
    <col min="18" max="18" width="23.7109375" style="1" bestFit="1" customWidth="1"/>
    <col min="19" max="19" width="22.5703125" style="1" bestFit="1" customWidth="1"/>
    <col min="20" max="20" width="12.28515625" style="1" bestFit="1" customWidth="1"/>
    <col min="21" max="21" width="17.28515625" style="1" customWidth="1"/>
    <col min="22" max="22" width="8.42578125" style="1" bestFit="1" customWidth="1"/>
    <col min="23" max="23" width="14.7109375" style="1" customWidth="1"/>
    <col min="24" max="24" width="23.140625" style="1" bestFit="1" customWidth="1"/>
    <col min="25" max="25" width="22.5703125" style="1" bestFit="1" customWidth="1"/>
    <col min="26" max="26" width="13.5703125" style="1" customWidth="1"/>
    <col min="27" max="27" width="14.140625" style="1" customWidth="1"/>
    <col min="28" max="34" width="11.42578125" style="1"/>
    <col min="35" max="35" width="24.85546875" style="1" customWidth="1"/>
    <col min="36" max="16384" width="11.42578125" style="1"/>
  </cols>
  <sheetData>
    <row r="1" spans="1:28">
      <c r="A1" s="605" t="s">
        <v>0</v>
      </c>
      <c r="B1" s="606"/>
      <c r="C1" s="606"/>
      <c r="D1" s="606"/>
      <c r="E1" s="606"/>
      <c r="F1" s="606"/>
      <c r="G1" s="606"/>
      <c r="H1" s="606"/>
      <c r="I1" s="606"/>
      <c r="J1" s="606"/>
      <c r="K1" s="606"/>
      <c r="L1" s="606"/>
      <c r="M1" s="606"/>
      <c r="N1" s="606"/>
      <c r="O1" s="606"/>
      <c r="P1" s="607"/>
    </row>
    <row r="2" spans="1:28">
      <c r="A2" s="608"/>
      <c r="B2" s="609"/>
      <c r="C2" s="609"/>
      <c r="D2" s="609"/>
      <c r="E2" s="609"/>
      <c r="F2" s="609"/>
      <c r="G2" s="609"/>
      <c r="H2" s="609"/>
      <c r="I2" s="609"/>
      <c r="J2" s="609"/>
      <c r="K2" s="609"/>
      <c r="L2" s="609"/>
      <c r="M2" s="609"/>
      <c r="N2" s="609"/>
      <c r="O2" s="609"/>
      <c r="P2" s="610"/>
    </row>
    <row r="3" spans="1:28">
      <c r="A3" s="608"/>
      <c r="B3" s="609"/>
      <c r="C3" s="609"/>
      <c r="D3" s="609"/>
      <c r="E3" s="609"/>
      <c r="F3" s="609"/>
      <c r="G3" s="609"/>
      <c r="H3" s="609"/>
      <c r="I3" s="609"/>
      <c r="J3" s="609"/>
      <c r="K3" s="609"/>
      <c r="L3" s="609"/>
      <c r="M3" s="609"/>
      <c r="N3" s="609"/>
      <c r="O3" s="609"/>
      <c r="P3" s="610"/>
    </row>
    <row r="4" spans="1:28">
      <c r="A4" s="608"/>
      <c r="B4" s="609"/>
      <c r="C4" s="609"/>
      <c r="D4" s="609"/>
      <c r="E4" s="609"/>
      <c r="F4" s="609"/>
      <c r="G4" s="609"/>
      <c r="H4" s="609"/>
      <c r="I4" s="609"/>
      <c r="J4" s="609"/>
      <c r="K4" s="609"/>
      <c r="L4" s="609"/>
      <c r="M4" s="609"/>
      <c r="N4" s="609"/>
      <c r="O4" s="609"/>
      <c r="P4" s="610"/>
    </row>
    <row r="5" spans="1:28" ht="15.75" thickBot="1">
      <c r="A5" s="611"/>
      <c r="B5" s="612"/>
      <c r="C5" s="612"/>
      <c r="D5" s="612"/>
      <c r="E5" s="612"/>
      <c r="F5" s="612"/>
      <c r="G5" s="612"/>
      <c r="H5" s="612"/>
      <c r="I5" s="612"/>
      <c r="J5" s="612"/>
      <c r="K5" s="612"/>
      <c r="L5" s="612"/>
      <c r="M5" s="612"/>
      <c r="N5" s="612"/>
      <c r="O5" s="612"/>
      <c r="P5" s="613"/>
    </row>
    <row r="6" spans="1:28" ht="15.75" thickBot="1">
      <c r="A6" s="96" t="str">
        <f>'Cifras Historicas'!B6</f>
        <v>Modelo INGEH V8.0 Ultima actualización Noviembre 2022</v>
      </c>
      <c r="B6" s="97"/>
      <c r="C6" s="97"/>
      <c r="D6" s="97"/>
      <c r="E6" s="97"/>
      <c r="F6" s="97"/>
      <c r="G6" s="97"/>
      <c r="H6" s="97"/>
      <c r="I6" s="97"/>
      <c r="J6" s="97"/>
      <c r="K6" s="97"/>
      <c r="L6" s="97"/>
      <c r="M6" s="97"/>
      <c r="N6" s="97"/>
      <c r="O6" s="97"/>
      <c r="P6" s="98"/>
    </row>
    <row r="8" spans="1:28" ht="15.75" thickBot="1"/>
    <row r="9" spans="1:28">
      <c r="A9" s="862" t="s">
        <v>33</v>
      </c>
      <c r="B9" s="863"/>
      <c r="C9" s="863"/>
      <c r="D9" s="863"/>
      <c r="E9" s="863"/>
      <c r="F9" s="863"/>
      <c r="G9" s="863"/>
      <c r="H9" s="863"/>
      <c r="I9" s="863"/>
      <c r="J9" s="863"/>
      <c r="K9" s="863"/>
      <c r="L9" s="863"/>
      <c r="M9" s="863"/>
      <c r="N9" s="863"/>
      <c r="O9" s="863"/>
      <c r="P9" s="864"/>
    </row>
    <row r="10" spans="1:28" ht="15.75" thickBot="1">
      <c r="A10" s="865"/>
      <c r="B10" s="866"/>
      <c r="C10" s="866"/>
      <c r="D10" s="866"/>
      <c r="E10" s="866"/>
      <c r="F10" s="866"/>
      <c r="G10" s="866"/>
      <c r="H10" s="866"/>
      <c r="I10" s="866"/>
      <c r="J10" s="866"/>
      <c r="K10" s="866"/>
      <c r="L10" s="866"/>
      <c r="M10" s="866"/>
      <c r="N10" s="866"/>
      <c r="O10" s="866"/>
      <c r="P10" s="867"/>
    </row>
    <row r="11" spans="1:28" ht="23.25">
      <c r="A11" s="589" t="s">
        <v>345</v>
      </c>
      <c r="B11" s="590"/>
      <c r="C11" s="590"/>
      <c r="D11" s="590"/>
      <c r="E11" s="590"/>
      <c r="F11" s="590"/>
      <c r="G11" s="590"/>
      <c r="H11" s="590"/>
      <c r="I11" s="590"/>
      <c r="J11" s="590"/>
      <c r="K11" s="590"/>
      <c r="L11" s="590"/>
      <c r="M11" s="590"/>
      <c r="N11" s="590"/>
      <c r="O11" s="590"/>
      <c r="P11" s="676"/>
    </row>
    <row r="12" spans="1:28">
      <c r="A12" s="591" t="s">
        <v>23</v>
      </c>
      <c r="B12" s="592"/>
      <c r="C12" s="592"/>
      <c r="D12" s="592"/>
      <c r="E12" s="592"/>
      <c r="F12" s="592"/>
      <c r="G12" s="592"/>
      <c r="H12" s="592"/>
      <c r="I12" s="592"/>
      <c r="J12" s="592"/>
      <c r="K12" s="592"/>
      <c r="L12" s="592"/>
      <c r="M12" s="592"/>
      <c r="N12" s="592"/>
      <c r="O12" s="592"/>
      <c r="P12" s="637"/>
    </row>
    <row r="13" spans="1:28">
      <c r="A13" s="591" t="s">
        <v>620</v>
      </c>
      <c r="B13" s="592"/>
      <c r="C13" s="592"/>
      <c r="D13" s="592"/>
      <c r="E13" s="592"/>
      <c r="F13" s="592"/>
      <c r="G13" s="592"/>
      <c r="H13" s="592"/>
      <c r="I13" s="592"/>
      <c r="J13" s="592"/>
      <c r="K13" s="592"/>
      <c r="L13" s="592"/>
      <c r="M13" s="592"/>
      <c r="N13" s="592"/>
      <c r="O13" s="592"/>
      <c r="P13" s="637"/>
    </row>
    <row r="14" spans="1:28" ht="20.25" thickBot="1">
      <c r="A14" s="593" t="s">
        <v>2</v>
      </c>
      <c r="B14" s="594"/>
      <c r="C14" s="594"/>
      <c r="D14" s="594"/>
      <c r="E14" s="594"/>
      <c r="F14" s="594"/>
      <c r="G14" s="594"/>
      <c r="H14" s="594"/>
      <c r="I14" s="594"/>
      <c r="J14" s="594"/>
      <c r="K14" s="594"/>
      <c r="L14" s="594"/>
      <c r="M14" s="594"/>
      <c r="N14" s="594"/>
      <c r="O14" s="594"/>
      <c r="P14" s="681"/>
      <c r="R14" s="680"/>
      <c r="S14" s="680"/>
      <c r="T14" s="680"/>
      <c r="U14" s="680"/>
      <c r="V14" s="680"/>
      <c r="W14" s="680"/>
      <c r="X14" s="680"/>
      <c r="Y14" s="680"/>
      <c r="Z14" s="680"/>
      <c r="AA14" s="680"/>
      <c r="AB14" s="680"/>
    </row>
    <row r="15" spans="1:28">
      <c r="A15" s="682"/>
      <c r="B15" s="682"/>
      <c r="C15" s="682"/>
      <c r="D15" s="682"/>
      <c r="E15" s="682"/>
      <c r="F15" s="86"/>
      <c r="G15" s="86"/>
      <c r="H15" s="86"/>
      <c r="I15" s="86"/>
      <c r="J15" s="86"/>
      <c r="K15" s="86"/>
      <c r="L15" s="86"/>
      <c r="M15" s="86"/>
      <c r="N15" s="86"/>
      <c r="O15" s="86"/>
      <c r="R15" s="70"/>
      <c r="S15" s="70"/>
      <c r="T15" s="70"/>
      <c r="U15" s="70"/>
      <c r="V15" s="70"/>
      <c r="W15" s="70"/>
      <c r="X15" s="86"/>
      <c r="Y15" s="86"/>
      <c r="Z15" s="86"/>
      <c r="AA15" s="86"/>
      <c r="AB15" s="86"/>
    </row>
    <row r="16" spans="1:28" ht="15.75" thickBot="1">
      <c r="R16" s="70"/>
      <c r="S16" s="76"/>
      <c r="T16" s="76"/>
      <c r="U16" s="76"/>
      <c r="V16" s="76"/>
      <c r="W16" s="76"/>
      <c r="X16" s="76"/>
      <c r="Y16" s="76"/>
      <c r="Z16" s="76"/>
      <c r="AA16" s="76"/>
      <c r="AB16" s="76"/>
    </row>
    <row r="17" spans="1:29">
      <c r="A17" s="862" t="s">
        <v>27</v>
      </c>
      <c r="B17" s="863"/>
      <c r="C17" s="863"/>
      <c r="D17" s="863"/>
      <c r="E17" s="863"/>
      <c r="F17" s="863"/>
      <c r="G17" s="863"/>
      <c r="H17" s="863"/>
      <c r="I17" s="863"/>
      <c r="J17" s="863"/>
      <c r="K17" s="863"/>
      <c r="L17" s="863"/>
      <c r="M17" s="863"/>
      <c r="N17" s="863"/>
      <c r="O17" s="863"/>
      <c r="P17" s="864"/>
    </row>
    <row r="18" spans="1:29" ht="15.75" thickBot="1">
      <c r="A18" s="865"/>
      <c r="B18" s="866"/>
      <c r="C18" s="866"/>
      <c r="D18" s="866"/>
      <c r="E18" s="866"/>
      <c r="F18" s="866"/>
      <c r="G18" s="866"/>
      <c r="H18" s="866"/>
      <c r="I18" s="866"/>
      <c r="J18" s="866"/>
      <c r="K18" s="866"/>
      <c r="L18" s="866"/>
      <c r="M18" s="866"/>
      <c r="N18" s="866"/>
      <c r="O18" s="866"/>
      <c r="P18" s="867"/>
    </row>
    <row r="19" spans="1:29" ht="23.25">
      <c r="A19" s="589" t="s">
        <v>345</v>
      </c>
      <c r="B19" s="590"/>
      <c r="C19" s="590"/>
      <c r="D19" s="590"/>
      <c r="E19" s="590"/>
      <c r="F19" s="590"/>
      <c r="G19" s="590"/>
      <c r="H19" s="590"/>
      <c r="I19" s="590"/>
      <c r="J19" s="590"/>
      <c r="K19" s="590"/>
      <c r="L19" s="590"/>
      <c r="M19" s="590"/>
      <c r="N19" s="590"/>
      <c r="O19" s="590"/>
      <c r="P19" s="676"/>
    </row>
    <row r="20" spans="1:29">
      <c r="A20" s="591" t="s">
        <v>28</v>
      </c>
      <c r="B20" s="592"/>
      <c r="C20" s="592"/>
      <c r="D20" s="592"/>
      <c r="E20" s="592"/>
      <c r="F20" s="592"/>
      <c r="G20" s="592"/>
      <c r="H20" s="592"/>
      <c r="I20" s="592"/>
      <c r="J20" s="592"/>
      <c r="K20" s="592"/>
      <c r="L20" s="592"/>
      <c r="M20" s="592"/>
      <c r="N20" s="592"/>
      <c r="O20" s="592"/>
      <c r="P20" s="637"/>
    </row>
    <row r="21" spans="1:29" ht="15.75" thickBot="1">
      <c r="A21" s="591"/>
      <c r="B21" s="592"/>
      <c r="C21" s="592"/>
      <c r="D21" s="592"/>
      <c r="E21" s="592"/>
      <c r="F21" s="592"/>
      <c r="G21" s="592"/>
      <c r="H21" s="592"/>
      <c r="I21" s="592"/>
      <c r="J21" s="592"/>
      <c r="K21" s="592"/>
      <c r="L21" s="592"/>
      <c r="M21" s="592"/>
      <c r="N21" s="592"/>
      <c r="O21" s="592"/>
      <c r="P21" s="637"/>
    </row>
    <row r="22" spans="1:29" ht="26.25" thickBot="1">
      <c r="A22" s="884" t="s">
        <v>29</v>
      </c>
      <c r="B22" s="885"/>
      <c r="C22" s="885"/>
      <c r="D22" s="885"/>
      <c r="E22" s="885"/>
      <c r="F22" s="885"/>
      <c r="G22" s="885"/>
      <c r="H22" s="885"/>
      <c r="I22" s="885"/>
      <c r="J22" s="885"/>
      <c r="K22" s="885"/>
      <c r="L22" s="885"/>
      <c r="M22" s="885"/>
      <c r="N22" s="885"/>
      <c r="O22" s="885"/>
      <c r="P22" s="886"/>
    </row>
    <row r="23" spans="1:29" ht="22.5" customHeight="1" thickBot="1">
      <c r="A23" s="104"/>
      <c r="B23" s="105"/>
      <c r="C23" s="105"/>
      <c r="D23" s="105"/>
      <c r="E23" s="105"/>
      <c r="F23" s="687" t="s">
        <v>31</v>
      </c>
      <c r="G23" s="688"/>
      <c r="H23" s="688"/>
      <c r="I23" s="688"/>
      <c r="J23" s="688"/>
      <c r="K23" s="687" t="s">
        <v>30</v>
      </c>
      <c r="L23" s="688"/>
      <c r="M23" s="688"/>
      <c r="N23" s="688"/>
      <c r="O23" s="688"/>
      <c r="P23" s="72"/>
      <c r="S23" s="680"/>
      <c r="T23" s="680"/>
      <c r="U23" s="680"/>
      <c r="V23" s="680"/>
      <c r="W23" s="680"/>
      <c r="Y23" s="680"/>
      <c r="Z23" s="680"/>
      <c r="AA23" s="680"/>
      <c r="AB23" s="680"/>
      <c r="AC23" s="680"/>
    </row>
    <row r="24" spans="1:29" ht="15.75" customHeight="1" thickBot="1">
      <c r="A24" s="684" t="s">
        <v>201</v>
      </c>
      <c r="B24" s="685"/>
      <c r="C24" s="685"/>
      <c r="D24" s="685"/>
      <c r="E24" s="686"/>
      <c r="F24" s="221">
        <f>'Cifras Historicas'!G15</f>
        <v>2018</v>
      </c>
      <c r="G24" s="87">
        <f>'Cifras Historicas'!H15</f>
        <v>2019</v>
      </c>
      <c r="H24" s="87">
        <f>'Cifras Historicas'!I15</f>
        <v>2020</v>
      </c>
      <c r="I24" s="87">
        <f>'Cifras Historicas'!J15</f>
        <v>2021</v>
      </c>
      <c r="J24" s="111">
        <f>'Cifras Historicas'!K15</f>
        <v>2022</v>
      </c>
      <c r="K24" s="222">
        <f t="shared" ref="K24:O24" si="0">J24+1</f>
        <v>2023</v>
      </c>
      <c r="L24" s="22">
        <f t="shared" si="0"/>
        <v>2024</v>
      </c>
      <c r="M24" s="22">
        <f t="shared" si="0"/>
        <v>2025</v>
      </c>
      <c r="N24" s="22">
        <f t="shared" si="0"/>
        <v>2026</v>
      </c>
      <c r="O24" s="223">
        <f t="shared" si="0"/>
        <v>2027</v>
      </c>
      <c r="P24" s="73"/>
      <c r="R24" s="70"/>
      <c r="S24" s="86"/>
      <c r="T24" s="86"/>
      <c r="U24" s="86"/>
      <c r="V24" s="86"/>
      <c r="W24" s="86"/>
      <c r="X24" s="70"/>
      <c r="Y24" s="86"/>
      <c r="Z24" s="86"/>
      <c r="AA24" s="86"/>
      <c r="AB24" s="86"/>
      <c r="AC24" s="86"/>
    </row>
    <row r="25" spans="1:29" ht="15.75" customHeight="1">
      <c r="A25" s="669" t="s">
        <v>242</v>
      </c>
      <c r="B25" s="577"/>
      <c r="C25" s="577"/>
      <c r="D25" s="577"/>
      <c r="E25" s="597"/>
      <c r="F25" s="283">
        <v>4.0899999999999999E-2</v>
      </c>
      <c r="G25" s="284">
        <v>3.1800000000000002E-2</v>
      </c>
      <c r="H25" s="284">
        <v>3.7999999999999999E-2</v>
      </c>
      <c r="I25" s="284">
        <v>1.61E-2</v>
      </c>
      <c r="J25" s="285">
        <v>5.6000000000000001E-2</v>
      </c>
      <c r="K25" s="889" t="s">
        <v>247</v>
      </c>
      <c r="L25" s="889"/>
      <c r="M25" s="889"/>
      <c r="N25" s="889"/>
      <c r="O25" s="890"/>
      <c r="P25" s="73"/>
      <c r="S25" s="14"/>
      <c r="T25" s="14"/>
      <c r="U25" s="14"/>
      <c r="V25" s="14"/>
      <c r="W25" s="14"/>
      <c r="Y25" s="14"/>
      <c r="Z25" s="14"/>
      <c r="AA25" s="14"/>
      <c r="AB25" s="14"/>
      <c r="AC25" s="14"/>
    </row>
    <row r="26" spans="1:29" ht="15.75" customHeight="1">
      <c r="A26" s="669" t="s">
        <v>202</v>
      </c>
      <c r="B26" s="577"/>
      <c r="C26" s="577"/>
      <c r="D26" s="577"/>
      <c r="E26" s="597"/>
      <c r="F26" s="100">
        <v>1.4E-2</v>
      </c>
      <c r="G26" s="16">
        <v>2.5999999999999999E-2</v>
      </c>
      <c r="H26" s="16">
        <v>3.2000000000000001E-2</v>
      </c>
      <c r="I26" s="16">
        <v>-7.0000000000000007E-2</v>
      </c>
      <c r="J26" s="259">
        <v>0.106</v>
      </c>
      <c r="K26" s="891"/>
      <c r="L26" s="891"/>
      <c r="M26" s="891"/>
      <c r="N26" s="891"/>
      <c r="O26" s="892"/>
      <c r="P26" s="73"/>
      <c r="S26" s="14"/>
      <c r="T26" s="14"/>
      <c r="U26" s="14"/>
      <c r="V26" s="14"/>
      <c r="W26" s="14"/>
      <c r="Y26" s="14"/>
      <c r="Z26" s="14"/>
      <c r="AA26" s="14"/>
      <c r="AB26" s="14"/>
      <c r="AC26" s="14"/>
    </row>
    <row r="27" spans="1:29" ht="15.75" customHeight="1">
      <c r="A27" s="656" t="s">
        <v>203</v>
      </c>
      <c r="B27" s="581"/>
      <c r="C27" s="581"/>
      <c r="D27" s="581"/>
      <c r="E27" s="657"/>
      <c r="F27" s="264">
        <f>((1+F25)*(1+F26))-1</f>
        <v>5.5472599999999872E-2</v>
      </c>
      <c r="G27" s="187">
        <f t="shared" ref="G27:I27" si="1">((1+G25)*(1+G26))-1</f>
        <v>5.862680000000009E-2</v>
      </c>
      <c r="H27" s="187">
        <f t="shared" si="1"/>
        <v>7.1216000000000168E-2</v>
      </c>
      <c r="I27" s="187">
        <f t="shared" si="1"/>
        <v>-5.5027000000000048E-2</v>
      </c>
      <c r="J27" s="188">
        <f>((1+J25)*(1+J26))-1</f>
        <v>0.16793600000000009</v>
      </c>
      <c r="K27" s="216">
        <f>'Estrategias Operativas'!E35</f>
        <v>3.4119999999999928E-2</v>
      </c>
      <c r="L27" s="216">
        <f>'Estrategias Operativas'!F35</f>
        <v>3.6180000000000101E-2</v>
      </c>
      <c r="M27" s="216">
        <f>'Estrategias Operativas'!G35</f>
        <v>3.8240000000000052E-2</v>
      </c>
      <c r="N27" s="216">
        <f>'Estrategias Operativas'!H35</f>
        <v>3.7209999999999965E-2</v>
      </c>
      <c r="O27" s="216">
        <f>'Estrategias Operativas'!I35</f>
        <v>3.5150000000000015E-2</v>
      </c>
      <c r="P27" s="73"/>
      <c r="S27" s="189"/>
      <c r="T27" s="189"/>
      <c r="U27" s="189"/>
      <c r="V27" s="189"/>
      <c r="W27" s="189"/>
      <c r="Y27" s="189"/>
      <c r="Z27" s="189"/>
      <c r="AA27" s="189"/>
      <c r="AB27" s="189"/>
      <c r="AC27" s="189"/>
    </row>
    <row r="28" spans="1:29" ht="15.75" customHeight="1" thickBot="1">
      <c r="A28" s="656"/>
      <c r="B28" s="581"/>
      <c r="C28" s="581"/>
      <c r="D28" s="581"/>
      <c r="E28" s="657"/>
      <c r="F28" s="893" t="s">
        <v>243</v>
      </c>
      <c r="G28" s="894"/>
      <c r="H28" s="894"/>
      <c r="I28" s="894"/>
      <c r="J28" s="895"/>
      <c r="K28" s="660" t="s">
        <v>204</v>
      </c>
      <c r="L28" s="661"/>
      <c r="M28" s="661"/>
      <c r="N28" s="661"/>
      <c r="O28" s="662"/>
      <c r="P28" s="73"/>
      <c r="R28" s="70"/>
      <c r="S28" s="47"/>
      <c r="T28" s="78"/>
      <c r="U28" s="78"/>
      <c r="V28" s="78"/>
      <c r="W28" s="78"/>
      <c r="X28" s="70"/>
      <c r="Y28" s="47"/>
      <c r="Z28" s="78"/>
      <c r="AA28" s="78"/>
      <c r="AB28" s="78"/>
      <c r="AC28" s="78"/>
    </row>
    <row r="29" spans="1:29" ht="15" customHeight="1">
      <c r="K29" s="14"/>
      <c r="L29" s="14"/>
      <c r="M29" s="14"/>
      <c r="N29" s="14"/>
      <c r="O29" s="14"/>
      <c r="P29" s="73"/>
      <c r="S29" s="103"/>
      <c r="T29" s="103"/>
      <c r="U29" s="103"/>
      <c r="V29" s="103"/>
      <c r="W29" s="103"/>
      <c r="Y29" s="103"/>
      <c r="Z29" s="103"/>
      <c r="AA29" s="103"/>
      <c r="AB29" s="103"/>
      <c r="AC29" s="103"/>
    </row>
    <row r="30" spans="1:29" ht="21" customHeight="1">
      <c r="A30" s="663"/>
      <c r="B30" s="663"/>
      <c r="C30" s="663"/>
      <c r="D30" s="663"/>
      <c r="E30" s="663"/>
      <c r="F30" s="186"/>
      <c r="P30" s="73"/>
    </row>
    <row r="31" spans="1:29" ht="15.75" customHeight="1" thickBot="1">
      <c r="K31" s="14"/>
      <c r="P31" s="224"/>
      <c r="R31" s="689"/>
      <c r="S31" s="689"/>
    </row>
    <row r="32" spans="1:29" ht="20.25" thickBot="1">
      <c r="A32" s="881"/>
      <c r="B32" s="882"/>
      <c r="C32" s="882"/>
      <c r="D32" s="882"/>
      <c r="E32" s="882"/>
      <c r="F32" s="882"/>
      <c r="G32" s="882"/>
      <c r="H32" s="882"/>
      <c r="I32" s="882"/>
      <c r="J32" s="882"/>
      <c r="K32" s="882"/>
      <c r="L32" s="882"/>
      <c r="M32" s="882"/>
      <c r="N32" s="882"/>
      <c r="O32" s="882"/>
      <c r="P32" s="883"/>
      <c r="R32" s="140"/>
      <c r="S32" s="140"/>
    </row>
    <row r="33" spans="1:21">
      <c r="A33" s="862" t="s">
        <v>33</v>
      </c>
      <c r="B33" s="863"/>
      <c r="C33" s="863"/>
      <c r="D33" s="863"/>
      <c r="E33" s="863"/>
      <c r="F33" s="863"/>
      <c r="G33" s="863"/>
      <c r="H33" s="863"/>
      <c r="I33" s="863"/>
      <c r="J33" s="863"/>
      <c r="K33" s="863"/>
      <c r="L33" s="863"/>
      <c r="M33" s="863"/>
      <c r="N33" s="863"/>
      <c r="O33" s="863"/>
      <c r="P33" s="864"/>
      <c r="R33" s="140"/>
      <c r="S33" s="140"/>
    </row>
    <row r="34" spans="1:21" ht="15.75" thickBot="1">
      <c r="A34" s="865"/>
      <c r="B34" s="866"/>
      <c r="C34" s="866"/>
      <c r="D34" s="866"/>
      <c r="E34" s="866"/>
      <c r="F34" s="866"/>
      <c r="G34" s="866"/>
      <c r="H34" s="866"/>
      <c r="I34" s="866"/>
      <c r="J34" s="866"/>
      <c r="K34" s="866"/>
      <c r="L34" s="866"/>
      <c r="M34" s="866"/>
      <c r="N34" s="866"/>
      <c r="O34" s="866"/>
      <c r="P34" s="867"/>
      <c r="R34" s="140"/>
      <c r="S34" s="140"/>
    </row>
    <row r="35" spans="1:21" ht="18">
      <c r="A35" s="634" t="s">
        <v>345</v>
      </c>
      <c r="B35" s="635"/>
      <c r="C35" s="635"/>
      <c r="D35" s="635"/>
      <c r="E35" s="635"/>
      <c r="F35" s="635"/>
      <c r="G35" s="635"/>
      <c r="H35" s="635"/>
      <c r="I35" s="635"/>
      <c r="J35" s="635"/>
      <c r="K35" s="635"/>
      <c r="L35" s="635"/>
      <c r="M35" s="635"/>
      <c r="N35" s="635"/>
      <c r="O35" s="635"/>
      <c r="P35" s="636"/>
      <c r="R35" s="140"/>
      <c r="S35" s="140"/>
    </row>
    <row r="36" spans="1:21">
      <c r="A36" s="591" t="s">
        <v>34</v>
      </c>
      <c r="B36" s="592"/>
      <c r="C36" s="592"/>
      <c r="D36" s="592"/>
      <c r="E36" s="592"/>
      <c r="F36" s="592"/>
      <c r="G36" s="592"/>
      <c r="H36" s="592"/>
      <c r="I36" s="592"/>
      <c r="J36" s="592"/>
      <c r="K36" s="592"/>
      <c r="L36" s="592"/>
      <c r="M36" s="592"/>
      <c r="N36" s="592"/>
      <c r="O36" s="592"/>
      <c r="P36" s="637"/>
    </row>
    <row r="37" spans="1:21" ht="15.75" thickBot="1">
      <c r="A37" s="638"/>
      <c r="B37" s="639"/>
      <c r="C37" s="639"/>
      <c r="D37" s="639"/>
      <c r="E37" s="639"/>
      <c r="F37" s="639"/>
      <c r="G37" s="639"/>
      <c r="H37" s="639"/>
      <c r="I37" s="639"/>
      <c r="J37" s="639"/>
      <c r="K37" s="639"/>
      <c r="L37" s="639"/>
      <c r="M37" s="639"/>
      <c r="N37" s="639"/>
      <c r="O37" s="639"/>
      <c r="P37" s="640"/>
    </row>
    <row r="38" spans="1:21" ht="15.75" thickBot="1">
      <c r="A38" s="868" t="s">
        <v>7</v>
      </c>
      <c r="B38" s="868"/>
      <c r="C38" s="868"/>
      <c r="D38" s="868"/>
      <c r="E38" s="868"/>
      <c r="F38" s="12">
        <f t="shared" ref="F38:O38" si="2">F24</f>
        <v>2018</v>
      </c>
      <c r="G38" s="12">
        <f t="shared" si="2"/>
        <v>2019</v>
      </c>
      <c r="H38" s="12">
        <f t="shared" si="2"/>
        <v>2020</v>
      </c>
      <c r="I38" s="12">
        <f t="shared" si="2"/>
        <v>2021</v>
      </c>
      <c r="J38" s="18">
        <f t="shared" si="2"/>
        <v>2022</v>
      </c>
      <c r="K38" s="21">
        <f t="shared" si="2"/>
        <v>2023</v>
      </c>
      <c r="L38" s="22">
        <f t="shared" si="2"/>
        <v>2024</v>
      </c>
      <c r="M38" s="22">
        <f t="shared" si="2"/>
        <v>2025</v>
      </c>
      <c r="N38" s="22">
        <f t="shared" si="2"/>
        <v>2026</v>
      </c>
      <c r="O38" s="23">
        <f t="shared" si="2"/>
        <v>2027</v>
      </c>
    </row>
    <row r="39" spans="1:21">
      <c r="A39" s="879" t="s">
        <v>8</v>
      </c>
      <c r="B39" s="880"/>
      <c r="C39" s="880"/>
      <c r="D39" s="880"/>
      <c r="E39" s="880"/>
      <c r="F39" s="3"/>
      <c r="G39" s="3"/>
      <c r="H39" s="3"/>
      <c r="I39" s="3"/>
      <c r="J39" s="3"/>
      <c r="K39" s="84"/>
      <c r="L39" s="84"/>
      <c r="M39" s="84"/>
      <c r="N39" s="84"/>
      <c r="O39" s="84"/>
      <c r="U39" s="564" t="s">
        <v>627</v>
      </c>
    </row>
    <row r="40" spans="1:21" ht="15.75">
      <c r="A40" s="581" t="s">
        <v>152</v>
      </c>
      <c r="B40" s="581"/>
      <c r="C40" s="581"/>
      <c r="D40" s="581"/>
      <c r="E40" s="581"/>
      <c r="F40" s="141">
        <f>+'Cifras Historicas'!G17</f>
        <v>86703.551999999996</v>
      </c>
      <c r="G40" s="141">
        <f>+'Cifras Historicas'!H17</f>
        <v>152693.08499999999</v>
      </c>
      <c r="H40" s="141">
        <f>+'Cifras Historicas'!I17</f>
        <v>162276.38200000001</v>
      </c>
      <c r="I40" s="141">
        <f>+'Cifras Historicas'!J17</f>
        <v>296940.47100000002</v>
      </c>
      <c r="J40" s="141">
        <f>+'Cifras Historicas'!K17</f>
        <v>238352.476</v>
      </c>
      <c r="K40" s="141">
        <f>J40*(1+K27)+'Estrategias Operativas'!E48</f>
        <v>243085.06248111997</v>
      </c>
      <c r="L40" s="141">
        <f>K40*(1+L27)+'Estrategias Operativas'!F48</f>
        <v>243779.88004168691</v>
      </c>
      <c r="M40" s="141">
        <f>L40*(1+M27)+'Estrategias Operativas'!G48</f>
        <v>249702.02265448103</v>
      </c>
      <c r="N40" s="141">
        <f>M40*(1+N27)+'Estrategias Operativas'!H48</f>
        <v>255593.43491745426</v>
      </c>
      <c r="O40" s="141">
        <f>N40*(1+O27)+'Estrategias Operativas'!I48</f>
        <v>261177.5441548028</v>
      </c>
    </row>
    <row r="41" spans="1:21" ht="15.75">
      <c r="A41" s="581" t="s">
        <v>154</v>
      </c>
      <c r="B41" s="581"/>
      <c r="C41" s="581"/>
      <c r="D41" s="581"/>
      <c r="E41" s="581"/>
      <c r="F41" s="141">
        <f>'Cifras Historicas'!G20</f>
        <v>433523.37300000002</v>
      </c>
      <c r="G41" s="141">
        <f>'Cifras Historicas'!H20</f>
        <v>198848.50200000001</v>
      </c>
      <c r="H41" s="141">
        <f>'Cifras Historicas'!I20</f>
        <v>208199.72</v>
      </c>
      <c r="I41" s="141">
        <f>'Cifras Historicas'!J20</f>
        <v>247805.86600000001</v>
      </c>
      <c r="J41" s="141">
        <f>'Cifras Historicas'!K20</f>
        <v>209616.443</v>
      </c>
      <c r="K41" s="141">
        <f>J41*(1+K27)</f>
        <v>216768.55603515997</v>
      </c>
      <c r="L41" s="141">
        <f>K41*(1+L27)</f>
        <v>224611.24239251207</v>
      </c>
      <c r="M41" s="141">
        <f>L41*(1+M27)</f>
        <v>233200.37630160173</v>
      </c>
      <c r="N41" s="141">
        <f>M41*(1+N27)</f>
        <v>241877.76230378432</v>
      </c>
      <c r="O41" s="141">
        <f>N41*(1+O27)</f>
        <v>250379.76564876235</v>
      </c>
    </row>
    <row r="42" spans="1:21" ht="15.75">
      <c r="A42" s="581" t="s">
        <v>155</v>
      </c>
      <c r="B42" s="581"/>
      <c r="C42" s="581"/>
      <c r="D42" s="581"/>
      <c r="E42" s="581"/>
      <c r="F42" s="141">
        <f>'Cifras Historicas'!G21</f>
        <v>299798.011</v>
      </c>
      <c r="G42" s="141">
        <f>'Cifras Historicas'!H21</f>
        <v>259718.06400000001</v>
      </c>
      <c r="H42" s="141">
        <f>'Cifras Historicas'!I21</f>
        <v>198800.114</v>
      </c>
      <c r="I42" s="141">
        <f>'Cifras Historicas'!J21</f>
        <v>150193.245</v>
      </c>
      <c r="J42" s="141">
        <f>'Cifras Historicas'!K21</f>
        <v>252997.149</v>
      </c>
      <c r="K42" s="141">
        <f>J42*(1+K27)</f>
        <v>261629.41172387998</v>
      </c>
      <c r="L42" s="141">
        <f>K42*(1+L27)</f>
        <v>271095.16384004999</v>
      </c>
      <c r="M42" s="141">
        <f t="shared" ref="M42:O42" si="3">L42*(1+M27)</f>
        <v>281461.84290529351</v>
      </c>
      <c r="N42" s="141">
        <f t="shared" si="3"/>
        <v>291935.03807979944</v>
      </c>
      <c r="O42" s="141">
        <f t="shared" si="3"/>
        <v>302196.55466830439</v>
      </c>
    </row>
    <row r="43" spans="1:21" ht="15.75">
      <c r="A43" s="581" t="s">
        <v>157</v>
      </c>
      <c r="B43" s="581"/>
      <c r="C43" s="581"/>
      <c r="D43" s="581"/>
      <c r="E43" s="581"/>
      <c r="F43" s="93">
        <f>'Cifras Historicas'!G25</f>
        <v>831765.94400000002</v>
      </c>
      <c r="G43" s="93">
        <f>'Cifras Historicas'!H25</f>
        <v>632574.95200000005</v>
      </c>
      <c r="H43" s="93">
        <f>'Cifras Historicas'!I25</f>
        <v>602316.99699999997</v>
      </c>
      <c r="I43" s="93">
        <f>'Cifras Historicas'!J25</f>
        <v>708724.04</v>
      </c>
      <c r="J43" s="93">
        <f>'Cifras Historicas'!K25</f>
        <v>705883.73600000003</v>
      </c>
      <c r="K43" s="212">
        <f>J43*(1+K27)</f>
        <v>729968.48907231994</v>
      </c>
      <c r="L43" s="212">
        <f>K43*(1+L27)</f>
        <v>756378.74900695658</v>
      </c>
      <c r="M43" s="212">
        <f>L43*(1+M27)</f>
        <v>785302.67236898269</v>
      </c>
      <c r="N43" s="212">
        <f t="shared" ref="N43:O43" si="4">M43*(1+N27)</f>
        <v>814523.78480783256</v>
      </c>
      <c r="O43" s="212">
        <f t="shared" si="4"/>
        <v>843154.29584382789</v>
      </c>
    </row>
    <row r="44" spans="1:21">
      <c r="A44" s="869" t="s">
        <v>9</v>
      </c>
      <c r="B44" s="870"/>
      <c r="C44" s="870"/>
      <c r="D44" s="870"/>
      <c r="E44" s="870"/>
      <c r="F44" s="3"/>
      <c r="G44" s="3"/>
      <c r="H44" s="3"/>
      <c r="I44" s="3"/>
      <c r="J44" s="4"/>
      <c r="K44" s="84"/>
      <c r="L44" s="84"/>
      <c r="M44" s="84"/>
      <c r="N44" s="84"/>
      <c r="O44" s="84"/>
    </row>
    <row r="45" spans="1:21" ht="15.75">
      <c r="A45" s="581" t="s">
        <v>159</v>
      </c>
      <c r="B45" s="581"/>
      <c r="C45" s="581"/>
      <c r="D45" s="581"/>
      <c r="E45" s="581"/>
      <c r="F45" s="141">
        <f>'Cifras Historicas'!G31</f>
        <v>267127.62900000002</v>
      </c>
      <c r="G45" s="141">
        <f>'Cifras Historicas'!H31</f>
        <v>247329.84099999999</v>
      </c>
      <c r="H45" s="141">
        <f>'Cifras Historicas'!I31</f>
        <v>204561.01</v>
      </c>
      <c r="I45" s="141">
        <f>'Cifras Historicas'!J31</f>
        <v>279821.56900000002</v>
      </c>
      <c r="J45" s="141">
        <f>'Cifras Historicas'!K31</f>
        <v>627117.48199999996</v>
      </c>
      <c r="K45" s="141">
        <f>J45*(1+K27)+'Estrategias Operativas'!E47</f>
        <v>651914.73048583989</v>
      </c>
      <c r="L45" s="141">
        <f>K45*(1+L27)+'Estrategias Operativas'!F47</f>
        <v>683601.00543481763</v>
      </c>
      <c r="M45" s="141">
        <f>L45*(1+M27)+'Estrategias Operativas'!G47</f>
        <v>713141.90788264514</v>
      </c>
      <c r="N45" s="141">
        <f>M45*(1+N27)+'Estrategias Operativas'!H47</f>
        <v>743077.91827495839</v>
      </c>
      <c r="O45" s="141">
        <f>N45*(1+O27)+'Estrategias Operativas'!I47</f>
        <v>772597.10710232321</v>
      </c>
    </row>
    <row r="46" spans="1:21" ht="15.75">
      <c r="A46" s="581" t="s">
        <v>162</v>
      </c>
      <c r="B46" s="581"/>
      <c r="C46" s="581"/>
      <c r="D46" s="581"/>
      <c r="E46" s="581"/>
      <c r="F46" s="93">
        <f>'Cifras Historicas'!G38</f>
        <v>340498.571</v>
      </c>
      <c r="G46" s="93">
        <f>'Cifras Historicas'!H38</f>
        <v>752388.22200000007</v>
      </c>
      <c r="H46" s="93">
        <f>'Cifras Historicas'!I38</f>
        <v>496087.18599999999</v>
      </c>
      <c r="I46" s="93">
        <f>'Cifras Historicas'!J38</f>
        <v>649328.1120000002</v>
      </c>
      <c r="J46" s="93">
        <f>'Cifras Historicas'!K38</f>
        <v>980043.29200000002</v>
      </c>
      <c r="K46" s="141">
        <f>J46*(1+K27)</f>
        <v>1013482.36912304</v>
      </c>
      <c r="L46" s="141">
        <f>K46*(1+L27)</f>
        <v>1050150.1612379118</v>
      </c>
      <c r="M46" s="141">
        <f>L46*(1+M27)</f>
        <v>1090307.9034036496</v>
      </c>
      <c r="N46" s="141">
        <f t="shared" ref="N46:O46" si="5">M46*(1+N27)</f>
        <v>1130878.2604892994</v>
      </c>
      <c r="O46" s="141">
        <f t="shared" si="5"/>
        <v>1170628.6313454984</v>
      </c>
    </row>
    <row r="47" spans="1:21">
      <c r="A47" s="2"/>
      <c r="B47" s="2"/>
      <c r="C47" s="2"/>
      <c r="D47" s="2"/>
      <c r="E47" s="2"/>
    </row>
    <row r="48" spans="1:21" ht="15.75">
      <c r="A48" s="871" t="s">
        <v>245</v>
      </c>
      <c r="B48" s="871"/>
      <c r="C48" s="871"/>
      <c r="D48" s="871"/>
      <c r="E48" s="871"/>
      <c r="F48" s="92">
        <f t="shared" ref="F48:J48" si="6">F43+F46</f>
        <v>1172264.5150000001</v>
      </c>
      <c r="G48" s="92">
        <f t="shared" si="6"/>
        <v>1384963.1740000001</v>
      </c>
      <c r="H48" s="92">
        <f t="shared" si="6"/>
        <v>1098404.183</v>
      </c>
      <c r="I48" s="92">
        <f t="shared" si="6"/>
        <v>1358052.1520000002</v>
      </c>
      <c r="J48" s="92">
        <f t="shared" si="6"/>
        <v>1685927.0279999999</v>
      </c>
      <c r="K48" s="167">
        <f>J48*(1+K27)</f>
        <v>1743450.8581953598</v>
      </c>
      <c r="L48" s="167">
        <f>K48*(1+L27)</f>
        <v>1806528.9102448681</v>
      </c>
      <c r="M48" s="167">
        <f t="shared" ref="M48:O48" si="7">L48*(1+M27)</f>
        <v>1875610.5757726319</v>
      </c>
      <c r="N48" s="167">
        <f t="shared" si="7"/>
        <v>1945402.0452971314</v>
      </c>
      <c r="O48" s="167">
        <f t="shared" si="7"/>
        <v>2013782.9271893257</v>
      </c>
    </row>
    <row r="49" spans="1:35">
      <c r="A49" s="2"/>
    </row>
    <row r="50" spans="1:35">
      <c r="A50" s="869" t="s">
        <v>10</v>
      </c>
      <c r="B50" s="870"/>
      <c r="C50" s="870"/>
      <c r="D50" s="870"/>
      <c r="E50" s="870"/>
      <c r="F50" s="3"/>
      <c r="G50" s="3"/>
      <c r="H50" s="3"/>
      <c r="I50" s="3"/>
      <c r="J50" s="4"/>
      <c r="K50" s="84"/>
      <c r="L50" s="84"/>
      <c r="M50" s="84"/>
      <c r="N50" s="84"/>
      <c r="O50" s="84"/>
      <c r="U50" s="70"/>
    </row>
    <row r="51" spans="1:35" ht="15.75">
      <c r="A51" s="581" t="s">
        <v>163</v>
      </c>
      <c r="B51" s="581"/>
      <c r="C51" s="581"/>
      <c r="D51" s="581"/>
      <c r="E51" s="581"/>
      <c r="F51" s="141">
        <f>'Cifras Historicas'!G43</f>
        <v>0</v>
      </c>
      <c r="G51" s="141">
        <f>'Cifras Historicas'!H43</f>
        <v>0</v>
      </c>
      <c r="H51" s="141">
        <f>'Cifras Historicas'!I43</f>
        <v>569.5</v>
      </c>
      <c r="I51" s="141">
        <f>'Cifras Historicas'!J43</f>
        <v>603.33299999999997</v>
      </c>
      <c r="J51" s="141">
        <f>'Cifras Historicas'!K43</f>
        <v>33888.843999999997</v>
      </c>
      <c r="K51" s="141">
        <f>J51*(1+K27)</f>
        <v>35045.131357279992</v>
      </c>
      <c r="L51" s="141">
        <f>K51*(1+L27)</f>
        <v>36313.064209786382</v>
      </c>
      <c r="M51" s="141">
        <f t="shared" ref="M51:O51" si="8">L51*(1+M27)</f>
        <v>37701.675785168612</v>
      </c>
      <c r="N51" s="141">
        <f t="shared" si="8"/>
        <v>39104.555141134733</v>
      </c>
      <c r="O51" s="141">
        <f t="shared" si="8"/>
        <v>40479.080254345623</v>
      </c>
    </row>
    <row r="52" spans="1:35" ht="15.75">
      <c r="A52" s="581" t="s">
        <v>164</v>
      </c>
      <c r="B52" s="581"/>
      <c r="C52" s="581"/>
      <c r="D52" s="581"/>
      <c r="E52" s="581"/>
      <c r="F52" s="141">
        <f>'Cifras Historicas'!G45</f>
        <v>319294.99800000002</v>
      </c>
      <c r="G52" s="141">
        <f>'Cifras Historicas'!H45</f>
        <v>488957.94799999997</v>
      </c>
      <c r="H52" s="141">
        <f>'Cifras Historicas'!I45</f>
        <v>315079.62199999997</v>
      </c>
      <c r="I52" s="141">
        <f>'Cifras Historicas'!J45</f>
        <v>329642.31300000002</v>
      </c>
      <c r="J52" s="141">
        <f>'Cifras Historicas'!K45</f>
        <v>428650.09</v>
      </c>
      <c r="K52" s="141">
        <f>J52*(1+K27)</f>
        <v>443275.63107080001</v>
      </c>
      <c r="L52" s="141">
        <f>K52*(1+L27)</f>
        <v>459313.34340294159</v>
      </c>
      <c r="M52" s="141">
        <f>L52*(1+M27)</f>
        <v>476877.4856546701</v>
      </c>
      <c r="N52" s="141">
        <f>M52*(1+N27)</f>
        <v>494622.09689588036</v>
      </c>
      <c r="O52" s="141">
        <f>N52*(1+O27)</f>
        <v>512008.06360177055</v>
      </c>
      <c r="R52" s="641"/>
      <c r="S52" s="641"/>
      <c r="T52" s="641"/>
      <c r="U52" s="641"/>
      <c r="V52" s="641"/>
      <c r="W52" s="641"/>
      <c r="X52" s="641"/>
      <c r="Y52" s="641"/>
      <c r="Z52" s="641"/>
      <c r="AA52" s="641"/>
    </row>
    <row r="53" spans="1:35" ht="15.75">
      <c r="A53" s="581" t="s">
        <v>207</v>
      </c>
      <c r="B53" s="581"/>
      <c r="C53" s="581"/>
      <c r="D53" s="581"/>
      <c r="E53" s="581"/>
      <c r="F53" s="6">
        <f>'Cifras Historicas'!G52</f>
        <v>376264.66500000004</v>
      </c>
      <c r="G53" s="6">
        <f>'Cifras Historicas'!H52</f>
        <v>552909.23599999992</v>
      </c>
      <c r="H53" s="6">
        <f>'Cifras Historicas'!I52</f>
        <v>390256.158</v>
      </c>
      <c r="I53" s="6">
        <f>'Cifras Historicas'!J52</f>
        <v>347020.00599999999</v>
      </c>
      <c r="J53" s="6">
        <f>'Cifras Historicas'!K52</f>
        <v>494269.554</v>
      </c>
      <c r="K53" s="212">
        <f>J53*(1+K27)</f>
        <v>511134.03118247999</v>
      </c>
      <c r="L53" s="212">
        <f>K53*(1+L27)</f>
        <v>529626.86043066217</v>
      </c>
      <c r="M53" s="212">
        <f t="shared" ref="M53:O53" si="9">L53*(1+M27)</f>
        <v>549879.79157353076</v>
      </c>
      <c r="N53" s="212">
        <f t="shared" si="9"/>
        <v>570340.81861798186</v>
      </c>
      <c r="O53" s="212">
        <f t="shared" si="9"/>
        <v>590388.29839240399</v>
      </c>
      <c r="R53" s="185"/>
      <c r="S53" s="185"/>
      <c r="T53" s="185"/>
      <c r="U53" s="185"/>
      <c r="V53" s="185"/>
      <c r="W53" s="185"/>
      <c r="X53" s="185"/>
      <c r="Y53" s="185"/>
      <c r="Z53" s="185"/>
      <c r="AA53" s="185"/>
    </row>
    <row r="54" spans="1:35">
      <c r="A54" s="869" t="s">
        <v>11</v>
      </c>
      <c r="B54" s="870"/>
      <c r="C54" s="870"/>
      <c r="D54" s="870"/>
      <c r="E54" s="870"/>
      <c r="F54" s="3"/>
      <c r="G54" s="3"/>
      <c r="H54" s="3"/>
      <c r="I54" s="3"/>
      <c r="J54" s="4"/>
      <c r="K54" s="84"/>
      <c r="L54" s="84"/>
      <c r="M54" s="84"/>
      <c r="N54" s="84"/>
      <c r="O54" s="84"/>
      <c r="W54" s="85"/>
      <c r="X54" s="85"/>
      <c r="Y54" s="85"/>
      <c r="Z54" s="85"/>
      <c r="AA54" s="85"/>
    </row>
    <row r="55" spans="1:35" ht="15.75">
      <c r="A55" s="581" t="s">
        <v>163</v>
      </c>
      <c r="B55" s="581"/>
      <c r="C55" s="581"/>
      <c r="D55" s="581"/>
      <c r="E55" s="581"/>
      <c r="F55" s="141">
        <f>'Cifras Historicas'!G54</f>
        <v>0</v>
      </c>
      <c r="G55" s="141">
        <f>'Cifras Historicas'!H54</f>
        <v>0</v>
      </c>
      <c r="H55" s="141">
        <f>'Cifras Historicas'!I54</f>
        <v>200000</v>
      </c>
      <c r="I55" s="141">
        <f>'Cifras Historicas'!J54</f>
        <v>200000</v>
      </c>
      <c r="J55" s="141">
        <f>'Cifras Historicas'!K54</f>
        <v>166666.66699999999</v>
      </c>
      <c r="K55" s="141">
        <f>J55*(1+K27)</f>
        <v>172353.33367803998</v>
      </c>
      <c r="L55" s="141">
        <f>K55*(1+L27)</f>
        <v>178589.07729051149</v>
      </c>
      <c r="M55" s="141">
        <f>L55*(1+M27)</f>
        <v>185418.32360610066</v>
      </c>
      <c r="N55" s="141">
        <f>M55*(1+N27)</f>
        <v>192317.73942748367</v>
      </c>
      <c r="O55" s="141">
        <f>N55*(1+O27)</f>
        <v>199077.70796835973</v>
      </c>
      <c r="R55" s="75"/>
      <c r="S55" s="75"/>
      <c r="T55" s="75"/>
      <c r="U55" s="75"/>
      <c r="V55" s="75"/>
      <c r="W55" s="76"/>
      <c r="X55" s="76"/>
      <c r="Y55" s="76"/>
      <c r="Z55" s="76"/>
      <c r="AA55" s="76"/>
      <c r="AB55" s="77"/>
      <c r="AC55" s="77"/>
      <c r="AD55" s="77"/>
      <c r="AE55" s="77"/>
      <c r="AF55" s="77"/>
      <c r="AG55" s="77"/>
      <c r="AH55" s="77"/>
      <c r="AI55" s="77"/>
    </row>
    <row r="56" spans="1:35">
      <c r="A56" s="2"/>
      <c r="B56" s="2"/>
      <c r="C56" s="2"/>
      <c r="D56" s="2"/>
      <c r="E56" s="2"/>
    </row>
    <row r="57" spans="1:35" ht="15.75">
      <c r="A57" s="871" t="s">
        <v>210</v>
      </c>
      <c r="B57" s="871"/>
      <c r="C57" s="871"/>
      <c r="D57" s="871"/>
      <c r="E57" s="871"/>
      <c r="F57" s="92">
        <f>'Cifras Historicas'!G65</f>
        <v>919871.55900000001</v>
      </c>
      <c r="G57" s="92">
        <f>'Cifras Historicas'!H65</f>
        <v>1009942.4749999999</v>
      </c>
      <c r="H57" s="92">
        <f>'Cifras Historicas'!I65</f>
        <v>615196.15800000005</v>
      </c>
      <c r="I57" s="92">
        <f>'Cifras Historicas'!J65</f>
        <v>849411.33199999994</v>
      </c>
      <c r="J57" s="92">
        <f>'Cifras Historicas'!K65</f>
        <v>1210297.0159999998</v>
      </c>
      <c r="K57" s="167">
        <f>J57*(1+K27)</f>
        <v>1251592.3501859198</v>
      </c>
      <c r="L57" s="167">
        <f>K57*(1+L27)</f>
        <v>1296874.9614156466</v>
      </c>
      <c r="M57" s="167">
        <f t="shared" ref="M57:O57" si="10">L57*(1+M27)</f>
        <v>1346467.4599401809</v>
      </c>
      <c r="N57" s="167">
        <f t="shared" si="10"/>
        <v>1396569.514124555</v>
      </c>
      <c r="O57" s="167">
        <f t="shared" si="10"/>
        <v>1445658.9325460333</v>
      </c>
    </row>
    <row r="58" spans="1:35">
      <c r="A58" s="2"/>
    </row>
    <row r="59" spans="1:35">
      <c r="A59" s="869" t="s">
        <v>12</v>
      </c>
      <c r="B59" s="870"/>
      <c r="C59" s="870"/>
      <c r="D59" s="870"/>
      <c r="E59" s="870"/>
      <c r="F59" s="3"/>
      <c r="G59" s="3"/>
      <c r="H59" s="3"/>
      <c r="I59" s="3"/>
      <c r="J59" s="4"/>
      <c r="K59" s="84"/>
      <c r="L59" s="84"/>
      <c r="M59" s="84"/>
      <c r="N59" s="84"/>
      <c r="O59" s="84"/>
    </row>
    <row r="60" spans="1:35" ht="15.75">
      <c r="A60" s="581" t="s">
        <v>244</v>
      </c>
      <c r="B60" s="581"/>
      <c r="C60" s="581"/>
      <c r="D60" s="581"/>
      <c r="E60" s="581"/>
      <c r="F60" s="93">
        <f>'Cifras Historicas'!G75</f>
        <v>252392.95600000001</v>
      </c>
      <c r="G60" s="93">
        <f>'Cifras Historicas'!H75</f>
        <v>375020.69900000002</v>
      </c>
      <c r="H60" s="93">
        <f>'Cifras Historicas'!I75</f>
        <v>483208.02499999997</v>
      </c>
      <c r="I60" s="93">
        <f>'Cifras Historicas'!J75</f>
        <v>508640.81999999995</v>
      </c>
      <c r="J60" s="93">
        <f>'Cifras Historicas'!K75</f>
        <v>475630.01199999993</v>
      </c>
      <c r="K60" s="141">
        <f>J60*(1+K27)+K81</f>
        <v>489532.89646530221</v>
      </c>
      <c r="L60" s="141">
        <f>K60*(1+L27)+L81</f>
        <v>529118.30311252794</v>
      </c>
      <c r="M60" s="141">
        <f t="shared" ref="M60:O60" si="11">L60*(1+M27)+M81</f>
        <v>571258.35606650042</v>
      </c>
      <c r="N60" s="141">
        <f t="shared" si="11"/>
        <v>614500.84370094258</v>
      </c>
      <c r="O60" s="141">
        <f t="shared" si="11"/>
        <v>658189.13773126784</v>
      </c>
    </row>
    <row r="61" spans="1:35">
      <c r="A61" s="2"/>
      <c r="B61" s="2"/>
      <c r="C61" s="2"/>
      <c r="D61" s="2"/>
      <c r="E61" s="2"/>
    </row>
    <row r="62" spans="1:35" ht="15.75">
      <c r="A62" s="871" t="s">
        <v>6</v>
      </c>
      <c r="B62" s="871"/>
      <c r="C62" s="871"/>
      <c r="D62" s="871"/>
      <c r="E62" s="871"/>
      <c r="F62" s="92">
        <f t="shared" ref="F62:J62" si="12">F57+F60</f>
        <v>1172264.5150000001</v>
      </c>
      <c r="G62" s="92">
        <f t="shared" si="12"/>
        <v>1384963.1739999999</v>
      </c>
      <c r="H62" s="92">
        <f t="shared" si="12"/>
        <v>1098404.183</v>
      </c>
      <c r="I62" s="92">
        <f t="shared" si="12"/>
        <v>1358052.1519999998</v>
      </c>
      <c r="J62" s="92">
        <f t="shared" si="12"/>
        <v>1685927.0279999997</v>
      </c>
      <c r="K62" s="167">
        <f>J62*(1+K27)+K83</f>
        <v>1743450.8581953596</v>
      </c>
      <c r="L62" s="167">
        <f>K62*(1+L27)+L83</f>
        <v>1806528.9102448679</v>
      </c>
      <c r="M62" s="167">
        <f t="shared" ref="M62:O62" si="13">L62*(1+M27)+M83</f>
        <v>1875610.5757726317</v>
      </c>
      <c r="N62" s="167">
        <f t="shared" si="13"/>
        <v>1945402.0452971312</v>
      </c>
      <c r="O62" s="167">
        <f t="shared" si="13"/>
        <v>2013782.9271893254</v>
      </c>
    </row>
    <row r="63" spans="1:35" ht="16.5">
      <c r="F63" s="20"/>
      <c r="G63" s="20"/>
      <c r="H63" s="20"/>
      <c r="I63" s="20"/>
      <c r="J63" s="20"/>
      <c r="K63" s="20"/>
      <c r="L63" s="20"/>
      <c r="M63" s="20"/>
      <c r="N63" s="20"/>
      <c r="O63" s="20"/>
      <c r="Q63" s="627"/>
      <c r="R63" s="627"/>
    </row>
    <row r="64" spans="1:35">
      <c r="F64" s="20">
        <f t="shared" ref="F64:I64" si="14">+F48-F62</f>
        <v>0</v>
      </c>
      <c r="G64" s="20">
        <f t="shared" si="14"/>
        <v>0</v>
      </c>
      <c r="H64" s="20">
        <f t="shared" si="14"/>
        <v>0</v>
      </c>
      <c r="I64" s="20">
        <f t="shared" si="14"/>
        <v>0</v>
      </c>
      <c r="J64" s="20">
        <f>+J48-J62</f>
        <v>0</v>
      </c>
      <c r="K64" s="20">
        <f>+K48-K62</f>
        <v>0</v>
      </c>
      <c r="L64" s="20">
        <f t="shared" ref="L64:O64" si="15">+L48-L62</f>
        <v>0</v>
      </c>
      <c r="M64" s="20">
        <f t="shared" si="15"/>
        <v>0</v>
      </c>
      <c r="N64" s="20">
        <f t="shared" si="15"/>
        <v>0</v>
      </c>
      <c r="O64" s="20">
        <f t="shared" si="15"/>
        <v>0</v>
      </c>
    </row>
    <row r="65" spans="1:21" ht="15.75" thickBot="1">
      <c r="J65" s="520"/>
      <c r="K65" s="520"/>
      <c r="L65" s="520"/>
      <c r="M65" s="520"/>
      <c r="N65" s="520"/>
      <c r="O65" s="520"/>
    </row>
    <row r="66" spans="1:21" ht="15.75" thickBot="1">
      <c r="A66" s="872" t="s">
        <v>22</v>
      </c>
      <c r="B66" s="873"/>
      <c r="C66" s="873"/>
      <c r="D66" s="873"/>
      <c r="E66" s="873"/>
      <c r="F66" s="87">
        <f>'Cifras Historicas'!G85</f>
        <v>2018</v>
      </c>
      <c r="G66" s="87">
        <f>'Cifras Historicas'!H85</f>
        <v>2019</v>
      </c>
      <c r="H66" s="87">
        <f>'Cifras Historicas'!I85</f>
        <v>2020</v>
      </c>
      <c r="I66" s="87">
        <f>'Cifras Historicas'!J85</f>
        <v>2021</v>
      </c>
      <c r="J66" s="111">
        <f>'Cifras Historicas'!K85</f>
        <v>2022</v>
      </c>
      <c r="K66" s="21">
        <f>K38</f>
        <v>2023</v>
      </c>
      <c r="L66" s="22">
        <f>L38</f>
        <v>2024</v>
      </c>
      <c r="M66" s="22">
        <f>M38</f>
        <v>2025</v>
      </c>
      <c r="N66" s="22">
        <f>N38</f>
        <v>2026</v>
      </c>
      <c r="O66" s="23">
        <f>O38</f>
        <v>2027</v>
      </c>
      <c r="P66" s="470">
        <f>+K66</f>
        <v>2023</v>
      </c>
      <c r="Q66" s="470">
        <f t="shared" ref="Q66:T66" si="16">+L66</f>
        <v>2024</v>
      </c>
      <c r="R66" s="470">
        <f t="shared" si="16"/>
        <v>2025</v>
      </c>
      <c r="S66" s="470">
        <f t="shared" si="16"/>
        <v>2026</v>
      </c>
      <c r="T66" s="470">
        <f t="shared" si="16"/>
        <v>2027</v>
      </c>
      <c r="U66" s="887" t="s">
        <v>628</v>
      </c>
    </row>
    <row r="67" spans="1:21">
      <c r="A67" s="874" t="s">
        <v>19</v>
      </c>
      <c r="B67" s="875"/>
      <c r="C67" s="875"/>
      <c r="D67" s="875"/>
      <c r="E67" s="875"/>
      <c r="F67" s="110"/>
      <c r="G67" s="110"/>
      <c r="H67" s="110"/>
      <c r="I67" s="110"/>
      <c r="J67" s="110"/>
      <c r="K67" s="876"/>
      <c r="L67" s="877"/>
      <c r="M67" s="877"/>
      <c r="N67" s="877"/>
      <c r="O67" s="878"/>
      <c r="P67" s="584" t="s">
        <v>25</v>
      </c>
      <c r="Q67" s="585"/>
      <c r="R67" s="585"/>
      <c r="S67" s="585"/>
      <c r="T67" s="585"/>
      <c r="U67" s="888"/>
    </row>
    <row r="68" spans="1:21" ht="15.75">
      <c r="A68" s="597" t="s">
        <v>173</v>
      </c>
      <c r="B68" s="598"/>
      <c r="C68" s="598"/>
      <c r="D68" s="598"/>
      <c r="E68" s="599"/>
      <c r="F68" s="337">
        <f>+Proyecciones!F67</f>
        <v>5437074.3200000003</v>
      </c>
      <c r="G68" s="337">
        <f>+Proyecciones!G67</f>
        <v>5760384.8439999996</v>
      </c>
      <c r="H68" s="337">
        <f>+Proyecciones!H67</f>
        <v>5973143.3619999997</v>
      </c>
      <c r="I68" s="337">
        <f>+Proyecciones!I67</f>
        <v>4665256.33</v>
      </c>
      <c r="J68" s="337">
        <f>+Proyecciones!J67</f>
        <v>6088081.801</v>
      </c>
      <c r="K68" s="141">
        <f>+Proyecciones!K67+'Estrategias Operativas'!E77+'Estrategias Operativas'!E84</f>
        <v>6271114.9830300007</v>
      </c>
      <c r="L68" s="141">
        <f>+Proyecciones!L67+'Estrategias Operativas'!F77+'Estrategias Operativas'!F84</f>
        <v>6523909.1017289013</v>
      </c>
      <c r="M68" s="141">
        <f>+Proyecciones!M67+'Estrategias Operativas'!G77+'Estrategias Operativas'!G84</f>
        <v>6730271.2591818878</v>
      </c>
      <c r="N68" s="141">
        <f>+Proyecciones!N67+'Estrategias Operativas'!H77+'Estrategias Operativas'!H84</f>
        <v>6942801.1783308471</v>
      </c>
      <c r="O68" s="141">
        <f>+Proyecciones!O67+'Estrategias Operativas'!I77+'Estrategias Operativas'!I84</f>
        <v>7161651.3665522644</v>
      </c>
      <c r="P68" s="81">
        <f>K68/K$68</f>
        <v>1</v>
      </c>
      <c r="Q68" s="81">
        <f t="shared" ref="Q68:Q73" si="17">L68/L$68</f>
        <v>1</v>
      </c>
      <c r="R68" s="81">
        <f t="shared" ref="R68:R73" si="18">M68/M$68</f>
        <v>1</v>
      </c>
      <c r="S68" s="81">
        <f t="shared" ref="S68:S73" si="19">N68/N$68</f>
        <v>1</v>
      </c>
      <c r="T68" s="81">
        <f>O68/O$68</f>
        <v>1</v>
      </c>
      <c r="U68" s="81">
        <f>+AVERAGE(P68:T68)</f>
        <v>1</v>
      </c>
    </row>
    <row r="69" spans="1:21" ht="15.75">
      <c r="A69" s="597" t="s">
        <v>174</v>
      </c>
      <c r="B69" s="598"/>
      <c r="C69" s="598"/>
      <c r="D69" s="598"/>
      <c r="E69" s="599"/>
      <c r="F69" s="337">
        <f>+Proyecciones!F68</f>
        <v>4961480.7580000004</v>
      </c>
      <c r="G69" s="337">
        <f>+Proyecciones!G68</f>
        <v>5295767.21</v>
      </c>
      <c r="H69" s="337">
        <f>+Proyecciones!H68</f>
        <v>5612981.3210000005</v>
      </c>
      <c r="I69" s="337">
        <f>+Proyecciones!I68</f>
        <v>4403790.7410000004</v>
      </c>
      <c r="J69" s="337">
        <f>+Proyecciones!J68</f>
        <v>5736207.8629999999</v>
      </c>
      <c r="K69" s="141">
        <f>+Proyecciones!K68+'Estrategias Operativas'!E78+'Estrategias Operativas'!E85</f>
        <v>5841814.0081019029</v>
      </c>
      <c r="L69" s="141">
        <f>+Proyecciones!L68+'Estrategias Operativas'!F78+'Estrategias Operativas'!F85</f>
        <v>6057115.2467529606</v>
      </c>
      <c r="M69" s="141">
        <f>+Proyecciones!M68+'Estrategias Operativas'!G78+'Estrategias Operativas'!G85</f>
        <v>6250040.6575134704</v>
      </c>
      <c r="N69" s="141">
        <f>+Proyecciones!N68+'Estrategias Operativas'!H78+'Estrategias Operativas'!H85</f>
        <v>6448684.8919146517</v>
      </c>
      <c r="O69" s="141">
        <f>+Proyecciones!O68+'Estrategias Operativas'!I78+'Estrategias Operativas'!I85</f>
        <v>6653212.2729556402</v>
      </c>
      <c r="P69" s="81">
        <f t="shared" ref="P69:P73" si="20">K69/K$68</f>
        <v>0.9315431185539077</v>
      </c>
      <c r="Q69" s="81">
        <f t="shared" si="17"/>
        <v>0.92844874940819833</v>
      </c>
      <c r="R69" s="81">
        <f t="shared" si="18"/>
        <v>0.92864617439999098</v>
      </c>
      <c r="S69" s="81">
        <f t="shared" si="19"/>
        <v>0.92883041387410314</v>
      </c>
      <c r="T69" s="81">
        <f t="shared" ref="T69:T73" si="21">O69/O$68</f>
        <v>0.92900532746242925</v>
      </c>
      <c r="U69" s="81">
        <f t="shared" ref="U69:U81" si="22">+AVERAGE(P69:T69)</f>
        <v>0.92929475673972595</v>
      </c>
    </row>
    <row r="70" spans="1:21" ht="15.75">
      <c r="A70" s="581" t="s">
        <v>16</v>
      </c>
      <c r="B70" s="581"/>
      <c r="C70" s="581"/>
      <c r="D70" s="581"/>
      <c r="E70" s="581"/>
      <c r="F70" s="91">
        <f>F68-F69</f>
        <v>475593.56199999992</v>
      </c>
      <c r="G70" s="91">
        <f t="shared" ref="G70:I70" si="23">G68-G69</f>
        <v>464617.63399999961</v>
      </c>
      <c r="H70" s="91">
        <f t="shared" si="23"/>
        <v>360162.04099999927</v>
      </c>
      <c r="I70" s="91">
        <f t="shared" si="23"/>
        <v>261465.58899999969</v>
      </c>
      <c r="J70" s="91">
        <f>J68-J69</f>
        <v>351873.93800000008</v>
      </c>
      <c r="K70" s="91">
        <f t="shared" ref="K70:O70" si="24">K68-K69</f>
        <v>429300.9749280978</v>
      </c>
      <c r="L70" s="91">
        <f t="shared" si="24"/>
        <v>466793.85497594066</v>
      </c>
      <c r="M70" s="91">
        <f t="shared" si="24"/>
        <v>480230.60166841745</v>
      </c>
      <c r="N70" s="91">
        <f t="shared" si="24"/>
        <v>494116.28641619533</v>
      </c>
      <c r="O70" s="91">
        <f t="shared" si="24"/>
        <v>508439.09359662421</v>
      </c>
      <c r="P70" s="81">
        <f t="shared" si="20"/>
        <v>6.8456881446092285E-2</v>
      </c>
      <c r="Q70" s="81">
        <f t="shared" si="17"/>
        <v>7.1551250591801716E-2</v>
      </c>
      <c r="R70" s="81">
        <f t="shared" si="18"/>
        <v>7.135382560000901E-2</v>
      </c>
      <c r="S70" s="81">
        <f t="shared" si="19"/>
        <v>7.1169586125896842E-2</v>
      </c>
      <c r="T70" s="81">
        <f t="shared" si="21"/>
        <v>7.0994672537570774E-2</v>
      </c>
      <c r="U70" s="81">
        <f t="shared" si="22"/>
        <v>7.0705243260274123E-2</v>
      </c>
    </row>
    <row r="71" spans="1:21" ht="15.75">
      <c r="A71" s="577" t="s">
        <v>175</v>
      </c>
      <c r="B71" s="577"/>
      <c r="C71" s="577"/>
      <c r="D71" s="577"/>
      <c r="E71" s="577"/>
      <c r="F71" s="338">
        <f>+Proyecciones!F70</f>
        <v>463295.07299999997</v>
      </c>
      <c r="G71" s="338">
        <f>+Proyecciones!G70</f>
        <v>415721.8</v>
      </c>
      <c r="H71" s="338">
        <f>+Proyecciones!H70</f>
        <v>254647.41399999999</v>
      </c>
      <c r="I71" s="338">
        <f>+Proyecciones!I70</f>
        <v>212200.503</v>
      </c>
      <c r="J71" s="338">
        <f>+Proyecciones!J70</f>
        <v>242970.18900000001</v>
      </c>
      <c r="K71" s="143">
        <f>+Proyecciones!K70</f>
        <v>357940.41678073688</v>
      </c>
      <c r="L71" s="143">
        <f>+Proyecciones!L70</f>
        <v>368678.62928415899</v>
      </c>
      <c r="M71" s="143">
        <f>+Proyecciones!M70</f>
        <v>379738.98816268379</v>
      </c>
      <c r="N71" s="143">
        <f>+Proyecciones!N70</f>
        <v>391131.1578075643</v>
      </c>
      <c r="O71" s="143">
        <f>+Proyecciones!O70</f>
        <v>402865.09254179121</v>
      </c>
      <c r="P71" s="81">
        <f t="shared" si="20"/>
        <v>5.7077635755259523E-2</v>
      </c>
      <c r="Q71" s="81">
        <f t="shared" si="17"/>
        <v>5.6511920006128757E-2</v>
      </c>
      <c r="R71" s="81">
        <f t="shared" si="18"/>
        <v>5.6422538340429942E-2</v>
      </c>
      <c r="S71" s="81">
        <f t="shared" si="19"/>
        <v>5.6336217581503333E-2</v>
      </c>
      <c r="T71" s="81">
        <f t="shared" si="21"/>
        <v>5.625310028680397E-2</v>
      </c>
      <c r="U71" s="81">
        <f t="shared" si="22"/>
        <v>5.6520282394025109E-2</v>
      </c>
    </row>
    <row r="72" spans="1:21" ht="15.75">
      <c r="A72" s="577" t="s">
        <v>637</v>
      </c>
      <c r="B72" s="577"/>
      <c r="C72" s="577"/>
      <c r="D72" s="577"/>
      <c r="E72" s="577"/>
      <c r="F72" s="338">
        <f>+Proyecciones!F71</f>
        <v>0</v>
      </c>
      <c r="G72" s="338">
        <f>+Proyecciones!G71</f>
        <v>115970.139</v>
      </c>
      <c r="H72" s="338">
        <f>+Proyecciones!H71</f>
        <v>47396.315000000002</v>
      </c>
      <c r="I72" s="338">
        <f>+Proyecciones!I71</f>
        <v>13436.021000000001</v>
      </c>
      <c r="J72" s="338">
        <f>+Proyecciones!J71</f>
        <v>7163.1570000000002</v>
      </c>
      <c r="K72" s="143">
        <f>+Proyecciones!K71</f>
        <v>40287.982992008241</v>
      </c>
      <c r="L72" s="143">
        <f>+Proyecciones!L71</f>
        <v>41496.622481768492</v>
      </c>
      <c r="M72" s="143">
        <f>+Proyecciones!M71</f>
        <v>42741.521156221548</v>
      </c>
      <c r="N72" s="143">
        <f>+Proyecciones!N71</f>
        <v>44023.766790908194</v>
      </c>
      <c r="O72" s="143">
        <f>+Proyecciones!O71</f>
        <v>45344.479794635437</v>
      </c>
      <c r="P72" s="81">
        <f t="shared" si="20"/>
        <v>6.4243731937669536E-3</v>
      </c>
      <c r="Q72" s="81">
        <f t="shared" si="17"/>
        <v>6.3606990586014562E-3</v>
      </c>
      <c r="R72" s="81">
        <f t="shared" si="18"/>
        <v>6.3506387053732334E-3</v>
      </c>
      <c r="S72" s="81">
        <f t="shared" si="19"/>
        <v>6.3409228725014657E-3</v>
      </c>
      <c r="T72" s="81">
        <f t="shared" si="21"/>
        <v>6.3315676055402583E-3</v>
      </c>
      <c r="U72" s="81">
        <f t="shared" si="22"/>
        <v>6.3616402871566734E-3</v>
      </c>
    </row>
    <row r="73" spans="1:21" ht="15.75">
      <c r="A73" s="581" t="s">
        <v>17</v>
      </c>
      <c r="B73" s="581"/>
      <c r="C73" s="581"/>
      <c r="D73" s="581"/>
      <c r="E73" s="581"/>
      <c r="F73" s="91">
        <f t="shared" ref="F73:O73" si="25">F70-F71-F72</f>
        <v>12298.488999999943</v>
      </c>
      <c r="G73" s="91">
        <f>G70-G71-G72</f>
        <v>-67074.305000000371</v>
      </c>
      <c r="H73" s="91">
        <f t="shared" si="25"/>
        <v>58118.311999999278</v>
      </c>
      <c r="I73" s="91">
        <f t="shared" si="25"/>
        <v>35829.064999999689</v>
      </c>
      <c r="J73" s="91">
        <f>J70-J71-J72</f>
        <v>101740.59200000006</v>
      </c>
      <c r="K73" s="91">
        <f>K70-K71-K72</f>
        <v>31072.575155352679</v>
      </c>
      <c r="L73" s="91">
        <f t="shared" si="25"/>
        <v>56618.603210013178</v>
      </c>
      <c r="M73" s="91">
        <f t="shared" si="25"/>
        <v>57750.092349512117</v>
      </c>
      <c r="N73" s="91">
        <f t="shared" si="25"/>
        <v>58961.361817722835</v>
      </c>
      <c r="O73" s="91">
        <f t="shared" si="25"/>
        <v>60229.521260197565</v>
      </c>
      <c r="P73" s="81">
        <f t="shared" si="20"/>
        <v>4.9548724970658103E-3</v>
      </c>
      <c r="Q73" s="81">
        <f t="shared" si="17"/>
        <v>8.6786315270715036E-3</v>
      </c>
      <c r="R73" s="81">
        <f t="shared" si="18"/>
        <v>8.5806485542058303E-3</v>
      </c>
      <c r="S73" s="81">
        <f t="shared" si="19"/>
        <v>8.4924456718920519E-3</v>
      </c>
      <c r="T73" s="81">
        <f t="shared" si="21"/>
        <v>8.4100046452265428E-3</v>
      </c>
      <c r="U73" s="81">
        <f t="shared" si="22"/>
        <v>7.8233205790923487E-3</v>
      </c>
    </row>
    <row r="74" spans="1:21">
      <c r="A74" s="869" t="s">
        <v>20</v>
      </c>
      <c r="B74" s="870"/>
      <c r="C74" s="870"/>
      <c r="D74" s="870"/>
      <c r="E74" s="870"/>
      <c r="F74" s="3"/>
      <c r="G74" s="3"/>
      <c r="H74" s="3"/>
      <c r="I74" s="3"/>
      <c r="J74" s="4"/>
      <c r="K74" s="84"/>
      <c r="L74" s="84"/>
      <c r="M74" s="84"/>
      <c r="N74" s="84"/>
      <c r="O74" s="84"/>
      <c r="P74" s="475"/>
      <c r="Q74" s="475"/>
      <c r="R74" s="475"/>
      <c r="S74" s="475"/>
      <c r="T74" s="476"/>
      <c r="U74" s="476"/>
    </row>
    <row r="75" spans="1:21" ht="15.75">
      <c r="A75" s="577" t="s">
        <v>176</v>
      </c>
      <c r="B75" s="577"/>
      <c r="C75" s="577"/>
      <c r="D75" s="577"/>
      <c r="E75" s="577"/>
      <c r="F75" s="337">
        <f>+Proyecciones!F74</f>
        <v>18614.454000000002</v>
      </c>
      <c r="G75" s="337">
        <f>+Proyecciones!G74</f>
        <v>0</v>
      </c>
      <c r="H75" s="337">
        <f>+Proyecciones!H74</f>
        <v>0</v>
      </c>
      <c r="I75" s="337">
        <f>+Proyecciones!I74</f>
        <v>0</v>
      </c>
      <c r="J75" s="337">
        <f>+Proyecciones!J74</f>
        <v>0</v>
      </c>
      <c r="K75" s="141">
        <f>K68*'Cifras Historicas'!$Q$94</f>
        <v>4293.9777722340477</v>
      </c>
      <c r="L75" s="141">
        <f>L68*'Cifras Historicas'!$Q$94</f>
        <v>4467.0717642246227</v>
      </c>
      <c r="M75" s="141">
        <f>M68*'Cifras Historicas'!$Q$94</f>
        <v>4608.3727162134264</v>
      </c>
      <c r="N75" s="141">
        <f>N68*'Cifras Historicas'!$Q$94</f>
        <v>4753.8968775834337</v>
      </c>
      <c r="O75" s="141">
        <f>O68*'Cifras Historicas'!$Q$94</f>
        <v>4903.7486736699329</v>
      </c>
      <c r="P75" s="81">
        <f t="shared" ref="P75:P77" si="26">K75/K$68</f>
        <v>6.8472317663665868E-4</v>
      </c>
      <c r="Q75" s="81">
        <f t="shared" ref="Q75:Q77" si="27">L75/L$68</f>
        <v>6.8472317663665857E-4</v>
      </c>
      <c r="R75" s="81">
        <f t="shared" ref="R75:R77" si="28">M75/M$68</f>
        <v>6.8472317663665857E-4</v>
      </c>
      <c r="S75" s="81">
        <f t="shared" ref="S75:S77" si="29">N75/N$68</f>
        <v>6.8472317663665857E-4</v>
      </c>
      <c r="T75" s="81">
        <f t="shared" ref="T75:T77" si="30">O75/O$68</f>
        <v>6.8472317663665846E-4</v>
      </c>
      <c r="U75" s="81">
        <f t="shared" si="22"/>
        <v>6.8472317663665857E-4</v>
      </c>
    </row>
    <row r="76" spans="1:21" ht="15.75">
      <c r="A76" s="577" t="s">
        <v>177</v>
      </c>
      <c r="B76" s="577"/>
      <c r="C76" s="577"/>
      <c r="D76" s="577"/>
      <c r="E76" s="577"/>
      <c r="F76" s="337">
        <f>+Proyecciones!F75</f>
        <v>0</v>
      </c>
      <c r="G76" s="337">
        <f>+Proyecciones!G75</f>
        <v>0</v>
      </c>
      <c r="H76" s="337">
        <f>+Proyecciones!H75</f>
        <v>0</v>
      </c>
      <c r="I76" s="337">
        <f>+Proyecciones!I75</f>
        <v>0</v>
      </c>
      <c r="J76" s="337">
        <f>+Proyecciones!J75</f>
        <v>0</v>
      </c>
      <c r="K76" s="337">
        <f>K68*'Cifras Historicas'!$Q$95</f>
        <v>0</v>
      </c>
      <c r="L76" s="337">
        <f>L68*'Cifras Historicas'!$Q$95</f>
        <v>0</v>
      </c>
      <c r="M76" s="337">
        <f>M68*'Cifras Historicas'!$Q$95</f>
        <v>0</v>
      </c>
      <c r="N76" s="337">
        <f>N68*'Cifras Historicas'!$Q$95</f>
        <v>0</v>
      </c>
      <c r="O76" s="337">
        <f>O68*'Cifras Historicas'!$Q$95</f>
        <v>0</v>
      </c>
      <c r="P76" s="81">
        <f t="shared" si="26"/>
        <v>0</v>
      </c>
      <c r="Q76" s="81">
        <f t="shared" si="27"/>
        <v>0</v>
      </c>
      <c r="R76" s="81">
        <f t="shared" si="28"/>
        <v>0</v>
      </c>
      <c r="S76" s="81">
        <f t="shared" si="29"/>
        <v>0</v>
      </c>
      <c r="T76" s="81">
        <f t="shared" si="30"/>
        <v>0</v>
      </c>
      <c r="U76" s="81">
        <f t="shared" si="22"/>
        <v>0</v>
      </c>
    </row>
    <row r="77" spans="1:21" ht="15.75">
      <c r="A77" s="577" t="s">
        <v>178</v>
      </c>
      <c r="B77" s="577"/>
      <c r="C77" s="577"/>
      <c r="D77" s="577"/>
      <c r="E77" s="577"/>
      <c r="F77" s="337">
        <f>+Proyecciones!F76</f>
        <v>668.49199999999996</v>
      </c>
      <c r="G77" s="337">
        <f>+Proyecciones!G76</f>
        <v>-21484.746999999999</v>
      </c>
      <c r="H77" s="337">
        <f>+Proyecciones!H76</f>
        <v>-1031.787</v>
      </c>
      <c r="I77" s="337">
        <f>+Proyecciones!I76</f>
        <v>7933.05</v>
      </c>
      <c r="J77" s="337">
        <f>+Proyecciones!J76</f>
        <v>26265.449000000001</v>
      </c>
      <c r="K77" s="337">
        <f>K68*'Cifras Historicas'!$Q$96</f>
        <v>2803.3954244793267</v>
      </c>
      <c r="L77" s="337">
        <f>L68*'Cifras Historicas'!$Q$96</f>
        <v>2916.4027409794253</v>
      </c>
      <c r="M77" s="337">
        <f>M68*'Cifras Historicas'!$Q$96</f>
        <v>3008.6534379535487</v>
      </c>
      <c r="N77" s="337">
        <f>N68*'Cifras Historicas'!$Q$96</f>
        <v>3103.6613280208553</v>
      </c>
      <c r="O77" s="337">
        <f>O68*'Cifras Historicas'!$Q$96</f>
        <v>3201.4945870133297</v>
      </c>
      <c r="P77" s="81">
        <f t="shared" si="26"/>
        <v>4.4703301280003263E-4</v>
      </c>
      <c r="Q77" s="81">
        <f t="shared" si="27"/>
        <v>4.4703301280003263E-4</v>
      </c>
      <c r="R77" s="81">
        <f t="shared" si="28"/>
        <v>4.4703301280003263E-4</v>
      </c>
      <c r="S77" s="81">
        <f t="shared" si="29"/>
        <v>4.4703301280003263E-4</v>
      </c>
      <c r="T77" s="81">
        <f t="shared" si="30"/>
        <v>4.4703301280003263E-4</v>
      </c>
      <c r="U77" s="81">
        <f t="shared" si="22"/>
        <v>4.4703301280003263E-4</v>
      </c>
    </row>
    <row r="78" spans="1:21">
      <c r="A78" s="869" t="s">
        <v>21</v>
      </c>
      <c r="B78" s="870"/>
      <c r="C78" s="870"/>
      <c r="D78" s="870"/>
      <c r="E78" s="870"/>
      <c r="F78" s="3"/>
      <c r="G78" s="3"/>
      <c r="H78" s="3"/>
      <c r="I78" s="3"/>
      <c r="J78" s="4"/>
      <c r="K78" s="84"/>
      <c r="L78" s="84"/>
      <c r="M78" s="84"/>
      <c r="N78" s="84"/>
      <c r="O78" s="84"/>
      <c r="P78" s="475"/>
      <c r="Q78" s="475"/>
      <c r="R78" s="475"/>
      <c r="S78" s="475"/>
      <c r="T78" s="476"/>
      <c r="U78" s="476"/>
    </row>
    <row r="79" spans="1:21" ht="15.75">
      <c r="A79" s="581" t="s">
        <v>18</v>
      </c>
      <c r="B79" s="581"/>
      <c r="C79" s="581"/>
      <c r="D79" s="581"/>
      <c r="E79" s="581"/>
      <c r="F79" s="91">
        <f>F73+F75-F76-F77</f>
        <v>30244.450999999946</v>
      </c>
      <c r="G79" s="91">
        <f t="shared" ref="G79:I79" si="31">G73+G75-G76-G77</f>
        <v>-45589.558000000368</v>
      </c>
      <c r="H79" s="91">
        <f t="shared" si="31"/>
        <v>59150.098999999274</v>
      </c>
      <c r="I79" s="91">
        <f t="shared" si="31"/>
        <v>27896.01499999969</v>
      </c>
      <c r="J79" s="91">
        <f>J73+J75-J76-J77</f>
        <v>75475.143000000069</v>
      </c>
      <c r="K79" s="91">
        <f>K73+K75-K76-K77</f>
        <v>32563.157503107403</v>
      </c>
      <c r="L79" s="91">
        <f>L73+L75-L76-L77</f>
        <v>58169.27223325838</v>
      </c>
      <c r="M79" s="91">
        <f t="shared" ref="M79:O79" si="32">M73+M75-M76-M77</f>
        <v>59349.811627771989</v>
      </c>
      <c r="N79" s="91">
        <f t="shared" si="32"/>
        <v>60611.597367285416</v>
      </c>
      <c r="O79" s="91">
        <f t="shared" si="32"/>
        <v>61931.77534685417</v>
      </c>
      <c r="P79" s="81">
        <f t="shared" ref="P79:P81" si="33">K79/K$68</f>
        <v>5.1925626609024373E-3</v>
      </c>
      <c r="Q79" s="81">
        <f t="shared" ref="Q79:Q81" si="34">L79/L$68</f>
        <v>8.9163216909081307E-3</v>
      </c>
      <c r="R79" s="81">
        <f t="shared" ref="R79:R81" si="35">M79/M$68</f>
        <v>8.8183387180424556E-3</v>
      </c>
      <c r="S79" s="81">
        <f t="shared" ref="S79:S81" si="36">N79/N$68</f>
        <v>8.7301358357286772E-3</v>
      </c>
      <c r="T79" s="81">
        <f t="shared" ref="T79:T81" si="37">O79/O$68</f>
        <v>8.6476948090631698E-3</v>
      </c>
      <c r="U79" s="81">
        <f t="shared" si="22"/>
        <v>8.0610107429289739E-3</v>
      </c>
    </row>
    <row r="80" spans="1:21" ht="15.75">
      <c r="A80" s="577" t="s">
        <v>179</v>
      </c>
      <c r="B80" s="577"/>
      <c r="C80" s="577"/>
      <c r="D80" s="577"/>
      <c r="E80" s="577"/>
      <c r="F80" s="338">
        <f>+Proyecciones!F79</f>
        <v>4124.0039999999999</v>
      </c>
      <c r="G80" s="338">
        <f>+Proyecciones!G79</f>
        <v>60282.974999999999</v>
      </c>
      <c r="H80" s="338">
        <f>+Proyecciones!H79</f>
        <v>45871.400999999998</v>
      </c>
      <c r="I80" s="338">
        <f>+Proyecciones!I79</f>
        <v>19600.11</v>
      </c>
      <c r="J80" s="338">
        <f>+Proyecciones!J79</f>
        <v>28690.358</v>
      </c>
      <c r="K80" s="338">
        <f>K68*'Cifras Historicas'!$Q$99</f>
        <v>34888.769047245121</v>
      </c>
      <c r="L80" s="338">
        <f>L68*'Cifras Historicas'!$Q$99</f>
        <v>36295.165780147385</v>
      </c>
      <c r="M80" s="338">
        <f>M68*'Cifras Historicas'!$Q$99</f>
        <v>37443.242584822685</v>
      </c>
      <c r="N80" s="338">
        <f>N68*'Cifras Historicas'!$Q$99</f>
        <v>38625.633162077742</v>
      </c>
      <c r="O80" s="338">
        <f>O68*'Cifras Historicas'!$Q$99</f>
        <v>39843.185972617022</v>
      </c>
      <c r="P80" s="81">
        <f t="shared" si="33"/>
        <v>5.563407646272815E-3</v>
      </c>
      <c r="Q80" s="81">
        <f t="shared" si="34"/>
        <v>5.5634076462728159E-3</v>
      </c>
      <c r="R80" s="81">
        <f t="shared" si="35"/>
        <v>5.5634076462728159E-3</v>
      </c>
      <c r="S80" s="81">
        <f t="shared" si="36"/>
        <v>5.563407646272815E-3</v>
      </c>
      <c r="T80" s="81">
        <f t="shared" si="37"/>
        <v>5.563407646272815E-3</v>
      </c>
      <c r="U80" s="81">
        <f t="shared" si="22"/>
        <v>5.5634076462728159E-3</v>
      </c>
    </row>
    <row r="81" spans="1:21" ht="15.75">
      <c r="A81" s="581" t="s">
        <v>180</v>
      </c>
      <c r="B81" s="581"/>
      <c r="C81" s="581"/>
      <c r="D81" s="581"/>
      <c r="E81" s="581"/>
      <c r="F81" s="91">
        <f>F79-F80</f>
        <v>26120.446999999946</v>
      </c>
      <c r="G81" s="91">
        <f t="shared" ref="G81:I81" si="38">G79-G80</f>
        <v>-105872.53300000037</v>
      </c>
      <c r="H81" s="91">
        <f t="shared" si="38"/>
        <v>13278.697999999276</v>
      </c>
      <c r="I81" s="91">
        <f t="shared" si="38"/>
        <v>8295.9049999996896</v>
      </c>
      <c r="J81" s="91">
        <f>J79-J80</f>
        <v>46784.785000000069</v>
      </c>
      <c r="K81" s="91">
        <f>K79-K80</f>
        <v>-2325.6115441377187</v>
      </c>
      <c r="L81" s="91">
        <f>L79-L80</f>
        <v>21874.106453110995</v>
      </c>
      <c r="M81" s="91">
        <f t="shared" ref="M81:O81" si="39">M79-M80</f>
        <v>21906.569042949304</v>
      </c>
      <c r="N81" s="91">
        <f t="shared" si="39"/>
        <v>21985.964205207674</v>
      </c>
      <c r="O81" s="91">
        <f t="shared" si="39"/>
        <v>22088.589374237148</v>
      </c>
      <c r="P81" s="81">
        <f t="shared" si="33"/>
        <v>-3.7084498537037796E-4</v>
      </c>
      <c r="Q81" s="81">
        <f t="shared" si="34"/>
        <v>3.3529140446353152E-3</v>
      </c>
      <c r="R81" s="81">
        <f t="shared" si="35"/>
        <v>3.2549310717696397E-3</v>
      </c>
      <c r="S81" s="81">
        <f t="shared" si="36"/>
        <v>3.1667281894558626E-3</v>
      </c>
      <c r="T81" s="81">
        <f t="shared" si="37"/>
        <v>3.0842871627903543E-3</v>
      </c>
      <c r="U81" s="81">
        <f t="shared" si="22"/>
        <v>2.4976030966561589E-3</v>
      </c>
    </row>
    <row r="82" spans="1:21">
      <c r="G82" s="25"/>
      <c r="H82" s="25"/>
      <c r="I82" s="25"/>
      <c r="J82" s="25"/>
      <c r="K82" s="225"/>
      <c r="L82" s="25"/>
      <c r="M82" s="25"/>
      <c r="N82" s="25"/>
      <c r="O82" s="25"/>
    </row>
    <row r="83" spans="1:21">
      <c r="F83" s="74"/>
      <c r="G83" s="74"/>
      <c r="H83" s="74"/>
      <c r="I83" s="74"/>
      <c r="J83" s="74"/>
      <c r="K83" s="146"/>
      <c r="L83" s="146"/>
      <c r="M83" s="146"/>
      <c r="N83" s="146"/>
      <c r="O83" s="146"/>
    </row>
    <row r="84" spans="1:21" ht="15.75" thickBot="1"/>
    <row r="85" spans="1:21" ht="16.5" thickBot="1">
      <c r="A85" s="147" t="s">
        <v>181</v>
      </c>
      <c r="B85" s="148"/>
      <c r="C85" s="148"/>
      <c r="D85" s="148"/>
      <c r="E85" s="148"/>
      <c r="F85" s="88">
        <f t="shared" ref="F85:O85" si="40">F66</f>
        <v>2018</v>
      </c>
      <c r="G85" s="88">
        <f t="shared" si="40"/>
        <v>2019</v>
      </c>
      <c r="H85" s="88">
        <f t="shared" si="40"/>
        <v>2020</v>
      </c>
      <c r="I85" s="88">
        <f t="shared" si="40"/>
        <v>2021</v>
      </c>
      <c r="J85" s="89">
        <f t="shared" si="40"/>
        <v>2022</v>
      </c>
      <c r="K85" s="90">
        <f t="shared" si="40"/>
        <v>2023</v>
      </c>
      <c r="L85" s="79">
        <f t="shared" si="40"/>
        <v>2024</v>
      </c>
      <c r="M85" s="79">
        <f t="shared" si="40"/>
        <v>2025</v>
      </c>
      <c r="N85" s="79">
        <f t="shared" si="40"/>
        <v>2026</v>
      </c>
      <c r="O85" s="80">
        <f t="shared" si="40"/>
        <v>2027</v>
      </c>
    </row>
    <row r="86" spans="1:21" ht="15.75">
      <c r="A86" s="190" t="s">
        <v>182</v>
      </c>
      <c r="F86" s="337">
        <f>+Proyecciones!F85</f>
        <v>12165.805</v>
      </c>
      <c r="G86" s="337">
        <f>+Proyecciones!G85</f>
        <v>11823.081</v>
      </c>
      <c r="H86" s="337">
        <f>+Proyecciones!H85</f>
        <v>12942.294</v>
      </c>
      <c r="I86" s="337">
        <f>+Proyecciones!I85</f>
        <v>21062.707999999999</v>
      </c>
      <c r="J86" s="337">
        <f>+Proyecciones!J85</f>
        <v>28950.13</v>
      </c>
      <c r="K86" s="24">
        <f>AVERAGE(F86:J86)</f>
        <v>17388.803599999999</v>
      </c>
      <c r="L86" s="24">
        <f>AVERAGE(G86:K86)</f>
        <v>18433.403320000001</v>
      </c>
      <c r="M86" s="24">
        <f>AVERAGE(H86:L86)</f>
        <v>19755.467784</v>
      </c>
      <c r="N86" s="24">
        <f>AVERAGE(I86:M86)</f>
        <v>21118.102540799999</v>
      </c>
      <c r="O86" s="24">
        <f>AVERAGE(J86:N86)</f>
        <v>21129.18144896</v>
      </c>
    </row>
    <row r="87" spans="1:21" ht="16.5" thickBot="1">
      <c r="A87" s="191" t="s">
        <v>183</v>
      </c>
      <c r="B87" s="152"/>
      <c r="C87" s="152"/>
      <c r="D87" s="152"/>
      <c r="E87" s="152"/>
      <c r="F87" s="337">
        <f>+Proyecciones!F86</f>
        <v>16679.975999999999</v>
      </c>
      <c r="G87" s="337">
        <f>+Proyecciones!G86</f>
        <v>626.43700000000001</v>
      </c>
      <c r="H87" s="337">
        <f>+Proyecciones!H86</f>
        <v>2197.87</v>
      </c>
      <c r="I87" s="337">
        <f>+Proyecciones!I86</f>
        <v>2721.0230000000001</v>
      </c>
      <c r="J87" s="337">
        <f>+Proyecciones!J86</f>
        <v>20222.842000000001</v>
      </c>
      <c r="K87" s="24">
        <f>AVERAGE(F87:J87)</f>
        <v>8489.6296000000002</v>
      </c>
      <c r="L87" s="166">
        <f t="shared" ref="L87:O87" si="41">AVERAGE(G87:K87)</f>
        <v>6851.5603199999996</v>
      </c>
      <c r="M87" s="166">
        <f t="shared" si="41"/>
        <v>8096.5849839999992</v>
      </c>
      <c r="N87" s="166">
        <f t="shared" si="41"/>
        <v>9276.3279808000007</v>
      </c>
      <c r="O87" s="166">
        <f t="shared" si="41"/>
        <v>10587.388976960001</v>
      </c>
    </row>
    <row r="90" spans="1:21" ht="15.75" thickBot="1"/>
    <row r="91" spans="1:21">
      <c r="A91" s="862" t="s">
        <v>221</v>
      </c>
      <c r="B91" s="863"/>
      <c r="C91" s="863"/>
      <c r="D91" s="863"/>
      <c r="E91" s="863"/>
      <c r="F91" s="863"/>
      <c r="G91" s="863"/>
      <c r="H91" s="863"/>
      <c r="I91" s="863"/>
      <c r="J91" s="863"/>
      <c r="K91" s="863"/>
      <c r="L91" s="863"/>
      <c r="M91" s="863"/>
      <c r="N91" s="863"/>
      <c r="O91" s="863"/>
      <c r="P91" s="864"/>
    </row>
    <row r="92" spans="1:21" ht="15.75" thickBot="1">
      <c r="A92" s="865"/>
      <c r="B92" s="866"/>
      <c r="C92" s="866"/>
      <c r="D92" s="866"/>
      <c r="E92" s="866"/>
      <c r="F92" s="866"/>
      <c r="G92" s="866"/>
      <c r="H92" s="866"/>
      <c r="I92" s="866"/>
      <c r="J92" s="866"/>
      <c r="K92" s="866"/>
      <c r="L92" s="866"/>
      <c r="M92" s="866"/>
      <c r="N92" s="866"/>
      <c r="O92" s="866"/>
      <c r="P92" s="867"/>
    </row>
    <row r="93" spans="1:21" ht="18">
      <c r="A93" s="625" t="s">
        <v>345</v>
      </c>
      <c r="B93" s="625"/>
      <c r="C93" s="625"/>
      <c r="D93" s="625"/>
      <c r="E93" s="625"/>
      <c r="F93" s="625"/>
      <c r="G93" s="625"/>
      <c r="H93" s="625"/>
      <c r="I93" s="625"/>
      <c r="J93" s="625"/>
      <c r="K93" s="625"/>
      <c r="L93" s="625"/>
      <c r="M93" s="625"/>
      <c r="N93" s="625"/>
      <c r="O93" s="625"/>
      <c r="P93" s="625"/>
    </row>
    <row r="94" spans="1:21">
      <c r="A94" s="592" t="s">
        <v>238</v>
      </c>
      <c r="B94" s="592"/>
      <c r="C94" s="592"/>
      <c r="D94" s="592"/>
      <c r="E94" s="592"/>
      <c r="F94" s="592"/>
      <c r="G94" s="592"/>
      <c r="H94" s="592"/>
      <c r="I94" s="592"/>
      <c r="J94" s="592"/>
      <c r="K94" s="592"/>
      <c r="L94" s="592"/>
      <c r="M94" s="592"/>
      <c r="N94" s="592"/>
      <c r="O94" s="592"/>
      <c r="P94" s="592"/>
    </row>
    <row r="96" spans="1:21" ht="16.5" thickBot="1">
      <c r="A96" s="168"/>
    </row>
    <row r="97" spans="1:16">
      <c r="A97" s="170" t="s">
        <v>231</v>
      </c>
      <c r="F97" s="171">
        <f t="shared" ref="F97:O97" si="42">F85</f>
        <v>2018</v>
      </c>
      <c r="G97" s="172">
        <f t="shared" si="42"/>
        <v>2019</v>
      </c>
      <c r="H97" s="172">
        <f t="shared" si="42"/>
        <v>2020</v>
      </c>
      <c r="I97" s="172">
        <f t="shared" si="42"/>
        <v>2021</v>
      </c>
      <c r="J97" s="172">
        <f t="shared" si="42"/>
        <v>2022</v>
      </c>
      <c r="K97" s="106">
        <f t="shared" si="42"/>
        <v>2023</v>
      </c>
      <c r="L97" s="106">
        <f t="shared" si="42"/>
        <v>2024</v>
      </c>
      <c r="M97" s="106">
        <f t="shared" si="42"/>
        <v>2025</v>
      </c>
      <c r="N97" s="106">
        <f t="shared" si="42"/>
        <v>2026</v>
      </c>
      <c r="O97" s="107">
        <f t="shared" si="42"/>
        <v>2027</v>
      </c>
    </row>
    <row r="98" spans="1:16">
      <c r="A98" s="70" t="s">
        <v>222</v>
      </c>
      <c r="F98" s="101">
        <f>F81/F48</f>
        <v>2.2282041864928364E-2</v>
      </c>
      <c r="G98" s="10">
        <f>G81/G48</f>
        <v>-7.6444294684185135E-2</v>
      </c>
      <c r="H98" s="10">
        <f t="shared" ref="H98:O98" si="43">H81/H48</f>
        <v>1.2089081783840291E-2</v>
      </c>
      <c r="I98" s="10">
        <f t="shared" si="43"/>
        <v>6.108679249012882E-3</v>
      </c>
      <c r="J98" s="10">
        <f t="shared" si="43"/>
        <v>2.77501838590846E-2</v>
      </c>
      <c r="K98" s="10">
        <f>K81/K48</f>
        <v>-1.3339128735437669E-3</v>
      </c>
      <c r="L98" s="10">
        <f t="shared" si="43"/>
        <v>1.2108362245996962E-2</v>
      </c>
      <c r="M98" s="10">
        <f t="shared" si="43"/>
        <v>1.1679700107217189E-2</v>
      </c>
      <c r="N98" s="10">
        <f t="shared" si="43"/>
        <v>1.1301501537102396E-2</v>
      </c>
      <c r="O98" s="10">
        <f t="shared" si="43"/>
        <v>1.096870426102311E-2</v>
      </c>
      <c r="P98" s="1" t="s">
        <v>340</v>
      </c>
    </row>
    <row r="99" spans="1:16">
      <c r="A99" s="1" t="s">
        <v>223</v>
      </c>
      <c r="F99" s="121">
        <f>F73*(1-(F80/F79))</f>
        <v>10621.519633620774</v>
      </c>
      <c r="G99" s="121">
        <f t="shared" ref="G99:O99" si="44">G73*(1-(G80/G79))</f>
        <v>-155766.51498934408</v>
      </c>
      <c r="H99" s="121">
        <f t="shared" si="44"/>
        <v>13047.070526758267</v>
      </c>
      <c r="I99" s="121">
        <f t="shared" si="44"/>
        <v>10655.088889176988</v>
      </c>
      <c r="J99" s="121">
        <f t="shared" si="44"/>
        <v>63065.951693430063</v>
      </c>
      <c r="K99" s="121">
        <f t="shared" si="44"/>
        <v>-2219.1564033825439</v>
      </c>
      <c r="L99" s="121">
        <f t="shared" si="44"/>
        <v>21290.989319515269</v>
      </c>
      <c r="M99" s="121">
        <f t="shared" si="44"/>
        <v>21316.097736345557</v>
      </c>
      <c r="N99" s="121">
        <f t="shared" si="44"/>
        <v>21387.365565693399</v>
      </c>
      <c r="O99" s="121">
        <f t="shared" si="44"/>
        <v>21481.463366300341</v>
      </c>
    </row>
    <row r="100" spans="1:16">
      <c r="A100" s="1" t="s">
        <v>224</v>
      </c>
      <c r="F100" s="121">
        <f>F43+F45-F52</f>
        <v>779598.57500000007</v>
      </c>
      <c r="G100" s="121">
        <f t="shared" ref="G100:O100" si="45">G43+G45-G52</f>
        <v>390946.84500000009</v>
      </c>
      <c r="H100" s="121">
        <f t="shared" si="45"/>
        <v>491798.38500000001</v>
      </c>
      <c r="I100" s="121">
        <f t="shared" si="45"/>
        <v>658903.29600000009</v>
      </c>
      <c r="J100" s="121">
        <f t="shared" si="45"/>
        <v>904351.12799999979</v>
      </c>
      <c r="K100" s="121">
        <f>K43+K45-K52</f>
        <v>938607.58848735981</v>
      </c>
      <c r="L100" s="121">
        <f t="shared" si="45"/>
        <v>980666.41103883262</v>
      </c>
      <c r="M100" s="121">
        <f>M43+M45-M52</f>
        <v>1021567.0945969578</v>
      </c>
      <c r="N100" s="121">
        <f t="shared" si="45"/>
        <v>1062979.6061869108</v>
      </c>
      <c r="O100" s="121">
        <f t="shared" si="45"/>
        <v>1103743.3393443804</v>
      </c>
    </row>
    <row r="101" spans="1:16">
      <c r="A101" s="70" t="s">
        <v>225</v>
      </c>
      <c r="F101" s="101">
        <f>F99/F100</f>
        <v>1.3624344597629328E-2</v>
      </c>
      <c r="G101" s="101">
        <f t="shared" ref="G101:J101" si="46">G99/G100</f>
        <v>-0.39843399935698176</v>
      </c>
      <c r="H101" s="101">
        <f t="shared" si="46"/>
        <v>2.6529307384281602E-2</v>
      </c>
      <c r="I101" s="101">
        <f t="shared" si="46"/>
        <v>1.6170944892612872E-2</v>
      </c>
      <c r="J101" s="101">
        <f t="shared" si="46"/>
        <v>6.9736134274418771E-2</v>
      </c>
      <c r="K101" s="101">
        <f t="shared" ref="K101" si="47">K99/K100</f>
        <v>-2.3643069058911933E-3</v>
      </c>
      <c r="L101" s="101">
        <f t="shared" ref="L101" si="48">L99/L100</f>
        <v>2.1710735760758288E-2</v>
      </c>
      <c r="M101" s="101">
        <f>M99/M100</f>
        <v>2.0866077078134027E-2</v>
      </c>
      <c r="N101" s="101">
        <f t="shared" ref="N101" si="49">N99/N100</f>
        <v>2.0120203098169989E-2</v>
      </c>
      <c r="O101" s="101">
        <f t="shared" ref="O101" si="50">O99/O100</f>
        <v>1.9462371912531997E-2</v>
      </c>
    </row>
    <row r="102" spans="1:16" ht="15.75" thickBot="1">
      <c r="A102" s="1" t="s">
        <v>226</v>
      </c>
      <c r="F102" s="174">
        <f>F101-F98</f>
        <v>-8.657697267299036E-3</v>
      </c>
      <c r="G102" s="174">
        <f t="shared" ref="G102:J102" si="51">G101-G98</f>
        <v>-0.32198970467279664</v>
      </c>
      <c r="H102" s="174">
        <f t="shared" si="51"/>
        <v>1.444022560044131E-2</v>
      </c>
      <c r="I102" s="174">
        <f t="shared" si="51"/>
        <v>1.006226564359999E-2</v>
      </c>
      <c r="J102" s="174">
        <f t="shared" si="51"/>
        <v>4.1985950415334171E-2</v>
      </c>
      <c r="K102" s="174">
        <f t="shared" ref="K102" si="52">K101-K98</f>
        <v>-1.0303940323474264E-3</v>
      </c>
      <c r="L102" s="174">
        <f t="shared" ref="L102" si="53">L101-L98</f>
        <v>9.6023735147613264E-3</v>
      </c>
      <c r="M102" s="174">
        <f t="shared" ref="M102" si="54">M101-M98</f>
        <v>9.1863769709168378E-3</v>
      </c>
      <c r="N102" s="174">
        <f t="shared" ref="N102" si="55">N101-N98</f>
        <v>8.8187015610675934E-3</v>
      </c>
      <c r="O102" s="174">
        <f t="shared" ref="O102" si="56">O101-O98</f>
        <v>8.4936676515088867E-3</v>
      </c>
    </row>
    <row r="103" spans="1:16" ht="15.75" thickBot="1">
      <c r="A103" s="169"/>
      <c r="B103" s="169"/>
      <c r="C103" s="169"/>
      <c r="D103" s="169"/>
      <c r="E103" s="169"/>
      <c r="F103" s="169"/>
      <c r="G103" s="169"/>
      <c r="H103" s="169"/>
      <c r="I103" s="169"/>
      <c r="J103" s="169"/>
      <c r="K103" s="169"/>
      <c r="L103" s="169"/>
      <c r="M103" s="169"/>
      <c r="N103" s="169"/>
      <c r="O103" s="169"/>
      <c r="P103" s="169"/>
    </row>
    <row r="104" spans="1:16">
      <c r="A104" s="170" t="s">
        <v>232</v>
      </c>
      <c r="F104" s="171">
        <f t="shared" ref="F104:O104" si="57">F97</f>
        <v>2018</v>
      </c>
      <c r="G104" s="172">
        <f t="shared" si="57"/>
        <v>2019</v>
      </c>
      <c r="H104" s="172">
        <f t="shared" si="57"/>
        <v>2020</v>
      </c>
      <c r="I104" s="172">
        <f t="shared" si="57"/>
        <v>2021</v>
      </c>
      <c r="J104" s="172">
        <f t="shared" si="57"/>
        <v>2022</v>
      </c>
      <c r="K104" s="106">
        <f t="shared" si="57"/>
        <v>2023</v>
      </c>
      <c r="L104" s="106">
        <f t="shared" si="57"/>
        <v>2024</v>
      </c>
      <c r="M104" s="106">
        <f t="shared" si="57"/>
        <v>2025</v>
      </c>
      <c r="N104" s="106">
        <f t="shared" si="57"/>
        <v>2026</v>
      </c>
      <c r="O104" s="107">
        <f t="shared" si="57"/>
        <v>2027</v>
      </c>
    </row>
    <row r="105" spans="1:16">
      <c r="A105" s="1" t="s">
        <v>227</v>
      </c>
      <c r="F105" s="121">
        <f>+F81+F80+F86+F87+F77</f>
        <v>59758.723999999944</v>
      </c>
      <c r="G105" s="121">
        <f t="shared" ref="G105:O105" si="58">+G81+G80+G86+G87+G77</f>
        <v>-54624.787000000375</v>
      </c>
      <c r="H105" s="121">
        <f t="shared" si="58"/>
        <v>73258.475999999268</v>
      </c>
      <c r="I105" s="121">
        <f t="shared" si="58"/>
        <v>59612.795999999697</v>
      </c>
      <c r="J105" s="121">
        <f t="shared" si="58"/>
        <v>150913.56400000007</v>
      </c>
      <c r="K105" s="121">
        <f t="shared" si="58"/>
        <v>61244.98612758673</v>
      </c>
      <c r="L105" s="121">
        <f t="shared" si="58"/>
        <v>86370.638614237803</v>
      </c>
      <c r="M105" s="121">
        <f t="shared" si="58"/>
        <v>90210.517833725535</v>
      </c>
      <c r="N105" s="121">
        <f t="shared" si="58"/>
        <v>94109.689216906263</v>
      </c>
      <c r="O105" s="121">
        <f t="shared" si="58"/>
        <v>96849.8403597875</v>
      </c>
    </row>
    <row r="106" spans="1:16">
      <c r="A106" s="70" t="s">
        <v>228</v>
      </c>
      <c r="F106" s="177">
        <f>+F73+F86+F87</f>
        <v>41144.269999999946</v>
      </c>
      <c r="G106" s="177">
        <f t="shared" ref="G106:O106" si="59">+G73+G86+G87</f>
        <v>-54624.787000000375</v>
      </c>
      <c r="H106" s="177">
        <f t="shared" si="59"/>
        <v>73258.475999999268</v>
      </c>
      <c r="I106" s="177">
        <f t="shared" si="59"/>
        <v>59612.795999999689</v>
      </c>
      <c r="J106" s="177">
        <f t="shared" si="59"/>
        <v>150913.56400000007</v>
      </c>
      <c r="K106" s="177">
        <f t="shared" si="59"/>
        <v>56951.008355352678</v>
      </c>
      <c r="L106" s="177">
        <f t="shared" si="59"/>
        <v>81903.566850013187</v>
      </c>
      <c r="M106" s="177">
        <f t="shared" si="59"/>
        <v>85602.145117512118</v>
      </c>
      <c r="N106" s="177">
        <f t="shared" si="59"/>
        <v>89355.792339322827</v>
      </c>
      <c r="O106" s="177">
        <f t="shared" si="59"/>
        <v>91946.091686117579</v>
      </c>
    </row>
    <row r="107" spans="1:16">
      <c r="A107" s="1" t="s">
        <v>229</v>
      </c>
      <c r="F107" s="101">
        <f t="shared" ref="F107:O107" si="60">+F105/F68</f>
        <v>1.0990970599791238E-2</v>
      </c>
      <c r="G107" s="10">
        <f t="shared" si="60"/>
        <v>-9.4828363866864551E-3</v>
      </c>
      <c r="H107" s="10">
        <f t="shared" si="60"/>
        <v>1.2264643850013E-2</v>
      </c>
      <c r="I107" s="10">
        <f t="shared" si="60"/>
        <v>1.2778032284455353E-2</v>
      </c>
      <c r="J107" s="10">
        <f t="shared" si="60"/>
        <v>2.4788360099762739E-2</v>
      </c>
      <c r="K107" s="10">
        <f t="shared" si="60"/>
        <v>9.7662036644710227E-3</v>
      </c>
      <c r="L107" s="10">
        <f t="shared" si="60"/>
        <v>1.3239092891614434E-2</v>
      </c>
      <c r="M107" s="10">
        <f t="shared" si="60"/>
        <v>1.3403697170549298E-2</v>
      </c>
      <c r="N107" s="10">
        <f t="shared" si="60"/>
        <v>1.3555002771882867E-2</v>
      </c>
      <c r="O107" s="102">
        <f t="shared" si="60"/>
        <v>1.3523395010837087E-2</v>
      </c>
    </row>
    <row r="108" spans="1:16">
      <c r="A108" s="70" t="s">
        <v>230</v>
      </c>
      <c r="F108" s="101">
        <f t="shared" ref="F108:O108" si="61">+F106/F69</f>
        <v>8.2927400118720657E-3</v>
      </c>
      <c r="G108" s="10">
        <f t="shared" si="61"/>
        <v>-1.0314801393998657E-2</v>
      </c>
      <c r="H108" s="10">
        <f t="shared" si="61"/>
        <v>1.3051615854468521E-2</v>
      </c>
      <c r="I108" s="10">
        <f t="shared" si="61"/>
        <v>1.3536700426065881E-2</v>
      </c>
      <c r="J108" s="10">
        <f t="shared" si="61"/>
        <v>2.6308942702971235E-2</v>
      </c>
      <c r="K108" s="10">
        <f t="shared" si="61"/>
        <v>9.7488568236455981E-3</v>
      </c>
      <c r="L108" s="10">
        <f t="shared" si="61"/>
        <v>1.3521876918871446E-2</v>
      </c>
      <c r="M108" s="10">
        <f t="shared" si="61"/>
        <v>1.3696254121900106E-2</v>
      </c>
      <c r="N108" s="10">
        <f t="shared" si="61"/>
        <v>1.3856436442003383E-2</v>
      </c>
      <c r="O108" s="102">
        <f t="shared" si="61"/>
        <v>1.381980431615948E-2</v>
      </c>
    </row>
    <row r="109" spans="1:16">
      <c r="A109" s="1" t="s">
        <v>233</v>
      </c>
      <c r="F109" s="177">
        <f>+F41+F42-F52</f>
        <v>414026.38600000006</v>
      </c>
      <c r="G109" s="24">
        <f t="shared" ref="G109:O109" si="62">+G41+G42-G52</f>
        <v>-30391.381999999983</v>
      </c>
      <c r="H109" s="24">
        <f t="shared" si="62"/>
        <v>91920.212000000058</v>
      </c>
      <c r="I109" s="24">
        <f t="shared" si="62"/>
        <v>68356.79800000001</v>
      </c>
      <c r="J109" s="24">
        <f t="shared" si="62"/>
        <v>33963.501999999979</v>
      </c>
      <c r="K109" s="24">
        <f>+K41+K42-K52</f>
        <v>35122.336688239942</v>
      </c>
      <c r="L109" s="24">
        <f t="shared" si="62"/>
        <v>36393.062829620438</v>
      </c>
      <c r="M109" s="24">
        <f t="shared" si="62"/>
        <v>37784.733552225109</v>
      </c>
      <c r="N109" s="24">
        <f t="shared" si="62"/>
        <v>39190.703487703402</v>
      </c>
      <c r="O109" s="178">
        <f t="shared" si="62"/>
        <v>40568.256715296186</v>
      </c>
    </row>
    <row r="110" spans="1:16">
      <c r="A110" s="1" t="s">
        <v>234</v>
      </c>
      <c r="F110" s="179"/>
      <c r="G110" s="24">
        <f t="shared" ref="G110:O110" si="63">+G109-F109</f>
        <v>-444417.76800000004</v>
      </c>
      <c r="H110" s="24">
        <f t="shared" si="63"/>
        <v>122311.59400000004</v>
      </c>
      <c r="I110" s="24">
        <f t="shared" si="63"/>
        <v>-23563.414000000048</v>
      </c>
      <c r="J110" s="24">
        <f t="shared" si="63"/>
        <v>-34393.296000000031</v>
      </c>
      <c r="K110" s="24">
        <f t="shared" si="63"/>
        <v>1158.8346882399637</v>
      </c>
      <c r="L110" s="24">
        <f t="shared" si="63"/>
        <v>1270.7261413804954</v>
      </c>
      <c r="M110" s="24">
        <f t="shared" si="63"/>
        <v>1391.670722604671</v>
      </c>
      <c r="N110" s="24">
        <f t="shared" si="63"/>
        <v>1405.9699354782933</v>
      </c>
      <c r="O110" s="178">
        <f t="shared" si="63"/>
        <v>1377.5532275927835</v>
      </c>
    </row>
    <row r="111" spans="1:16">
      <c r="A111" s="1" t="s">
        <v>235</v>
      </c>
      <c r="F111" s="101">
        <f t="shared" ref="F111:O111" si="64">+F109/F68</f>
        <v>7.6148745011085303E-2</v>
      </c>
      <c r="G111" s="10">
        <f t="shared" si="64"/>
        <v>-5.2759290955456837E-3</v>
      </c>
      <c r="H111" s="10">
        <f t="shared" si="64"/>
        <v>1.5388917765607123E-2</v>
      </c>
      <c r="I111" s="10">
        <f t="shared" si="64"/>
        <v>1.4652313434618931E-2</v>
      </c>
      <c r="J111" s="10">
        <f t="shared" si="64"/>
        <v>5.5786868688954359E-3</v>
      </c>
      <c r="K111" s="10">
        <f t="shared" si="64"/>
        <v>5.6006526404448033E-3</v>
      </c>
      <c r="L111" s="10">
        <f t="shared" si="64"/>
        <v>5.5784135342989236E-3</v>
      </c>
      <c r="M111" s="10">
        <f t="shared" si="64"/>
        <v>5.6141472010770204E-3</v>
      </c>
      <c r="N111" s="10">
        <f t="shared" si="64"/>
        <v>5.6447970323594129E-3</v>
      </c>
      <c r="O111" s="102">
        <f t="shared" si="64"/>
        <v>5.6646511591957605E-3</v>
      </c>
    </row>
    <row r="112" spans="1:16">
      <c r="A112" s="1" t="s">
        <v>236</v>
      </c>
      <c r="F112" s="180">
        <f t="shared" ref="F112:O112" si="65">+F110/F69</f>
        <v>0</v>
      </c>
      <c r="G112" s="68">
        <f t="shared" si="65"/>
        <v>-8.391943043886177E-2</v>
      </c>
      <c r="H112" s="68">
        <f t="shared" si="65"/>
        <v>2.1790842870328526E-2</v>
      </c>
      <c r="I112" s="68">
        <f t="shared" si="65"/>
        <v>-5.3507115541664759E-3</v>
      </c>
      <c r="J112" s="68">
        <f t="shared" si="65"/>
        <v>-5.995824562398713E-3</v>
      </c>
      <c r="K112" s="68">
        <f t="shared" si="65"/>
        <v>1.9836898036000418E-4</v>
      </c>
      <c r="L112" s="68">
        <f t="shared" si="65"/>
        <v>2.0979064944516186E-4</v>
      </c>
      <c r="M112" s="68">
        <f t="shared" si="65"/>
        <v>2.2266586713026861E-4</v>
      </c>
      <c r="N112" s="68">
        <f t="shared" si="65"/>
        <v>2.1802428852448592E-4</v>
      </c>
      <c r="O112" s="122">
        <f t="shared" si="65"/>
        <v>2.0705084567831106E-4</v>
      </c>
    </row>
    <row r="113" spans="1:16" ht="15.75" thickBot="1">
      <c r="A113" s="70" t="s">
        <v>237</v>
      </c>
      <c r="F113" s="181">
        <f t="shared" ref="F113:O113" si="66">+F111/F70</f>
        <v>1.6011306942604348E-7</v>
      </c>
      <c r="G113" s="182">
        <f t="shared" si="66"/>
        <v>-1.1355421554115373E-8</v>
      </c>
      <c r="H113" s="182">
        <f t="shared" si="66"/>
        <v>4.2727761434490411E-8</v>
      </c>
      <c r="I113" s="182">
        <f t="shared" si="66"/>
        <v>5.6039165576847469E-8</v>
      </c>
      <c r="J113" s="182">
        <f t="shared" si="66"/>
        <v>1.5854220123842859E-8</v>
      </c>
      <c r="K113" s="182">
        <f t="shared" si="66"/>
        <v>1.3045981648149852E-8</v>
      </c>
      <c r="L113" s="182">
        <f t="shared" si="66"/>
        <v>1.195048622605892E-8</v>
      </c>
      <c r="M113" s="182">
        <f t="shared" si="66"/>
        <v>1.1690523639210717E-8</v>
      </c>
      <c r="N113" s="182">
        <f t="shared" si="66"/>
        <v>1.1424025452188368E-8</v>
      </c>
      <c r="O113" s="183">
        <f t="shared" si="66"/>
        <v>1.1141258078966435E-8</v>
      </c>
    </row>
    <row r="114" spans="1:16">
      <c r="A114" s="169"/>
      <c r="B114" s="169"/>
      <c r="C114" s="169"/>
      <c r="D114" s="169"/>
      <c r="E114" s="169"/>
      <c r="F114" s="169"/>
      <c r="G114" s="169"/>
      <c r="H114" s="169"/>
      <c r="I114" s="169"/>
      <c r="J114" s="169"/>
      <c r="K114" s="169"/>
      <c r="L114" s="169"/>
      <c r="M114" s="169"/>
      <c r="N114" s="169"/>
      <c r="O114" s="169"/>
      <c r="P114" s="169"/>
    </row>
    <row r="116" spans="1:16" ht="15.75" thickBot="1">
      <c r="A116" s="170" t="s">
        <v>251</v>
      </c>
    </row>
    <row r="117" spans="1:16">
      <c r="F117" s="171">
        <f t="shared" ref="F117:O117" si="67">F104</f>
        <v>2018</v>
      </c>
      <c r="G117" s="172">
        <f t="shared" si="67"/>
        <v>2019</v>
      </c>
      <c r="H117" s="172">
        <f t="shared" si="67"/>
        <v>2020</v>
      </c>
      <c r="I117" s="172">
        <f t="shared" si="67"/>
        <v>2021</v>
      </c>
      <c r="J117" s="172">
        <f t="shared" si="67"/>
        <v>2022</v>
      </c>
      <c r="K117" s="106">
        <f t="shared" si="67"/>
        <v>2023</v>
      </c>
      <c r="L117" s="106">
        <f t="shared" si="67"/>
        <v>2024</v>
      </c>
      <c r="M117" s="106">
        <f t="shared" si="67"/>
        <v>2025</v>
      </c>
      <c r="N117" s="106">
        <f t="shared" si="67"/>
        <v>2026</v>
      </c>
      <c r="O117" s="107">
        <f t="shared" si="67"/>
        <v>2027</v>
      </c>
    </row>
    <row r="118" spans="1:16">
      <c r="A118" s="70" t="s">
        <v>71</v>
      </c>
      <c r="F118" s="240">
        <f t="shared" ref="F118:O118" si="68">+F81</f>
        <v>26120.446999999946</v>
      </c>
      <c r="G118" s="240">
        <f t="shared" si="68"/>
        <v>-105872.53300000037</v>
      </c>
      <c r="H118" s="240">
        <f t="shared" si="68"/>
        <v>13278.697999999276</v>
      </c>
      <c r="I118" s="240">
        <f t="shared" si="68"/>
        <v>8295.9049999996896</v>
      </c>
      <c r="J118" s="240">
        <f t="shared" si="68"/>
        <v>46784.785000000069</v>
      </c>
      <c r="K118" s="240">
        <f t="shared" si="68"/>
        <v>-2325.6115441377187</v>
      </c>
      <c r="L118" s="240">
        <f t="shared" si="68"/>
        <v>21874.106453110995</v>
      </c>
      <c r="M118" s="240">
        <f t="shared" si="68"/>
        <v>21906.569042949304</v>
      </c>
      <c r="N118" s="240">
        <f t="shared" si="68"/>
        <v>21985.964205207674</v>
      </c>
      <c r="O118" s="240">
        <f t="shared" si="68"/>
        <v>22088.589374237148</v>
      </c>
    </row>
    <row r="119" spans="1:16">
      <c r="A119" s="1" t="s">
        <v>72</v>
      </c>
      <c r="F119" s="8">
        <f>+F80</f>
        <v>4124.0039999999999</v>
      </c>
      <c r="G119" s="8">
        <f t="shared" ref="G119:O119" si="69">+G80</f>
        <v>60282.974999999999</v>
      </c>
      <c r="H119" s="8">
        <f t="shared" si="69"/>
        <v>45871.400999999998</v>
      </c>
      <c r="I119" s="8">
        <f t="shared" si="69"/>
        <v>19600.11</v>
      </c>
      <c r="J119" s="8">
        <f t="shared" si="69"/>
        <v>28690.358</v>
      </c>
      <c r="K119" s="8">
        <f t="shared" si="69"/>
        <v>34888.769047245121</v>
      </c>
      <c r="L119" s="8">
        <f>+L80</f>
        <v>36295.165780147385</v>
      </c>
      <c r="M119" s="8">
        <f t="shared" si="69"/>
        <v>37443.242584822685</v>
      </c>
      <c r="N119" s="8">
        <f t="shared" si="69"/>
        <v>38625.633162077742</v>
      </c>
      <c r="O119" s="8">
        <f t="shared" si="69"/>
        <v>39843.185972617022</v>
      </c>
    </row>
    <row r="120" spans="1:16">
      <c r="A120" s="1" t="s">
        <v>73</v>
      </c>
      <c r="F120" s="8">
        <f>+F77</f>
        <v>668.49199999999996</v>
      </c>
      <c r="G120" s="8">
        <f t="shared" ref="G120:O120" si="70">+G77</f>
        <v>-21484.746999999999</v>
      </c>
      <c r="H120" s="8">
        <f t="shared" si="70"/>
        <v>-1031.787</v>
      </c>
      <c r="I120" s="8">
        <f t="shared" si="70"/>
        <v>7933.05</v>
      </c>
      <c r="J120" s="8">
        <f t="shared" si="70"/>
        <v>26265.449000000001</v>
      </c>
      <c r="K120" s="8">
        <f t="shared" si="70"/>
        <v>2803.3954244793267</v>
      </c>
      <c r="L120" s="8">
        <f t="shared" si="70"/>
        <v>2916.4027409794253</v>
      </c>
      <c r="M120" s="8">
        <f t="shared" si="70"/>
        <v>3008.6534379535487</v>
      </c>
      <c r="N120" s="8">
        <f t="shared" si="70"/>
        <v>3103.6613280208553</v>
      </c>
      <c r="O120" s="8">
        <f t="shared" si="70"/>
        <v>3201.4945870133297</v>
      </c>
    </row>
    <row r="121" spans="1:16">
      <c r="A121" s="70" t="s">
        <v>74</v>
      </c>
      <c r="F121" s="8">
        <f>SUM(F117:F120)</f>
        <v>32930.942999999948</v>
      </c>
      <c r="G121" s="8">
        <f t="shared" ref="G121:O121" si="71">SUM(G117:G120)</f>
        <v>-65055.305000000371</v>
      </c>
      <c r="H121" s="8">
        <f t="shared" si="71"/>
        <v>60138.311999999278</v>
      </c>
      <c r="I121" s="8">
        <f t="shared" si="71"/>
        <v>37850.064999999689</v>
      </c>
      <c r="J121" s="8">
        <f t="shared" si="71"/>
        <v>103762.59200000006</v>
      </c>
      <c r="K121" s="8">
        <f t="shared" si="71"/>
        <v>37389.55292758673</v>
      </c>
      <c r="L121" s="8">
        <f t="shared" si="71"/>
        <v>63109.674974237802</v>
      </c>
      <c r="M121" s="8">
        <f t="shared" si="71"/>
        <v>64383.465065725541</v>
      </c>
      <c r="N121" s="8">
        <f t="shared" si="71"/>
        <v>65741.258695306271</v>
      </c>
      <c r="O121" s="8">
        <f t="shared" si="71"/>
        <v>67160.269933867501</v>
      </c>
    </row>
    <row r="123" spans="1:16">
      <c r="A123" s="1" t="s">
        <v>75</v>
      </c>
      <c r="F123" s="8">
        <f t="shared" ref="F123:O123" si="72">+F121*(F80/F79)</f>
        <v>4490.3225605176967</v>
      </c>
      <c r="G123" s="8">
        <f t="shared" si="72"/>
        <v>86022.490609195316</v>
      </c>
      <c r="H123" s="8">
        <f t="shared" si="72"/>
        <v>46637.768521995422</v>
      </c>
      <c r="I123" s="8">
        <f t="shared" si="72"/>
        <v>26593.957506373299</v>
      </c>
      <c r="J123" s="8">
        <f t="shared" si="72"/>
        <v>39443.262949338634</v>
      </c>
      <c r="K123" s="8">
        <f t="shared" si="72"/>
        <v>40059.85834591867</v>
      </c>
      <c r="L123" s="8">
        <f t="shared" si="72"/>
        <v>39377.768151129436</v>
      </c>
      <c r="M123" s="8">
        <f t="shared" si="72"/>
        <v>40618.927588631967</v>
      </c>
      <c r="N123" s="8">
        <f t="shared" si="72"/>
        <v>41894.585397426228</v>
      </c>
      <c r="O123" s="8">
        <f t="shared" si="72"/>
        <v>43206.885479380398</v>
      </c>
    </row>
    <row r="124" spans="1:16">
      <c r="A124" s="70" t="s">
        <v>76</v>
      </c>
      <c r="F124" s="8">
        <f>+F121-F123</f>
        <v>28440.620439482253</v>
      </c>
      <c r="G124" s="8">
        <f t="shared" ref="G124:O124" si="73">+G121-G123</f>
        <v>-151077.79560919569</v>
      </c>
      <c r="H124" s="8">
        <f t="shared" si="73"/>
        <v>13500.543478003856</v>
      </c>
      <c r="I124" s="8">
        <f t="shared" si="73"/>
        <v>11256.10749362639</v>
      </c>
      <c r="J124" s="8">
        <f t="shared" si="73"/>
        <v>64319.329050661428</v>
      </c>
      <c r="K124" s="8">
        <f t="shared" si="73"/>
        <v>-2670.30541833194</v>
      </c>
      <c r="L124" s="8">
        <f t="shared" si="73"/>
        <v>23731.906823108366</v>
      </c>
      <c r="M124" s="8">
        <f t="shared" si="73"/>
        <v>23764.537477093574</v>
      </c>
      <c r="N124" s="8">
        <f t="shared" si="73"/>
        <v>23846.673297880043</v>
      </c>
      <c r="O124" s="8">
        <f t="shared" si="73"/>
        <v>23953.384454487103</v>
      </c>
    </row>
    <row r="126" spans="1:16">
      <c r="A126" s="1" t="s">
        <v>77</v>
      </c>
      <c r="F126" s="24">
        <f t="shared" ref="F126:O126" si="74">+F86</f>
        <v>12165.805</v>
      </c>
      <c r="G126" s="24">
        <f t="shared" si="74"/>
        <v>11823.081</v>
      </c>
      <c r="H126" s="24">
        <f t="shared" si="74"/>
        <v>12942.294</v>
      </c>
      <c r="I126" s="24">
        <f t="shared" si="74"/>
        <v>21062.707999999999</v>
      </c>
      <c r="J126" s="24">
        <f t="shared" si="74"/>
        <v>28950.13</v>
      </c>
      <c r="K126" s="24">
        <f t="shared" si="74"/>
        <v>17388.803599999999</v>
      </c>
      <c r="L126" s="24">
        <f t="shared" si="74"/>
        <v>18433.403320000001</v>
      </c>
      <c r="M126" s="24">
        <f t="shared" si="74"/>
        <v>19755.467784</v>
      </c>
      <c r="N126" s="24">
        <f t="shared" si="74"/>
        <v>21118.102540799999</v>
      </c>
      <c r="O126" s="24">
        <f t="shared" si="74"/>
        <v>21129.18144896</v>
      </c>
    </row>
    <row r="127" spans="1:16">
      <c r="A127" s="1" t="s">
        <v>130</v>
      </c>
      <c r="F127" s="24">
        <f t="shared" ref="F127:O127" si="75">+F87</f>
        <v>16679.975999999999</v>
      </c>
      <c r="G127" s="24">
        <f t="shared" si="75"/>
        <v>626.43700000000001</v>
      </c>
      <c r="H127" s="24">
        <f t="shared" si="75"/>
        <v>2197.87</v>
      </c>
      <c r="I127" s="24">
        <f t="shared" si="75"/>
        <v>2721.0230000000001</v>
      </c>
      <c r="J127" s="24">
        <f t="shared" si="75"/>
        <v>20222.842000000001</v>
      </c>
      <c r="K127" s="24">
        <f t="shared" si="75"/>
        <v>8489.6296000000002</v>
      </c>
      <c r="L127" s="24">
        <f t="shared" si="75"/>
        <v>6851.5603199999996</v>
      </c>
      <c r="M127" s="24">
        <f t="shared" si="75"/>
        <v>8096.5849839999992</v>
      </c>
      <c r="N127" s="24">
        <f t="shared" si="75"/>
        <v>9276.3279808000007</v>
      </c>
      <c r="O127" s="24">
        <f t="shared" si="75"/>
        <v>10587.388976960001</v>
      </c>
    </row>
    <row r="128" spans="1:16">
      <c r="A128" s="1" t="s">
        <v>131</v>
      </c>
      <c r="F128" s="24">
        <f t="shared" ref="F128:O128" si="76">+F88</f>
        <v>0</v>
      </c>
      <c r="G128" s="24">
        <f t="shared" si="76"/>
        <v>0</v>
      </c>
      <c r="H128" s="24">
        <f t="shared" si="76"/>
        <v>0</v>
      </c>
      <c r="I128" s="24">
        <f t="shared" si="76"/>
        <v>0</v>
      </c>
      <c r="J128" s="24">
        <f t="shared" si="76"/>
        <v>0</v>
      </c>
      <c r="K128" s="24">
        <f t="shared" si="76"/>
        <v>0</v>
      </c>
      <c r="L128" s="24">
        <f t="shared" si="76"/>
        <v>0</v>
      </c>
      <c r="M128" s="24">
        <f t="shared" si="76"/>
        <v>0</v>
      </c>
      <c r="N128" s="24">
        <f t="shared" si="76"/>
        <v>0</v>
      </c>
      <c r="O128" s="24">
        <f t="shared" si="76"/>
        <v>0</v>
      </c>
    </row>
    <row r="129" spans="1:15">
      <c r="A129" s="70" t="s">
        <v>78</v>
      </c>
      <c r="F129" s="8">
        <f>+F124+F126+F127+F128</f>
        <v>57286.401439482244</v>
      </c>
      <c r="G129" s="8">
        <f t="shared" ref="G129:O129" si="77">+G124+G126+G127+G128</f>
        <v>-138628.27760919568</v>
      </c>
      <c r="H129" s="8">
        <f t="shared" si="77"/>
        <v>28640.707478003857</v>
      </c>
      <c r="I129" s="8">
        <f t="shared" si="77"/>
        <v>35039.83849362639</v>
      </c>
      <c r="J129" s="8">
        <f t="shared" si="77"/>
        <v>113492.30105066144</v>
      </c>
      <c r="K129" s="8">
        <f t="shared" si="77"/>
        <v>23208.127781668059</v>
      </c>
      <c r="L129" s="8">
        <f t="shared" si="77"/>
        <v>49016.87046310836</v>
      </c>
      <c r="M129" s="8">
        <f t="shared" si="77"/>
        <v>51616.590245093576</v>
      </c>
      <c r="N129" s="8">
        <f t="shared" si="77"/>
        <v>54241.103819480042</v>
      </c>
      <c r="O129" s="8">
        <f t="shared" si="77"/>
        <v>55669.954880407102</v>
      </c>
    </row>
    <row r="130" spans="1:15" ht="15.75" thickBot="1"/>
    <row r="131" spans="1:15">
      <c r="A131" s="1" t="s">
        <v>79</v>
      </c>
      <c r="F131" s="242"/>
      <c r="G131" s="241">
        <f>+G110</f>
        <v>-444417.76800000004</v>
      </c>
      <c r="H131" s="241">
        <f t="shared" ref="H131:O131" si="78">+H110</f>
        <v>122311.59400000004</v>
      </c>
      <c r="I131" s="241">
        <f t="shared" si="78"/>
        <v>-23563.414000000048</v>
      </c>
      <c r="J131" s="241">
        <f t="shared" si="78"/>
        <v>-34393.296000000031</v>
      </c>
      <c r="K131" s="241">
        <f t="shared" si="78"/>
        <v>1158.8346882399637</v>
      </c>
      <c r="L131" s="241">
        <f t="shared" si="78"/>
        <v>1270.7261413804954</v>
      </c>
      <c r="M131" s="241">
        <f t="shared" si="78"/>
        <v>1391.670722604671</v>
      </c>
      <c r="N131" s="241">
        <f t="shared" si="78"/>
        <v>1405.9699354782933</v>
      </c>
      <c r="O131" s="241">
        <f t="shared" si="78"/>
        <v>1377.5532275927835</v>
      </c>
    </row>
    <row r="132" spans="1:15">
      <c r="A132" s="1" t="s">
        <v>150</v>
      </c>
      <c r="F132" s="243"/>
      <c r="G132" s="241">
        <f>+G45-F45</f>
        <v>-19797.78800000003</v>
      </c>
      <c r="H132" s="241">
        <f t="shared" ref="H132:O132" si="79">+H45-G45</f>
        <v>-42768.830999999976</v>
      </c>
      <c r="I132" s="241">
        <f t="shared" si="79"/>
        <v>75260.559000000008</v>
      </c>
      <c r="J132" s="241">
        <f t="shared" si="79"/>
        <v>347295.91299999994</v>
      </c>
      <c r="K132" s="241">
        <f t="shared" si="79"/>
        <v>24797.248485839926</v>
      </c>
      <c r="L132" s="241">
        <f>+L45-K45</f>
        <v>31686.274948977749</v>
      </c>
      <c r="M132" s="241">
        <f t="shared" si="79"/>
        <v>29540.90244782751</v>
      </c>
      <c r="N132" s="241">
        <f t="shared" si="79"/>
        <v>29936.010392313241</v>
      </c>
      <c r="O132" s="241">
        <f t="shared" si="79"/>
        <v>29519.188827364822</v>
      </c>
    </row>
    <row r="133" spans="1:15" ht="15.75" thickBot="1">
      <c r="A133" s="70" t="s">
        <v>80</v>
      </c>
      <c r="F133" s="244"/>
      <c r="G133" s="241">
        <f>+G131+G132</f>
        <v>-464215.5560000001</v>
      </c>
      <c r="H133" s="241">
        <f t="shared" ref="H133:O133" si="80">+H131+H132</f>
        <v>79542.763000000064</v>
      </c>
      <c r="I133" s="241">
        <f t="shared" si="80"/>
        <v>51697.14499999996</v>
      </c>
      <c r="J133" s="241">
        <f t="shared" si="80"/>
        <v>312902.61699999991</v>
      </c>
      <c r="K133" s="241">
        <f t="shared" si="80"/>
        <v>25956.083174079889</v>
      </c>
      <c r="L133" s="241">
        <f t="shared" si="80"/>
        <v>32957.001090358244</v>
      </c>
      <c r="M133" s="241">
        <f t="shared" si="80"/>
        <v>30932.573170432181</v>
      </c>
      <c r="N133" s="241">
        <f t="shared" si="80"/>
        <v>31341.980327791534</v>
      </c>
      <c r="O133" s="241">
        <f t="shared" si="80"/>
        <v>30896.742054957605</v>
      </c>
    </row>
    <row r="135" spans="1:15">
      <c r="A135" s="70" t="s">
        <v>81</v>
      </c>
      <c r="F135" s="24">
        <f>+F129-F133</f>
        <v>57286.401439482244</v>
      </c>
      <c r="G135" s="24">
        <f t="shared" ref="G135:O135" si="81">+G129-G133</f>
        <v>325587.27839080442</v>
      </c>
      <c r="H135" s="24">
        <f t="shared" si="81"/>
        <v>-50902.055521996212</v>
      </c>
      <c r="I135" s="24">
        <f t="shared" si="81"/>
        <v>-16657.30650637357</v>
      </c>
      <c r="J135" s="24">
        <f t="shared" si="81"/>
        <v>-199410.31594933849</v>
      </c>
      <c r="K135" s="24">
        <f t="shared" si="81"/>
        <v>-2747.95539241183</v>
      </c>
      <c r="L135" s="24">
        <f t="shared" si="81"/>
        <v>16059.869372750116</v>
      </c>
      <c r="M135" s="24">
        <f t="shared" si="81"/>
        <v>20684.017074661395</v>
      </c>
      <c r="N135" s="24">
        <f t="shared" si="81"/>
        <v>22899.123491688508</v>
      </c>
      <c r="O135" s="24">
        <f t="shared" si="81"/>
        <v>24773.212825449496</v>
      </c>
    </row>
    <row r="137" spans="1:15">
      <c r="A137" s="169"/>
      <c r="B137" s="169"/>
      <c r="C137" s="169"/>
      <c r="D137" s="169"/>
      <c r="E137" s="169"/>
      <c r="F137" s="169"/>
      <c r="G137" s="169"/>
      <c r="H137" s="169"/>
      <c r="I137" s="169"/>
      <c r="J137" s="169"/>
      <c r="K137" s="169"/>
      <c r="L137" s="169"/>
      <c r="M137" s="169"/>
      <c r="N137" s="169"/>
      <c r="O137" s="169"/>
    </row>
    <row r="139" spans="1:15" ht="15.75" thickBot="1">
      <c r="A139" s="170" t="s">
        <v>309</v>
      </c>
    </row>
    <row r="140" spans="1:15" ht="15.75" thickBot="1">
      <c r="F140" s="331">
        <f t="shared" ref="F140:O140" si="82">F117</f>
        <v>2018</v>
      </c>
      <c r="G140" s="83">
        <f t="shared" si="82"/>
        <v>2019</v>
      </c>
      <c r="H140" s="83">
        <f t="shared" si="82"/>
        <v>2020</v>
      </c>
      <c r="I140" s="83">
        <f t="shared" si="82"/>
        <v>2021</v>
      </c>
      <c r="J140" s="83">
        <f t="shared" si="82"/>
        <v>2022</v>
      </c>
      <c r="K140" s="22">
        <f t="shared" si="82"/>
        <v>2023</v>
      </c>
      <c r="L140" s="22">
        <f t="shared" si="82"/>
        <v>2024</v>
      </c>
      <c r="M140" s="22">
        <f t="shared" si="82"/>
        <v>2025</v>
      </c>
      <c r="N140" s="22">
        <f t="shared" si="82"/>
        <v>2026</v>
      </c>
      <c r="O140" s="23">
        <f t="shared" si="82"/>
        <v>2027</v>
      </c>
    </row>
    <row r="141" spans="1:15" ht="15.75" thickBot="1">
      <c r="A141" s="303" t="s">
        <v>281</v>
      </c>
      <c r="B141" s="304"/>
      <c r="C141" s="304"/>
      <c r="D141" s="304"/>
      <c r="E141" s="304"/>
      <c r="F141" s="304"/>
      <c r="G141" s="304"/>
      <c r="H141" s="304"/>
      <c r="I141" s="304"/>
      <c r="J141" s="304"/>
      <c r="K141" s="304"/>
      <c r="L141" s="304"/>
      <c r="M141" s="304"/>
      <c r="N141" s="304"/>
      <c r="O141" s="304"/>
    </row>
    <row r="142" spans="1:15">
      <c r="A142" s="1" t="s">
        <v>282</v>
      </c>
      <c r="F142" s="308">
        <f>+F70/F68</f>
        <v>8.7472330523523156E-2</v>
      </c>
      <c r="G142" s="308">
        <f t="shared" ref="G142:O142" si="83">+G70/G68</f>
        <v>8.0657394702359858E-2</v>
      </c>
      <c r="H142" s="308">
        <f t="shared" si="83"/>
        <v>6.0296902179057275E-2</v>
      </c>
      <c r="I142" s="308">
        <f t="shared" si="83"/>
        <v>5.6045278223758328E-2</v>
      </c>
      <c r="J142" s="308">
        <f t="shared" si="83"/>
        <v>5.7797176434489249E-2</v>
      </c>
      <c r="K142" s="308">
        <f t="shared" si="83"/>
        <v>6.8456881446092285E-2</v>
      </c>
      <c r="L142" s="308">
        <f t="shared" si="83"/>
        <v>7.1551250591801716E-2</v>
      </c>
      <c r="M142" s="308">
        <f t="shared" si="83"/>
        <v>7.135382560000901E-2</v>
      </c>
      <c r="N142" s="308">
        <f t="shared" si="83"/>
        <v>7.1169586125896842E-2</v>
      </c>
      <c r="O142" s="308">
        <f t="shared" si="83"/>
        <v>7.0994672537570774E-2</v>
      </c>
    </row>
    <row r="143" spans="1:15">
      <c r="A143" s="1" t="s">
        <v>283</v>
      </c>
      <c r="F143" s="101">
        <f>+F73/F68</f>
        <v>2.2619681608472002E-3</v>
      </c>
      <c r="G143" s="101">
        <f t="shared" ref="G143:O143" si="84">+G73/G68</f>
        <v>-1.1644066640767028E-2</v>
      </c>
      <c r="H143" s="101">
        <f t="shared" si="84"/>
        <v>9.7299375685065432E-3</v>
      </c>
      <c r="I143" s="101">
        <f t="shared" si="84"/>
        <v>7.6799777902020853E-3</v>
      </c>
      <c r="J143" s="101">
        <f t="shared" si="84"/>
        <v>1.6711436430320078E-2</v>
      </c>
      <c r="K143" s="101">
        <f t="shared" si="84"/>
        <v>4.9548724970658103E-3</v>
      </c>
      <c r="L143" s="101">
        <f t="shared" si="84"/>
        <v>8.6786315270715036E-3</v>
      </c>
      <c r="M143" s="101">
        <f t="shared" si="84"/>
        <v>8.5806485542058303E-3</v>
      </c>
      <c r="N143" s="101">
        <f t="shared" si="84"/>
        <v>8.4924456718920519E-3</v>
      </c>
      <c r="O143" s="101">
        <f t="shared" si="84"/>
        <v>8.4100046452265428E-3</v>
      </c>
    </row>
    <row r="144" spans="1:15">
      <c r="A144" s="1" t="s">
        <v>284</v>
      </c>
      <c r="F144" s="101">
        <f>+F81/F68</f>
        <v>4.8041364643328886E-3</v>
      </c>
      <c r="G144" s="101">
        <f t="shared" ref="G144:O144" si="85">+G81/G68</f>
        <v>-1.8379420102508759E-2</v>
      </c>
      <c r="H144" s="101">
        <f t="shared" si="85"/>
        <v>2.2230670176905218E-3</v>
      </c>
      <c r="I144" s="101">
        <f t="shared" si="85"/>
        <v>1.7782313367547993E-3</v>
      </c>
      <c r="J144" s="101">
        <f t="shared" si="85"/>
        <v>7.6846511806584819E-3</v>
      </c>
      <c r="K144" s="101">
        <f t="shared" si="85"/>
        <v>-3.7084498537037796E-4</v>
      </c>
      <c r="L144" s="101">
        <f t="shared" si="85"/>
        <v>3.3529140446353152E-3</v>
      </c>
      <c r="M144" s="101">
        <f t="shared" si="85"/>
        <v>3.2549310717696397E-3</v>
      </c>
      <c r="N144" s="101">
        <f t="shared" si="85"/>
        <v>3.1667281894558626E-3</v>
      </c>
      <c r="O144" s="101">
        <f t="shared" si="85"/>
        <v>3.0842871627903543E-3</v>
      </c>
    </row>
    <row r="145" spans="1:15" ht="15.75" thickBot="1">
      <c r="A145" s="1" t="s">
        <v>285</v>
      </c>
      <c r="F145" s="311">
        <f>+F81/F60</f>
        <v>0.10349118855757584</v>
      </c>
      <c r="G145" s="311">
        <f t="shared" ref="G145:O145" si="86">+G81/G60</f>
        <v>-0.28231117184281174</v>
      </c>
      <c r="H145" s="311">
        <f t="shared" si="86"/>
        <v>2.7480292778662516E-2</v>
      </c>
      <c r="I145" s="311">
        <f t="shared" si="86"/>
        <v>1.6309947361282742E-2</v>
      </c>
      <c r="J145" s="311">
        <f t="shared" si="86"/>
        <v>9.8363820237651611E-2</v>
      </c>
      <c r="K145" s="311">
        <f t="shared" si="86"/>
        <v>-4.7506746960825682E-3</v>
      </c>
      <c r="L145" s="311">
        <f t="shared" si="86"/>
        <v>4.1340672444020544E-2</v>
      </c>
      <c r="M145" s="311">
        <f t="shared" si="86"/>
        <v>3.8347918783702049E-2</v>
      </c>
      <c r="N145" s="311">
        <f t="shared" si="86"/>
        <v>3.5778574481351764E-2</v>
      </c>
      <c r="O145" s="311">
        <f t="shared" si="86"/>
        <v>3.3559638268074399E-2</v>
      </c>
    </row>
    <row r="146" spans="1:15" ht="15.75" thickBot="1">
      <c r="A146" s="303" t="s">
        <v>286</v>
      </c>
      <c r="B146" s="304"/>
      <c r="C146" s="304"/>
      <c r="D146" s="304"/>
      <c r="E146" s="304"/>
      <c r="F146" s="304"/>
      <c r="G146" s="304"/>
      <c r="H146" s="304"/>
      <c r="I146" s="304"/>
      <c r="J146" s="304"/>
      <c r="K146" s="304"/>
      <c r="L146" s="304"/>
      <c r="M146" s="304"/>
      <c r="N146" s="304"/>
      <c r="O146" s="304"/>
    </row>
    <row r="147" spans="1:15">
      <c r="A147" s="1" t="s">
        <v>287</v>
      </c>
      <c r="F147" s="314">
        <f>+F43-F53</f>
        <v>455501.27899999998</v>
      </c>
      <c r="G147" s="314">
        <f t="shared" ref="G147:O147" si="87">+G43-G53</f>
        <v>79665.716000000131</v>
      </c>
      <c r="H147" s="314">
        <f t="shared" si="87"/>
        <v>212060.83899999998</v>
      </c>
      <c r="I147" s="314">
        <f t="shared" si="87"/>
        <v>361704.03400000004</v>
      </c>
      <c r="J147" s="314">
        <f t="shared" si="87"/>
        <v>211614.18200000003</v>
      </c>
      <c r="K147" s="314">
        <f t="shared" si="87"/>
        <v>218834.45788983995</v>
      </c>
      <c r="L147" s="314">
        <f t="shared" si="87"/>
        <v>226751.88857629441</v>
      </c>
      <c r="M147" s="314">
        <f t="shared" si="87"/>
        <v>235422.88079545193</v>
      </c>
      <c r="N147" s="314">
        <f t="shared" si="87"/>
        <v>244182.9661898507</v>
      </c>
      <c r="O147" s="314">
        <f t="shared" si="87"/>
        <v>252765.9974514239</v>
      </c>
    </row>
    <row r="148" spans="1:15">
      <c r="A148" s="1" t="s">
        <v>288</v>
      </c>
      <c r="F148" s="317">
        <f>+F43/F53</f>
        <v>2.2105874438143158</v>
      </c>
      <c r="G148" s="317">
        <f t="shared" ref="G148:O148" si="88">+G43/G53</f>
        <v>1.1440846178955855</v>
      </c>
      <c r="H148" s="317">
        <f t="shared" si="88"/>
        <v>1.5433888348790641</v>
      </c>
      <c r="I148" s="317">
        <f t="shared" si="88"/>
        <v>2.042314643957444</v>
      </c>
      <c r="J148" s="317">
        <f t="shared" si="88"/>
        <v>1.4281351750021003</v>
      </c>
      <c r="K148" s="317">
        <f t="shared" si="88"/>
        <v>1.4281351750021001</v>
      </c>
      <c r="L148" s="317">
        <f t="shared" si="88"/>
        <v>1.4281351750021001</v>
      </c>
      <c r="M148" s="317">
        <f t="shared" si="88"/>
        <v>1.4281351750021001</v>
      </c>
      <c r="N148" s="317">
        <f t="shared" si="88"/>
        <v>1.4281351750021001</v>
      </c>
      <c r="O148" s="317">
        <f t="shared" si="88"/>
        <v>1.4281351750021001</v>
      </c>
    </row>
    <row r="149" spans="1:15" ht="15.75" thickBot="1">
      <c r="A149" s="1" t="s">
        <v>289</v>
      </c>
      <c r="F149" s="319">
        <f>+(F43-F42)/F53</f>
        <v>1.4138131546314612</v>
      </c>
      <c r="G149" s="319">
        <f t="shared" ref="G149:O149" si="89">+(G43-G42)/G53</f>
        <v>0.67435460238902589</v>
      </c>
      <c r="H149" s="319">
        <f t="shared" si="89"/>
        <v>1.033979540689272</v>
      </c>
      <c r="I149" s="319">
        <f t="shared" si="89"/>
        <v>1.6095060381043278</v>
      </c>
      <c r="J149" s="319">
        <f t="shared" si="89"/>
        <v>0.91627449705307973</v>
      </c>
      <c r="K149" s="319">
        <f t="shared" si="89"/>
        <v>0.91627449705307962</v>
      </c>
      <c r="L149" s="319">
        <f t="shared" si="89"/>
        <v>0.91627449705307962</v>
      </c>
      <c r="M149" s="319">
        <f t="shared" si="89"/>
        <v>0.91627449705307973</v>
      </c>
      <c r="N149" s="319">
        <f t="shared" si="89"/>
        <v>0.91627449705307973</v>
      </c>
      <c r="O149" s="319">
        <f t="shared" si="89"/>
        <v>0.91627449705307973</v>
      </c>
    </row>
    <row r="150" spans="1:15" ht="15.75" thickBot="1">
      <c r="A150" s="303" t="s">
        <v>290</v>
      </c>
      <c r="B150" s="304"/>
      <c r="C150" s="304"/>
      <c r="D150" s="304"/>
      <c r="E150" s="304"/>
      <c r="F150" s="304"/>
      <c r="G150" s="304"/>
      <c r="H150" s="304"/>
      <c r="I150" s="304"/>
      <c r="J150" s="304"/>
      <c r="K150" s="304"/>
      <c r="L150" s="304"/>
      <c r="M150" s="304"/>
      <c r="N150" s="304"/>
      <c r="O150" s="304"/>
    </row>
    <row r="151" spans="1:15">
      <c r="A151" s="1" t="s">
        <v>291</v>
      </c>
      <c r="F151" s="308">
        <f>+F57/F48</f>
        <v>0.78469624153043638</v>
      </c>
      <c r="G151" s="308">
        <f t="shared" ref="G151:O151" si="90">+G57/G48</f>
        <v>0.72921973230748138</v>
      </c>
      <c r="H151" s="308">
        <f t="shared" si="90"/>
        <v>0.56008176909865248</v>
      </c>
      <c r="I151" s="308">
        <f t="shared" si="90"/>
        <v>0.6254629697019175</v>
      </c>
      <c r="J151" s="308">
        <f t="shared" si="90"/>
        <v>0.71788220717700002</v>
      </c>
      <c r="K151" s="308">
        <f t="shared" si="90"/>
        <v>0.71788220717700002</v>
      </c>
      <c r="L151" s="308">
        <f t="shared" si="90"/>
        <v>0.71788220717700002</v>
      </c>
      <c r="M151" s="308">
        <f t="shared" si="90"/>
        <v>0.71788220717700002</v>
      </c>
      <c r="N151" s="308">
        <f t="shared" si="90"/>
        <v>0.71788220717700013</v>
      </c>
      <c r="O151" s="308">
        <f t="shared" si="90"/>
        <v>0.71788220717700013</v>
      </c>
    </row>
    <row r="152" spans="1:15">
      <c r="A152" s="1" t="s">
        <v>292</v>
      </c>
      <c r="F152" s="101">
        <f>+F53/F57</f>
        <v>0.40904043756830627</v>
      </c>
      <c r="G152" s="101">
        <f t="shared" ref="G152:O152" si="91">+G53/G57</f>
        <v>0.54746606830255351</v>
      </c>
      <c r="H152" s="101">
        <f t="shared" si="91"/>
        <v>0.6343605253789637</v>
      </c>
      <c r="I152" s="101">
        <f t="shared" si="91"/>
        <v>0.40854176642889434</v>
      </c>
      <c r="J152" s="101">
        <f t="shared" si="91"/>
        <v>0.40838698886786323</v>
      </c>
      <c r="K152" s="101">
        <f t="shared" si="91"/>
        <v>0.40838698886786323</v>
      </c>
      <c r="L152" s="101">
        <f t="shared" si="91"/>
        <v>0.40838698886786318</v>
      </c>
      <c r="M152" s="101">
        <f t="shared" si="91"/>
        <v>0.40838698886786323</v>
      </c>
      <c r="N152" s="101">
        <f t="shared" si="91"/>
        <v>0.40838698886786323</v>
      </c>
      <c r="O152" s="101">
        <f t="shared" si="91"/>
        <v>0.40838698886786329</v>
      </c>
    </row>
    <row r="153" spans="1:15" ht="15.75" thickBot="1">
      <c r="A153" s="1" t="s">
        <v>293</v>
      </c>
      <c r="F153" s="311">
        <f>+F55/F57</f>
        <v>0</v>
      </c>
      <c r="G153" s="311">
        <f t="shared" ref="G153:O153" si="92">+G55/G57</f>
        <v>0</v>
      </c>
      <c r="H153" s="311">
        <f t="shared" si="92"/>
        <v>0.32509955954568881</v>
      </c>
      <c r="I153" s="311">
        <f t="shared" si="92"/>
        <v>0.2354571836581055</v>
      </c>
      <c r="J153" s="311">
        <f t="shared" si="92"/>
        <v>0.13770724441743151</v>
      </c>
      <c r="K153" s="311">
        <f t="shared" si="92"/>
        <v>0.13770724441743151</v>
      </c>
      <c r="L153" s="311">
        <f t="shared" si="92"/>
        <v>0.13770724441743148</v>
      </c>
      <c r="M153" s="311">
        <f t="shared" si="92"/>
        <v>0.13770724441743151</v>
      </c>
      <c r="N153" s="311">
        <f t="shared" si="92"/>
        <v>0.13770724441743151</v>
      </c>
      <c r="O153" s="311">
        <f t="shared" si="92"/>
        <v>0.13770724441743151</v>
      </c>
    </row>
    <row r="154" spans="1:15" ht="15.75" thickBot="1">
      <c r="A154" s="303" t="s">
        <v>294</v>
      </c>
      <c r="B154" s="304"/>
      <c r="C154" s="304"/>
      <c r="D154" s="304"/>
      <c r="E154" s="304"/>
      <c r="F154" s="304"/>
      <c r="G154" s="304"/>
      <c r="H154" s="304"/>
      <c r="I154" s="304"/>
      <c r="J154" s="304"/>
      <c r="K154" s="304"/>
      <c r="L154" s="304"/>
      <c r="M154" s="304"/>
      <c r="N154" s="304"/>
      <c r="O154" s="304"/>
    </row>
    <row r="155" spans="1:15">
      <c r="A155" s="1" t="s">
        <v>295</v>
      </c>
      <c r="C155" s="301" t="s">
        <v>302</v>
      </c>
      <c r="F155" s="322">
        <f>+F68/F60</f>
        <v>21.542100089354317</v>
      </c>
      <c r="G155" s="322">
        <f t="shared" ref="G155:O155" si="93">+G68/G60</f>
        <v>15.360178409778921</v>
      </c>
      <c r="H155" s="322">
        <f t="shared" si="93"/>
        <v>12.36143245344487</v>
      </c>
      <c r="I155" s="322">
        <f t="shared" si="93"/>
        <v>9.1720053652005369</v>
      </c>
      <c r="J155" s="322">
        <f t="shared" si="93"/>
        <v>12.800037103209544</v>
      </c>
      <c r="K155" s="322">
        <f t="shared" si="93"/>
        <v>12.810405650592459</v>
      </c>
      <c r="L155" s="322">
        <f t="shared" si="93"/>
        <v>12.329774009615875</v>
      </c>
      <c r="M155" s="322">
        <f t="shared" si="93"/>
        <v>11.781484135347009</v>
      </c>
      <c r="N155" s="322">
        <f t="shared" si="93"/>
        <v>11.298277698882512</v>
      </c>
      <c r="O155" s="322">
        <f t="shared" si="93"/>
        <v>10.880841016668823</v>
      </c>
    </row>
    <row r="156" spans="1:15">
      <c r="A156" s="1" t="s">
        <v>296</v>
      </c>
      <c r="C156" s="301" t="s">
        <v>303</v>
      </c>
      <c r="F156" s="180">
        <f>+F68/F48</f>
        <v>4.6380951145655036</v>
      </c>
      <c r="G156" s="180">
        <f t="shared" ref="G156:O156" si="94">+G68/G48</f>
        <v>4.1592332216047785</v>
      </c>
      <c r="H156" s="180">
        <f t="shared" si="94"/>
        <v>5.4380194963259711</v>
      </c>
      <c r="I156" s="180">
        <f t="shared" si="94"/>
        <v>3.4352556513602868</v>
      </c>
      <c r="J156" s="180">
        <f t="shared" si="94"/>
        <v>3.6111182156099821</v>
      </c>
      <c r="K156" s="180">
        <f t="shared" si="94"/>
        <v>3.5969554022997876</v>
      </c>
      <c r="L156" s="180">
        <f t="shared" si="94"/>
        <v>3.611295155439616</v>
      </c>
      <c r="M156" s="180">
        <f t="shared" si="94"/>
        <v>3.5883095063107358</v>
      </c>
      <c r="N156" s="180">
        <f t="shared" si="94"/>
        <v>3.5688258862041224</v>
      </c>
      <c r="O156" s="180">
        <f t="shared" si="94"/>
        <v>3.556317451031286</v>
      </c>
    </row>
    <row r="157" spans="1:15">
      <c r="A157" s="1" t="s">
        <v>297</v>
      </c>
      <c r="C157" s="301" t="s">
        <v>304</v>
      </c>
      <c r="F157" s="180">
        <f>+F68/F41</f>
        <v>12.541594429788679</v>
      </c>
      <c r="G157" s="180">
        <f t="shared" ref="G157:O157" si="95">+G68/G41</f>
        <v>28.968711285539378</v>
      </c>
      <c r="H157" s="180">
        <f t="shared" si="95"/>
        <v>28.689487968571715</v>
      </c>
      <c r="I157" s="180">
        <f t="shared" si="95"/>
        <v>18.826254621430149</v>
      </c>
      <c r="J157" s="180">
        <f t="shared" si="95"/>
        <v>29.04391332029234</v>
      </c>
      <c r="K157" s="180">
        <f t="shared" si="95"/>
        <v>28.93000303057249</v>
      </c>
      <c r="L157" s="180">
        <f t="shared" si="95"/>
        <v>29.045336432128611</v>
      </c>
      <c r="M157" s="180">
        <f t="shared" si="95"/>
        <v>28.860464832516058</v>
      </c>
      <c r="N157" s="180">
        <f t="shared" si="95"/>
        <v>28.703759751221341</v>
      </c>
      <c r="O157" s="180">
        <f t="shared" si="95"/>
        <v>28.603155482615037</v>
      </c>
    </row>
    <row r="158" spans="1:15">
      <c r="A158" s="1" t="s">
        <v>299</v>
      </c>
      <c r="C158" s="301" t="s">
        <v>306</v>
      </c>
      <c r="F158" s="180">
        <f>+(F42/F69)*365</f>
        <v>22.055164446331606</v>
      </c>
      <c r="G158" s="180">
        <f t="shared" ref="G158:O158" si="96">+(G42/G69)*365</f>
        <v>17.900540110787841</v>
      </c>
      <c r="H158" s="180">
        <f t="shared" si="96"/>
        <v>12.927540189475003</v>
      </c>
      <c r="I158" s="180">
        <f t="shared" si="96"/>
        <v>12.448487598334772</v>
      </c>
      <c r="J158" s="180">
        <f t="shared" si="96"/>
        <v>16.098433249018406</v>
      </c>
      <c r="K158" s="180">
        <f t="shared" si="96"/>
        <v>16.346760637496562</v>
      </c>
      <c r="L158" s="180">
        <f t="shared" si="96"/>
        <v>16.33611558813616</v>
      </c>
      <c r="M158" s="180">
        <f t="shared" si="96"/>
        <v>16.437264697939401</v>
      </c>
      <c r="N158" s="180">
        <f t="shared" si="96"/>
        <v>16.523723935205279</v>
      </c>
      <c r="O158" s="180">
        <f t="shared" si="96"/>
        <v>16.578719861726338</v>
      </c>
    </row>
    <row r="159" spans="1:15">
      <c r="A159" s="1" t="s">
        <v>298</v>
      </c>
      <c r="C159" s="301" t="s">
        <v>305</v>
      </c>
      <c r="F159" s="180">
        <f>+(F41/F68)*365</f>
        <v>29.103157660166026</v>
      </c>
      <c r="G159" s="180">
        <f t="shared" ref="G159:O159" si="97">+(G41/G68)*365</f>
        <v>12.599801088914885</v>
      </c>
      <c r="H159" s="180">
        <f t="shared" si="97"/>
        <v>12.722429915788117</v>
      </c>
      <c r="I159" s="180">
        <f t="shared" si="97"/>
        <v>19.387818094445414</v>
      </c>
      <c r="J159" s="180">
        <f t="shared" si="97"/>
        <v>12.567177018290527</v>
      </c>
      <c r="K159" s="180">
        <f t="shared" si="97"/>
        <v>12.616659583971606</v>
      </c>
      <c r="L159" s="180">
        <f t="shared" si="97"/>
        <v>12.566561274058916</v>
      </c>
      <c r="M159" s="180">
        <f t="shared" si="97"/>
        <v>12.647058947878328</v>
      </c>
      <c r="N159" s="180">
        <f t="shared" si="97"/>
        <v>12.716104202498048</v>
      </c>
      <c r="O159" s="180">
        <f t="shared" si="97"/>
        <v>12.760829839975054</v>
      </c>
    </row>
    <row r="160" spans="1:15">
      <c r="A160" s="302" t="s">
        <v>301</v>
      </c>
      <c r="C160" s="301" t="s">
        <v>308</v>
      </c>
      <c r="F160" s="180">
        <f>+(F52/F69)*365</f>
        <v>23.489494357523011</v>
      </c>
      <c r="G160" s="180">
        <f t="shared" ref="G160:O160" si="98">+(G52/G69)*365</f>
        <v>33.700433561920107</v>
      </c>
      <c r="H160" s="180">
        <f t="shared" si="98"/>
        <v>20.488944368963448</v>
      </c>
      <c r="I160" s="180">
        <f t="shared" si="98"/>
        <v>27.321789640185809</v>
      </c>
      <c r="J160" s="180">
        <f t="shared" si="98"/>
        <v>27.275385862355041</v>
      </c>
      <c r="K160" s="180">
        <f t="shared" si="98"/>
        <v>27.696124032098712</v>
      </c>
      <c r="L160" s="180">
        <f t="shared" si="98"/>
        <v>27.67808825033427</v>
      </c>
      <c r="M160" s="180">
        <f t="shared" si="98"/>
        <v>27.849463995839525</v>
      </c>
      <c r="N160" s="180">
        <f t="shared" si="98"/>
        <v>27.995950863307549</v>
      </c>
      <c r="O160" s="180">
        <f t="shared" si="98"/>
        <v>28.089129813924441</v>
      </c>
    </row>
    <row r="161" spans="1:15" ht="15.75" thickBot="1">
      <c r="A161" s="1" t="s">
        <v>300</v>
      </c>
      <c r="C161" s="301" t="s">
        <v>307</v>
      </c>
      <c r="F161" s="324">
        <f>+F159+F158</f>
        <v>51.158322106497636</v>
      </c>
      <c r="G161" s="324">
        <f t="shared" ref="G161:O161" si="99">+G159+G158</f>
        <v>30.500341199702724</v>
      </c>
      <c r="H161" s="324">
        <f t="shared" si="99"/>
        <v>25.649970105263122</v>
      </c>
      <c r="I161" s="324">
        <f t="shared" si="99"/>
        <v>31.836305692780186</v>
      </c>
      <c r="J161" s="324">
        <f t="shared" si="99"/>
        <v>28.665610267308935</v>
      </c>
      <c r="K161" s="324">
        <f t="shared" si="99"/>
        <v>28.963420221468169</v>
      </c>
      <c r="L161" s="324">
        <f t="shared" si="99"/>
        <v>28.902676862195076</v>
      </c>
      <c r="M161" s="324">
        <f t="shared" si="99"/>
        <v>29.084323645817729</v>
      </c>
      <c r="N161" s="324">
        <f t="shared" si="99"/>
        <v>29.239828137703327</v>
      </c>
      <c r="O161" s="324">
        <f t="shared" si="99"/>
        <v>29.339549701701394</v>
      </c>
    </row>
    <row r="162" spans="1:15">
      <c r="A162" s="169"/>
      <c r="B162" s="169"/>
      <c r="C162" s="169"/>
      <c r="D162" s="169"/>
      <c r="E162" s="169"/>
      <c r="F162" s="169"/>
      <c r="G162" s="169"/>
      <c r="H162" s="169"/>
      <c r="I162" s="169"/>
      <c r="J162" s="169"/>
      <c r="K162" s="169"/>
      <c r="L162" s="169"/>
      <c r="M162" s="169"/>
      <c r="N162" s="169"/>
      <c r="O162" s="169"/>
    </row>
    <row r="164" spans="1:15" ht="21" thickBot="1">
      <c r="A164" s="303" t="s">
        <v>311</v>
      </c>
      <c r="B164" s="306"/>
      <c r="C164" s="306"/>
      <c r="D164" s="306"/>
      <c r="E164" s="306"/>
      <c r="F164" s="306"/>
      <c r="G164" s="304"/>
      <c r="H164" s="304"/>
      <c r="I164" s="304"/>
      <c r="J164" s="304"/>
      <c r="K164" s="304"/>
      <c r="L164" s="304"/>
      <c r="M164" s="304"/>
      <c r="N164" s="304"/>
      <c r="O164" s="304"/>
    </row>
    <row r="165" spans="1:15" ht="20.25" thickBot="1">
      <c r="A165" s="305"/>
      <c r="F165" s="331">
        <f t="shared" ref="F165:O165" si="100">F140</f>
        <v>2018</v>
      </c>
      <c r="G165" s="83">
        <f t="shared" si="100"/>
        <v>2019</v>
      </c>
      <c r="H165" s="83">
        <f t="shared" si="100"/>
        <v>2020</v>
      </c>
      <c r="I165" s="83">
        <f t="shared" si="100"/>
        <v>2021</v>
      </c>
      <c r="J165" s="83">
        <f t="shared" si="100"/>
        <v>2022</v>
      </c>
      <c r="K165" s="22">
        <f t="shared" si="100"/>
        <v>2023</v>
      </c>
      <c r="L165" s="22">
        <f t="shared" si="100"/>
        <v>2024</v>
      </c>
      <c r="M165" s="22">
        <f t="shared" si="100"/>
        <v>2025</v>
      </c>
      <c r="N165" s="22">
        <f t="shared" si="100"/>
        <v>2026</v>
      </c>
      <c r="O165" s="23">
        <f t="shared" si="100"/>
        <v>2027</v>
      </c>
    </row>
    <row r="166" spans="1:15">
      <c r="A166" s="1" t="s">
        <v>313</v>
      </c>
      <c r="F166" s="101">
        <f>+F81/F68</f>
        <v>4.8041364643328886E-3</v>
      </c>
      <c r="G166" s="101">
        <f t="shared" ref="G166:K166" si="101">+G81/G68</f>
        <v>-1.8379420102508759E-2</v>
      </c>
      <c r="H166" s="101">
        <f t="shared" si="101"/>
        <v>2.2230670176905218E-3</v>
      </c>
      <c r="I166" s="101">
        <f t="shared" si="101"/>
        <v>1.7782313367547993E-3</v>
      </c>
      <c r="J166" s="101">
        <f t="shared" si="101"/>
        <v>7.6846511806584819E-3</v>
      </c>
      <c r="K166" s="101">
        <f t="shared" si="101"/>
        <v>-3.7084498537037796E-4</v>
      </c>
      <c r="L166" s="101">
        <f t="shared" ref="L166:O166" si="102">+L81/L68</f>
        <v>3.3529140446353152E-3</v>
      </c>
      <c r="M166" s="101">
        <f t="shared" si="102"/>
        <v>3.2549310717696397E-3</v>
      </c>
      <c r="N166" s="101">
        <f t="shared" si="102"/>
        <v>3.1667281894558626E-3</v>
      </c>
      <c r="O166" s="101">
        <f t="shared" si="102"/>
        <v>3.0842871627903543E-3</v>
      </c>
    </row>
    <row r="167" spans="1:15">
      <c r="A167" s="1" t="s">
        <v>314</v>
      </c>
      <c r="F167" s="325">
        <f>+F68/F48</f>
        <v>4.6380951145655036</v>
      </c>
      <c r="G167" s="325">
        <f t="shared" ref="G167:K167" si="103">+G68/G48</f>
        <v>4.1592332216047785</v>
      </c>
      <c r="H167" s="325">
        <f t="shared" si="103"/>
        <v>5.4380194963259711</v>
      </c>
      <c r="I167" s="325">
        <f t="shared" si="103"/>
        <v>3.4352556513602868</v>
      </c>
      <c r="J167" s="325">
        <f t="shared" si="103"/>
        <v>3.6111182156099821</v>
      </c>
      <c r="K167" s="325">
        <f t="shared" si="103"/>
        <v>3.5969554022997876</v>
      </c>
      <c r="L167" s="325">
        <f t="shared" ref="L167:O167" si="104">+L68/L48</f>
        <v>3.611295155439616</v>
      </c>
      <c r="M167" s="325">
        <f t="shared" si="104"/>
        <v>3.5883095063107358</v>
      </c>
      <c r="N167" s="325">
        <f t="shared" si="104"/>
        <v>3.5688258862041224</v>
      </c>
      <c r="O167" s="325">
        <f t="shared" si="104"/>
        <v>3.556317451031286</v>
      </c>
    </row>
    <row r="168" spans="1:15">
      <c r="A168" s="1" t="s">
        <v>315</v>
      </c>
      <c r="F168" s="101">
        <f>+F48/F60</f>
        <v>4.6446007589847325</v>
      </c>
      <c r="G168" s="101">
        <f t="shared" ref="G168:K168" si="105">+G48/G60</f>
        <v>3.693031285187808</v>
      </c>
      <c r="H168" s="101">
        <f t="shared" si="105"/>
        <v>2.2731497122797166</v>
      </c>
      <c r="I168" s="101">
        <f t="shared" si="105"/>
        <v>2.6699629652217065</v>
      </c>
      <c r="J168" s="101">
        <f t="shared" si="105"/>
        <v>3.5446186856686417</v>
      </c>
      <c r="K168" s="101">
        <f t="shared" si="105"/>
        <v>3.5614580159659086</v>
      </c>
      <c r="L168" s="101">
        <f t="shared" ref="L168:O168" si="106">+L48/L60</f>
        <v>3.4142249467047305</v>
      </c>
      <c r="M168" s="101">
        <f t="shared" si="106"/>
        <v>3.2832965257392073</v>
      </c>
      <c r="N168" s="101">
        <f t="shared" si="106"/>
        <v>3.1658248564486833</v>
      </c>
      <c r="O168" s="101">
        <f t="shared" si="106"/>
        <v>3.0595809194461872</v>
      </c>
    </row>
    <row r="169" spans="1:15" ht="15.75" thickBot="1">
      <c r="A169" s="70" t="s">
        <v>312</v>
      </c>
      <c r="F169" s="327">
        <f>+F166*F167*F168</f>
        <v>0.10349118855757586</v>
      </c>
      <c r="G169" s="327">
        <f t="shared" ref="G169:K169" si="107">+G166*G167*G168</f>
        <v>-0.28231117184281174</v>
      </c>
      <c r="H169" s="327">
        <f t="shared" si="107"/>
        <v>2.7480292778662516E-2</v>
      </c>
      <c r="I169" s="327">
        <f t="shared" si="107"/>
        <v>1.6309947361282738E-2</v>
      </c>
      <c r="J169" s="327">
        <f t="shared" si="107"/>
        <v>9.8363820237651611E-2</v>
      </c>
      <c r="K169" s="329">
        <f t="shared" si="107"/>
        <v>-4.7506746960825673E-3</v>
      </c>
      <c r="L169" s="329">
        <f t="shared" ref="L169" si="108">+L166*L167*L168</f>
        <v>4.1340672444020544E-2</v>
      </c>
      <c r="M169" s="329">
        <f t="shared" ref="M169" si="109">+M166*M167*M168</f>
        <v>3.8347918783702042E-2</v>
      </c>
      <c r="N169" s="329">
        <f t="shared" ref="N169" si="110">+N166*N167*N168</f>
        <v>3.5778574481351764E-2</v>
      </c>
      <c r="O169" s="329">
        <f t="shared" ref="O169" si="111">+O166*O167*O168</f>
        <v>3.3559638268074399E-2</v>
      </c>
    </row>
    <row r="170" spans="1:15">
      <c r="A170" s="169"/>
      <c r="B170" s="169"/>
      <c r="C170" s="169"/>
      <c r="D170" s="169"/>
      <c r="E170" s="169"/>
      <c r="F170" s="169"/>
      <c r="G170" s="169"/>
      <c r="H170" s="169"/>
      <c r="I170" s="169"/>
      <c r="J170" s="169"/>
      <c r="K170" s="169"/>
      <c r="L170" s="169"/>
      <c r="M170" s="169"/>
      <c r="N170" s="169"/>
      <c r="O170" s="169"/>
    </row>
  </sheetData>
  <mergeCells count="76">
    <mergeCell ref="U66:U67"/>
    <mergeCell ref="A1:P5"/>
    <mergeCell ref="A9:P10"/>
    <mergeCell ref="A11:P11"/>
    <mergeCell ref="A12:P12"/>
    <mergeCell ref="A13:P13"/>
    <mergeCell ref="K25:O26"/>
    <mergeCell ref="A36:P36"/>
    <mergeCell ref="K28:O28"/>
    <mergeCell ref="A30:E30"/>
    <mergeCell ref="A25:E25"/>
    <mergeCell ref="A26:E26"/>
    <mergeCell ref="A27:E27"/>
    <mergeCell ref="A28:E28"/>
    <mergeCell ref="F28:J28"/>
    <mergeCell ref="R31:S31"/>
    <mergeCell ref="Y23:AC23"/>
    <mergeCell ref="A24:E24"/>
    <mergeCell ref="R14:AB14"/>
    <mergeCell ref="A15:E15"/>
    <mergeCell ref="A17:P18"/>
    <mergeCell ref="A19:P19"/>
    <mergeCell ref="A20:P20"/>
    <mergeCell ref="A21:P21"/>
    <mergeCell ref="A14:P14"/>
    <mergeCell ref="S23:W23"/>
    <mergeCell ref="A22:P22"/>
    <mergeCell ref="F23:J23"/>
    <mergeCell ref="K23:O23"/>
    <mergeCell ref="A32:P32"/>
    <mergeCell ref="A33:P34"/>
    <mergeCell ref="A35:P35"/>
    <mergeCell ref="A57:E57"/>
    <mergeCell ref="R52:AA52"/>
    <mergeCell ref="A40:E40"/>
    <mergeCell ref="A59:E59"/>
    <mergeCell ref="A60:E60"/>
    <mergeCell ref="A62:E62"/>
    <mergeCell ref="A39:E39"/>
    <mergeCell ref="A41:E41"/>
    <mergeCell ref="A42:E42"/>
    <mergeCell ref="A43:E43"/>
    <mergeCell ref="A52:E52"/>
    <mergeCell ref="A53:E53"/>
    <mergeCell ref="A54:E54"/>
    <mergeCell ref="A55:E55"/>
    <mergeCell ref="A74:E74"/>
    <mergeCell ref="A75:E75"/>
    <mergeCell ref="A76:E76"/>
    <mergeCell ref="A77:E77"/>
    <mergeCell ref="Q63:R63"/>
    <mergeCell ref="A66:E66"/>
    <mergeCell ref="A67:E67"/>
    <mergeCell ref="K67:O67"/>
    <mergeCell ref="A69:E69"/>
    <mergeCell ref="A70:E70"/>
    <mergeCell ref="A71:E71"/>
    <mergeCell ref="A72:E72"/>
    <mergeCell ref="A73:E73"/>
    <mergeCell ref="P67:T67"/>
    <mergeCell ref="A91:P92"/>
    <mergeCell ref="A93:P93"/>
    <mergeCell ref="A94:P94"/>
    <mergeCell ref="A51:E51"/>
    <mergeCell ref="A37:P37"/>
    <mergeCell ref="A38:E38"/>
    <mergeCell ref="A80:E80"/>
    <mergeCell ref="A81:E81"/>
    <mergeCell ref="A44:E44"/>
    <mergeCell ref="A45:E45"/>
    <mergeCell ref="A46:E46"/>
    <mergeCell ref="A48:E48"/>
    <mergeCell ref="A50:E50"/>
    <mergeCell ref="A78:E78"/>
    <mergeCell ref="A79:E79"/>
    <mergeCell ref="A68:E68"/>
  </mergeCells>
  <pageMargins left="0.7" right="0.7" top="0.75" bottom="0.75" header="0.3" footer="0.3"/>
  <pageSetup orientation="portrait" r:id="rId1"/>
  <ignoredErrors>
    <ignoredError sqref="F120:O120" formula="1"/>
  </ignoredError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A6755-EBB3-4F77-986F-C6AA784B49E7}">
  <sheetPr codeName="Hoja4">
    <tabColor rgb="FF0070C0"/>
  </sheetPr>
  <dimension ref="A1:Q197"/>
  <sheetViews>
    <sheetView topLeftCell="A149" zoomScale="70" zoomScaleNormal="70" workbookViewId="0">
      <selection activeCell="J175" sqref="J175"/>
    </sheetView>
  </sheetViews>
  <sheetFormatPr baseColWidth="10" defaultColWidth="11.42578125" defaultRowHeight="15"/>
  <cols>
    <col min="1" max="1" width="11.42578125" style="1"/>
    <col min="2" max="2" width="8.140625" style="1" customWidth="1"/>
    <col min="3" max="3" width="9.85546875" style="1" customWidth="1"/>
    <col min="4" max="4" width="11.7109375" style="1" customWidth="1"/>
    <col min="5" max="5" width="6" style="1" customWidth="1"/>
    <col min="6" max="6" width="21.28515625" style="1" customWidth="1"/>
    <col min="7" max="7" width="16.85546875" style="1" customWidth="1"/>
    <col min="8" max="8" width="17.140625" style="1" bestFit="1" customWidth="1"/>
    <col min="9" max="9" width="20.140625" style="1" bestFit="1" customWidth="1"/>
    <col min="10" max="10" width="21.85546875" style="1" customWidth="1"/>
    <col min="11" max="11" width="16.140625" style="1" customWidth="1"/>
    <col min="12" max="12" width="33.7109375" style="1" customWidth="1"/>
    <col min="13" max="13" width="12.5703125" style="1" bestFit="1" customWidth="1"/>
    <col min="14" max="14" width="19.42578125" style="1" customWidth="1"/>
    <col min="15" max="15" width="11.42578125" style="1"/>
    <col min="16" max="16" width="14" style="1" bestFit="1" customWidth="1"/>
    <col min="17" max="16384" width="11.42578125" style="1"/>
  </cols>
  <sheetData>
    <row r="1" spans="1:17">
      <c r="A1" s="862" t="s">
        <v>36</v>
      </c>
      <c r="B1" s="863"/>
      <c r="C1" s="863"/>
      <c r="D1" s="863"/>
      <c r="E1" s="863"/>
      <c r="F1" s="863"/>
      <c r="G1" s="863"/>
      <c r="H1" s="863"/>
      <c r="I1" s="863"/>
      <c r="J1" s="863"/>
      <c r="K1" s="863"/>
      <c r="L1" s="863"/>
      <c r="M1" s="863"/>
      <c r="N1" s="863"/>
      <c r="O1" s="863"/>
      <c r="P1" s="863"/>
      <c r="Q1" s="864"/>
    </row>
    <row r="2" spans="1:17" ht="15.75" thickBot="1">
      <c r="A2" s="865"/>
      <c r="B2" s="866"/>
      <c r="C2" s="866"/>
      <c r="D2" s="866"/>
      <c r="E2" s="866"/>
      <c r="F2" s="866"/>
      <c r="G2" s="866"/>
      <c r="H2" s="866"/>
      <c r="I2" s="866"/>
      <c r="J2" s="866"/>
      <c r="K2" s="866"/>
      <c r="L2" s="866"/>
      <c r="M2" s="866"/>
      <c r="N2" s="866"/>
      <c r="O2" s="866"/>
      <c r="P2" s="866"/>
      <c r="Q2" s="867"/>
    </row>
    <row r="3" spans="1:17" ht="23.25">
      <c r="A3" s="589" t="s">
        <v>345</v>
      </c>
      <c r="B3" s="590"/>
      <c r="C3" s="590"/>
      <c r="D3" s="590"/>
      <c r="E3" s="590"/>
      <c r="F3" s="590"/>
      <c r="G3" s="590"/>
      <c r="H3" s="590"/>
      <c r="I3" s="590"/>
      <c r="J3" s="590"/>
      <c r="K3" s="590"/>
      <c r="L3" s="590"/>
      <c r="M3" s="590"/>
      <c r="N3" s="590"/>
      <c r="O3" s="590"/>
      <c r="P3" s="590"/>
      <c r="Q3" s="676"/>
    </row>
    <row r="4" spans="1:17">
      <c r="A4" s="591" t="s">
        <v>35</v>
      </c>
      <c r="B4" s="592"/>
      <c r="C4" s="592"/>
      <c r="D4" s="592"/>
      <c r="E4" s="592"/>
      <c r="F4" s="592"/>
      <c r="G4" s="592"/>
      <c r="H4" s="592"/>
      <c r="I4" s="592"/>
      <c r="J4" s="592"/>
      <c r="K4" s="592"/>
      <c r="L4" s="592"/>
      <c r="M4" s="592"/>
      <c r="N4" s="592"/>
      <c r="O4" s="592"/>
      <c r="P4" s="592"/>
      <c r="Q4" s="637"/>
    </row>
    <row r="5" spans="1:17">
      <c r="A5" s="591" t="s">
        <v>619</v>
      </c>
      <c r="B5" s="592"/>
      <c r="C5" s="592"/>
      <c r="D5" s="592"/>
      <c r="E5" s="592"/>
      <c r="F5" s="592"/>
      <c r="G5" s="592"/>
      <c r="H5" s="592"/>
      <c r="I5" s="592"/>
      <c r="J5" s="592"/>
      <c r="K5" s="592"/>
      <c r="L5" s="592"/>
      <c r="M5" s="592"/>
      <c r="N5" s="592"/>
      <c r="O5" s="592"/>
      <c r="P5" s="592"/>
      <c r="Q5" s="637"/>
    </row>
    <row r="6" spans="1:17" ht="15.75" thickBot="1">
      <c r="A6" s="593" t="s">
        <v>2</v>
      </c>
      <c r="B6" s="594"/>
      <c r="C6" s="594"/>
      <c r="D6" s="594"/>
      <c r="E6" s="594"/>
      <c r="F6" s="594"/>
      <c r="G6" s="594"/>
      <c r="H6" s="594"/>
      <c r="I6" s="594"/>
      <c r="J6" s="594"/>
      <c r="K6" s="594"/>
      <c r="L6" s="594"/>
      <c r="M6" s="594"/>
      <c r="N6" s="594"/>
      <c r="O6" s="594"/>
      <c r="P6" s="594"/>
      <c r="Q6" s="681"/>
    </row>
    <row r="7" spans="1:17" ht="20.25" thickBot="1">
      <c r="A7" s="931" t="s">
        <v>46</v>
      </c>
      <c r="B7" s="932"/>
      <c r="C7" s="932"/>
      <c r="D7" s="932"/>
      <c r="E7" s="932"/>
      <c r="F7" s="933"/>
    </row>
    <row r="8" spans="1:17" ht="20.25" thickBot="1">
      <c r="A8" s="780" t="s">
        <v>37</v>
      </c>
      <c r="B8" s="781"/>
      <c r="C8" s="781"/>
      <c r="D8" s="781"/>
      <c r="E8" s="781"/>
      <c r="F8" s="782"/>
      <c r="I8" s="761" t="s">
        <v>83</v>
      </c>
      <c r="J8" s="762"/>
      <c r="K8" s="762"/>
      <c r="L8" s="762"/>
      <c r="M8" s="762"/>
      <c r="N8" s="763"/>
    </row>
    <row r="9" spans="1:17" ht="39" thickBot="1">
      <c r="A9" s="934" t="s">
        <v>84</v>
      </c>
      <c r="B9" s="935"/>
      <c r="C9" s="935"/>
      <c r="D9" s="935"/>
      <c r="E9" s="936"/>
      <c r="F9" s="234">
        <f>Proyecciones!J24</f>
        <v>2022</v>
      </c>
      <c r="I9" s="112" t="s">
        <v>47</v>
      </c>
      <c r="J9" s="226" t="s">
        <v>51</v>
      </c>
      <c r="K9" s="226" t="s">
        <v>38</v>
      </c>
      <c r="L9" s="226" t="s">
        <v>39</v>
      </c>
      <c r="M9" s="113" t="s">
        <v>40</v>
      </c>
      <c r="N9" s="114" t="s">
        <v>41</v>
      </c>
      <c r="O9" s="30"/>
    </row>
    <row r="10" spans="1:17" ht="18">
      <c r="A10" s="715" t="s">
        <v>48</v>
      </c>
      <c r="B10" s="715"/>
      <c r="C10" s="715"/>
      <c r="D10" s="715"/>
      <c r="E10" s="715"/>
      <c r="F10" s="32">
        <f>'Valoración Sin Estrategia'!F10</f>
        <v>2.5918688403144374E-2</v>
      </c>
      <c r="G10" s="768" t="s">
        <v>56</v>
      </c>
      <c r="H10" s="35"/>
      <c r="I10" s="109">
        <v>2012</v>
      </c>
      <c r="J10" s="348">
        <v>0.15890585241730293</v>
      </c>
      <c r="K10" s="348">
        <v>2.971571978018946E-2</v>
      </c>
      <c r="L10" s="348">
        <v>1.7410200000000001E-2</v>
      </c>
      <c r="M10" s="348">
        <v>2.4400000000000002E-2</v>
      </c>
      <c r="N10" s="348">
        <v>1.12E-2</v>
      </c>
      <c r="O10" s="31"/>
      <c r="P10" s="14"/>
    </row>
    <row r="11" spans="1:17">
      <c r="A11" s="776" t="s">
        <v>42</v>
      </c>
      <c r="B11" s="776"/>
      <c r="C11" s="776"/>
      <c r="D11" s="776"/>
      <c r="E11" s="776"/>
      <c r="F11" s="32">
        <f>'Valoración Sin Estrategia'!F11</f>
        <v>2.1469769999999999E-2</v>
      </c>
      <c r="G11" s="768"/>
      <c r="H11" s="35"/>
      <c r="I11" s="109">
        <v>2013</v>
      </c>
      <c r="J11" s="348">
        <v>0.32145085858125483</v>
      </c>
      <c r="K11" s="348">
        <v>-9.104568794347262E-2</v>
      </c>
      <c r="L11" s="348">
        <v>1.50174E-2</v>
      </c>
      <c r="M11" s="348">
        <v>1.9400000000000001E-2</v>
      </c>
      <c r="N11" s="348">
        <v>1.6299999999999999E-2</v>
      </c>
      <c r="O11" s="31"/>
    </row>
    <row r="12" spans="1:17">
      <c r="A12" s="715" t="s">
        <v>43</v>
      </c>
      <c r="B12" s="715"/>
      <c r="C12" s="715"/>
      <c r="D12" s="715"/>
      <c r="E12" s="715"/>
      <c r="F12" s="32">
        <f>'Valoración Sin Estrategia'!F12</f>
        <v>4.3554087784158924E-3</v>
      </c>
      <c r="G12" s="768"/>
      <c r="H12" s="35"/>
      <c r="I12" s="109">
        <v>2014</v>
      </c>
      <c r="J12" s="348">
        <v>0.13524421649462237</v>
      </c>
      <c r="K12" s="348">
        <v>0.10746180452004755</v>
      </c>
      <c r="L12" s="348">
        <v>7.5649000000000003E-3</v>
      </c>
      <c r="M12" s="348">
        <v>3.6600000000000001E-2</v>
      </c>
      <c r="N12" s="348">
        <v>1.9599999999999999E-2</v>
      </c>
      <c r="O12" s="31"/>
    </row>
    <row r="13" spans="1:17">
      <c r="G13" s="768"/>
      <c r="H13" s="35"/>
      <c r="I13" s="109">
        <v>2015</v>
      </c>
      <c r="J13" s="348">
        <v>1.3788916411676138E-2</v>
      </c>
      <c r="K13" s="348">
        <v>1.2842996709792224E-2</v>
      </c>
      <c r="L13" s="348">
        <v>7.2951999999999991E-3</v>
      </c>
      <c r="M13" s="348">
        <v>6.7699999999999996E-2</v>
      </c>
      <c r="N13" s="348">
        <v>3.1699999999999999E-2</v>
      </c>
      <c r="O13" s="31"/>
    </row>
    <row r="14" spans="1:17">
      <c r="A14" s="776" t="s">
        <v>44</v>
      </c>
      <c r="B14" s="776"/>
      <c r="C14" s="776"/>
      <c r="D14" s="776"/>
      <c r="E14" s="776"/>
      <c r="F14" s="32">
        <f>'Valoración Sin Estrategia'!F14</f>
        <v>3.884E-2</v>
      </c>
      <c r="G14" s="768"/>
      <c r="H14" s="35"/>
      <c r="I14" s="109">
        <v>2016</v>
      </c>
      <c r="J14" s="348">
        <v>0.11773080874798171</v>
      </c>
      <c r="K14" s="348">
        <v>6.9055046987477921E-3</v>
      </c>
      <c r="L14" s="348">
        <v>2.0746199999999999E-2</v>
      </c>
      <c r="M14" s="348">
        <v>5.7500000000000002E-2</v>
      </c>
      <c r="N14" s="348">
        <v>2.2499999999999999E-2</v>
      </c>
      <c r="O14" s="31"/>
    </row>
    <row r="15" spans="1:17">
      <c r="A15" s="715" t="s">
        <v>49</v>
      </c>
      <c r="B15" s="715"/>
      <c r="C15" s="715"/>
      <c r="D15" s="715"/>
      <c r="E15" s="715"/>
      <c r="F15" s="336">
        <f>'Valoración Sin Estrategia'!F15</f>
        <v>4.3364572855369543E-2</v>
      </c>
      <c r="G15" s="768"/>
      <c r="H15" s="35"/>
      <c r="I15" s="109">
        <v>2017</v>
      </c>
      <c r="J15" s="348">
        <v>0.2160548143449928</v>
      </c>
      <c r="K15" s="348">
        <v>2.8017162707789457E-2</v>
      </c>
      <c r="L15" s="348">
        <v>2.10908E-2</v>
      </c>
      <c r="M15" s="348">
        <v>4.0899999999999999E-2</v>
      </c>
      <c r="N15" s="348">
        <v>1.7299999999999999E-2</v>
      </c>
      <c r="O15" s="31"/>
    </row>
    <row r="16" spans="1:17">
      <c r="I16" s="109">
        <v>2018</v>
      </c>
      <c r="J16" s="348">
        <v>-4.2268692890885438E-2</v>
      </c>
      <c r="K16" s="348">
        <v>-1.6692385713402633E-4</v>
      </c>
      <c r="L16" s="348">
        <v>1.91016E-2</v>
      </c>
      <c r="M16" s="348">
        <v>3.1800000000000002E-2</v>
      </c>
      <c r="N16" s="348">
        <v>2.2800000000000001E-2</v>
      </c>
      <c r="O16" s="31"/>
    </row>
    <row r="17" spans="1:15">
      <c r="A17" s="774" t="s">
        <v>45</v>
      </c>
      <c r="B17" s="774"/>
      <c r="C17" s="774"/>
      <c r="D17" s="774"/>
      <c r="E17" s="774"/>
      <c r="F17" s="28">
        <f>'Valoración Sin Estrategia'!F17</f>
        <v>2.1389999999999999E-2</v>
      </c>
      <c r="G17" s="769" t="s">
        <v>57</v>
      </c>
      <c r="H17" s="35"/>
      <c r="I17" s="109">
        <v>2019</v>
      </c>
      <c r="J17" s="348">
        <v>0.3221</v>
      </c>
      <c r="K17" s="348">
        <v>9.6356307415483927E-2</v>
      </c>
      <c r="L17" s="348">
        <v>2.2851300000000001E-2</v>
      </c>
      <c r="M17" s="348">
        <v>3.7999999999999999E-2</v>
      </c>
      <c r="N17" s="348">
        <v>1.66E-2</v>
      </c>
      <c r="O17" s="31"/>
    </row>
    <row r="18" spans="1:15">
      <c r="A18" s="771"/>
      <c r="B18" s="772"/>
      <c r="C18" s="772"/>
      <c r="D18" s="772"/>
      <c r="E18" s="772"/>
      <c r="F18" s="773"/>
      <c r="G18" s="769"/>
      <c r="I18" s="109">
        <v>2020</v>
      </c>
      <c r="J18" s="348">
        <v>0.1802</v>
      </c>
      <c r="K18" s="348">
        <v>0.1133</v>
      </c>
      <c r="L18" s="348">
        <v>1.36201E-2</v>
      </c>
      <c r="M18" s="348">
        <v>1.61E-2</v>
      </c>
      <c r="N18" s="348">
        <v>2.06E-2</v>
      </c>
      <c r="O18" s="31"/>
    </row>
    <row r="19" spans="1:15">
      <c r="I19" s="109">
        <v>2021</v>
      </c>
      <c r="J19" s="348">
        <v>0.28470000000000001</v>
      </c>
      <c r="K19" s="348">
        <v>-4.4200000000000003E-2</v>
      </c>
      <c r="L19" s="348">
        <v>7.0000000000000007E-2</v>
      </c>
      <c r="M19" s="348">
        <v>5.6000000000000001E-2</v>
      </c>
      <c r="N19" s="348">
        <v>3.5299999999999998E-2</v>
      </c>
      <c r="O19" s="31"/>
    </row>
    <row r="20" spans="1:15" ht="18">
      <c r="A20" s="765" t="s">
        <v>53</v>
      </c>
      <c r="B20" s="765"/>
      <c r="C20" s="765"/>
      <c r="D20" s="765"/>
      <c r="E20" s="765"/>
      <c r="F20" s="32">
        <f>'Valoración Sin Estrategia'!F20</f>
        <v>0.17079067741069451</v>
      </c>
      <c r="G20" s="770" t="s">
        <v>55</v>
      </c>
      <c r="H20" s="35"/>
      <c r="O20" s="31"/>
    </row>
    <row r="21" spans="1:15">
      <c r="A21" s="766" t="s">
        <v>42</v>
      </c>
      <c r="B21" s="766"/>
      <c r="C21" s="766"/>
      <c r="D21" s="766"/>
      <c r="E21" s="766"/>
      <c r="F21" s="32">
        <f>'Valoración Sin Estrategia'!F21</f>
        <v>2.1469769999999999E-2</v>
      </c>
      <c r="G21" s="770"/>
      <c r="H21" s="35"/>
    </row>
    <row r="22" spans="1:15">
      <c r="A22" s="767" t="s">
        <v>54</v>
      </c>
      <c r="B22" s="767"/>
      <c r="C22" s="767"/>
      <c r="D22" s="767"/>
      <c r="E22" s="767"/>
      <c r="F22" s="32">
        <f>'Valoración Sin Estrategia'!F22</f>
        <v>0.14618240480155809</v>
      </c>
      <c r="G22" s="770"/>
      <c r="H22" s="35"/>
    </row>
    <row r="23" spans="1:15">
      <c r="G23" s="770"/>
      <c r="H23" s="35"/>
    </row>
    <row r="24" spans="1:15">
      <c r="A24" s="766" t="s">
        <v>44</v>
      </c>
      <c r="B24" s="766"/>
      <c r="C24" s="766"/>
      <c r="D24" s="766"/>
      <c r="E24" s="766"/>
      <c r="F24" s="32">
        <f>'Valoración Sin Estrategia'!F24</f>
        <v>3.884E-2</v>
      </c>
      <c r="G24" s="770"/>
      <c r="H24" s="35"/>
    </row>
    <row r="25" spans="1:15">
      <c r="A25" s="767" t="s">
        <v>52</v>
      </c>
      <c r="B25" s="767"/>
      <c r="C25" s="767"/>
      <c r="D25" s="767"/>
      <c r="E25" s="767"/>
      <c r="F25" s="336">
        <f>'Valoración Sin Estrategia'!F25</f>
        <v>0.19070012940405068</v>
      </c>
      <c r="G25" s="770"/>
      <c r="H25" s="35"/>
    </row>
    <row r="27" spans="1:15" ht="18">
      <c r="A27" s="764" t="s">
        <v>50</v>
      </c>
      <c r="B27" s="764"/>
      <c r="C27" s="764"/>
      <c r="D27" s="764"/>
      <c r="E27" s="764"/>
      <c r="F27" s="29">
        <f>'Valoración Sin Estrategia'!F27</f>
        <v>0.14733555654868113</v>
      </c>
      <c r="H27" s="35"/>
    </row>
    <row r="30" spans="1:15">
      <c r="A30" s="581" t="s">
        <v>58</v>
      </c>
      <c r="B30" s="581"/>
      <c r="C30" s="581"/>
      <c r="D30" s="581"/>
      <c r="E30" s="581"/>
      <c r="F30" s="433">
        <f>+'Industry Averages'!F66</f>
        <v>0.64548215825934985</v>
      </c>
      <c r="G30" s="349" t="s">
        <v>67</v>
      </c>
    </row>
    <row r="31" spans="1:15" ht="15.75" thickBot="1"/>
    <row r="32" spans="1:15">
      <c r="F32" s="108">
        <f>'Proyecciones + Estrategia'!K66</f>
        <v>2023</v>
      </c>
      <c r="G32" s="108">
        <f>'Proyecciones + Estrategia'!L66</f>
        <v>2024</v>
      </c>
      <c r="H32" s="108">
        <f>'Proyecciones + Estrategia'!M66</f>
        <v>2025</v>
      </c>
      <c r="I32" s="108">
        <f>'Proyecciones + Estrategia'!N66</f>
        <v>2026</v>
      </c>
      <c r="J32" s="108">
        <f>'Proyecciones + Estrategia'!O66</f>
        <v>2027</v>
      </c>
    </row>
    <row r="33" spans="1:17" hidden="1">
      <c r="A33" s="917" t="s">
        <v>60</v>
      </c>
      <c r="B33" s="917"/>
      <c r="C33" s="917"/>
      <c r="D33" s="917"/>
      <c r="E33" s="917"/>
      <c r="F33" s="8">
        <f>'Valoración Sin Estrategia'!F33</f>
        <v>200555.511</v>
      </c>
      <c r="G33" s="8">
        <f>'Proyecciones + Estrategia'!K51+'Proyecciones + Estrategia'!K55</f>
        <v>207398.46503531997</v>
      </c>
      <c r="H33" s="8">
        <f>'Proyecciones + Estrategia'!L51+'Proyecciones + Estrategia'!L55</f>
        <v>214902.14150029788</v>
      </c>
      <c r="I33" s="8">
        <f>'Proyecciones + Estrategia'!M51+'Proyecciones + Estrategia'!M55</f>
        <v>223119.99939126929</v>
      </c>
      <c r="J33" s="8">
        <f>'Proyecciones + Estrategia'!N51+'Proyecciones + Estrategia'!N55</f>
        <v>231422.29456861841</v>
      </c>
    </row>
    <row r="34" spans="1:17" hidden="1">
      <c r="A34" s="917" t="s">
        <v>59</v>
      </c>
      <c r="B34" s="917"/>
      <c r="C34" s="917"/>
      <c r="D34" s="917"/>
      <c r="E34" s="917"/>
      <c r="F34" s="8">
        <f>'Valoración Sin Estrategia'!F34</f>
        <v>475630.01199999993</v>
      </c>
      <c r="G34" s="8">
        <f>'Proyecciones + Estrategia'!K60</f>
        <v>489532.89646530221</v>
      </c>
      <c r="H34" s="8">
        <f>'Proyecciones + Estrategia'!L60</f>
        <v>529118.30311252794</v>
      </c>
      <c r="I34" s="8">
        <f>'Proyecciones + Estrategia'!M60</f>
        <v>571258.35606650042</v>
      </c>
      <c r="J34" s="8">
        <f>'Proyecciones + Estrategia'!N60</f>
        <v>614500.84370094258</v>
      </c>
    </row>
    <row r="35" spans="1:17" hidden="1">
      <c r="A35" s="917" t="s">
        <v>61</v>
      </c>
      <c r="B35" s="917"/>
      <c r="C35" s="917"/>
      <c r="D35" s="917"/>
      <c r="E35" s="917"/>
      <c r="F35" s="36">
        <f>$F$30*(1+(1-('Proyecciones + Estrategia'!K80/'Proyecciones + Estrategia'!K79))*('Valoración + Estrategia'!F33/'Valoración + Estrategia'!F34))</f>
        <v>0.62604376979717324</v>
      </c>
      <c r="G35" s="36">
        <f>$F$30*(1+(1-('Proyecciones + Estrategia'!L80/'Proyecciones + Estrategia'!L79))*('Valoración + Estrategia'!G33/'Valoración + Estrategia'!G34))</f>
        <v>0.74831801953746868</v>
      </c>
      <c r="H35" s="36">
        <f>$F$30*(1+(1-('Proyecciones + Estrategia'!M80/'Proyecciones + Estrategia'!M79))*('Valoración + Estrategia'!H33/'Valoración + Estrategia'!H34))</f>
        <v>0.742249145692641</v>
      </c>
      <c r="I35" s="36">
        <f>$F$30*(1+(1-('Proyecciones + Estrategia'!N80/'Proyecciones + Estrategia'!N79))*('Valoración + Estrategia'!I33/'Valoración + Estrategia'!I34))</f>
        <v>0.73693136944277549</v>
      </c>
      <c r="J35" s="36">
        <f>$F$30*(1+(1-('Proyecciones + Estrategia'!O80/'Proyecciones + Estrategia'!O79))*('Valoración + Estrategia'!J33/'Valoración + Estrategia'!J34))</f>
        <v>0.73218261917975869</v>
      </c>
    </row>
    <row r="36" spans="1:17" hidden="1"/>
    <row r="37" spans="1:17" ht="18" hidden="1">
      <c r="A37" s="924" t="s">
        <v>62</v>
      </c>
      <c r="B37" s="924"/>
      <c r="C37" s="924"/>
      <c r="D37" s="924"/>
      <c r="E37" s="924"/>
      <c r="F37" s="11">
        <f>$F$15+($F$25-$F$15)*F35+$F$17</f>
        <v>0.15699308010227045</v>
      </c>
      <c r="G37" s="11">
        <f t="shared" ref="G37:J37" si="0">$F$15+($F$25-$F$15)*G35+$F$17</f>
        <v>0.17500842473932934</v>
      </c>
      <c r="H37" s="11">
        <f t="shared" si="0"/>
        <v>0.1741142638337779</v>
      </c>
      <c r="I37" s="11">
        <f t="shared" si="0"/>
        <v>0.17333076631040262</v>
      </c>
      <c r="J37" s="11">
        <f t="shared" si="0"/>
        <v>0.17263110654749034</v>
      </c>
    </row>
    <row r="38" spans="1:17" hidden="1"/>
    <row r="39" spans="1:17" hidden="1"/>
    <row r="40" spans="1:17" hidden="1">
      <c r="A40" s="925" t="s">
        <v>64</v>
      </c>
      <c r="B40" s="926"/>
      <c r="C40" s="926"/>
      <c r="D40" s="926"/>
      <c r="E40" s="927"/>
      <c r="F40" s="10">
        <f>'Valoración Sin Estrategia'!F40</f>
        <v>0.29659835086413117</v>
      </c>
      <c r="G40" s="10">
        <f>'Valoración Sin Estrategia'!G40</f>
        <v>0.29659835086413117</v>
      </c>
      <c r="H40" s="10">
        <f>'Valoración Sin Estrategia'!H40</f>
        <v>0.29659835086413111</v>
      </c>
      <c r="I40" s="10">
        <f>'Valoración Sin Estrategia'!I40</f>
        <v>0.29659835086413117</v>
      </c>
      <c r="J40" s="10">
        <f>'Valoración Sin Estrategia'!J40</f>
        <v>0.29659835086413117</v>
      </c>
    </row>
    <row r="41" spans="1:17" hidden="1">
      <c r="A41" s="925" t="s">
        <v>63</v>
      </c>
      <c r="B41" s="926"/>
      <c r="C41" s="926"/>
      <c r="D41" s="926"/>
      <c r="E41" s="927"/>
      <c r="F41" s="10">
        <f>'Valoración Sin Estrategia'!F41</f>
        <v>0.70340164913586889</v>
      </c>
      <c r="G41" s="10">
        <f>'Valoración Sin Estrategia'!G41</f>
        <v>0.70340164913586889</v>
      </c>
      <c r="H41" s="10">
        <f>'Valoración Sin Estrategia'!H41</f>
        <v>0.70340164913586889</v>
      </c>
      <c r="I41" s="10">
        <f>'Valoración Sin Estrategia'!I41</f>
        <v>0.70340164913586889</v>
      </c>
      <c r="J41" s="10">
        <f>'Valoración Sin Estrategia'!J41</f>
        <v>0.70340164913586889</v>
      </c>
    </row>
    <row r="42" spans="1:17" hidden="1">
      <c r="A42" s="928" t="s">
        <v>66</v>
      </c>
      <c r="B42" s="929"/>
      <c r="C42" s="929"/>
      <c r="D42" s="929"/>
      <c r="E42" s="930"/>
      <c r="F42" s="15">
        <f>SUM(F40:F41)</f>
        <v>1</v>
      </c>
      <c r="G42" s="15">
        <f t="shared" ref="G42:J42" si="1">SUM(G40:G41)</f>
        <v>1</v>
      </c>
      <c r="H42" s="15">
        <f t="shared" si="1"/>
        <v>1</v>
      </c>
      <c r="I42" s="15">
        <f t="shared" si="1"/>
        <v>1</v>
      </c>
      <c r="J42" s="15">
        <f t="shared" si="1"/>
        <v>1</v>
      </c>
    </row>
    <row r="43" spans="1:17" hidden="1"/>
    <row r="44" spans="1:17" hidden="1">
      <c r="A44" s="917" t="s">
        <v>65</v>
      </c>
      <c r="B44" s="917"/>
      <c r="C44" s="917"/>
      <c r="D44" s="917"/>
      <c r="E44" s="917"/>
      <c r="F44" s="11">
        <f>Proyecciones!X16*(1-('Proyecciones + Estrategia'!K80/'Proyecciones + Estrategia'!K79))</f>
        <v>-1.141267472964635E-2</v>
      </c>
      <c r="G44" s="11">
        <f>Proyecciones!Y16*(1-('Proyecciones + Estrategia'!L80/'Proyecciones + Estrategia'!L79))</f>
        <v>5.3845652693804071E-2</v>
      </c>
      <c r="H44" s="11">
        <f>Proyecciones!Z16*(1-('Proyecciones + Estrategia'!M80/'Proyecciones + Estrategia'!M79))</f>
        <v>4.1499674300689501E-2</v>
      </c>
      <c r="I44" s="11">
        <f>Proyecciones!AA16*(1-('Proyecciones + Estrategia'!N80/'Proyecciones + Estrategia'!N79))</f>
        <v>2.7766307574214093E-2</v>
      </c>
      <c r="J44" s="11">
        <f>Proyecciones!AB16*(1-('Proyecciones + Estrategia'!O80/'Proyecciones + Estrategia'!O79))</f>
        <v>2.5472879387801062E-2</v>
      </c>
    </row>
    <row r="45" spans="1:17" hidden="1">
      <c r="I45" s="70"/>
      <c r="J45" s="70"/>
      <c r="K45" s="70"/>
    </row>
    <row r="46" spans="1:17" ht="15.75" hidden="1" thickBot="1">
      <c r="A46" s="917" t="s">
        <v>68</v>
      </c>
      <c r="B46" s="917"/>
      <c r="C46" s="917"/>
      <c r="D46" s="917"/>
      <c r="E46" s="917"/>
      <c r="F46" s="339">
        <f>F40*F44</f>
        <v>-3.3849805037618514E-3</v>
      </c>
      <c r="G46" s="339">
        <f t="shared" ref="G46:J46" si="2">G40*G44</f>
        <v>1.5970531790185049E-2</v>
      </c>
      <c r="H46" s="339">
        <f t="shared" si="2"/>
        <v>1.230873495898307E-2</v>
      </c>
      <c r="I46" s="339">
        <f t="shared" si="2"/>
        <v>8.2354410360981345E-3</v>
      </c>
      <c r="J46" s="339">
        <f t="shared" si="2"/>
        <v>7.5552140181827142E-3</v>
      </c>
    </row>
    <row r="47" spans="1:17" ht="16.5" hidden="1" thickBot="1">
      <c r="A47" s="917" t="s">
        <v>69</v>
      </c>
      <c r="B47" s="917"/>
      <c r="C47" s="917"/>
      <c r="D47" s="917"/>
      <c r="E47" s="917"/>
      <c r="F47" s="339">
        <f>F41*F37</f>
        <v>0.1104291914468566</v>
      </c>
      <c r="G47" s="339">
        <f t="shared" ref="G47:J47" si="3">G41*G37</f>
        <v>0.12310121457431486</v>
      </c>
      <c r="H47" s="339">
        <f t="shared" si="3"/>
        <v>0.12247226031875715</v>
      </c>
      <c r="I47" s="339">
        <f t="shared" si="3"/>
        <v>0.1219211468687211</v>
      </c>
      <c r="J47" s="339">
        <f t="shared" si="3"/>
        <v>0.12142900503765459</v>
      </c>
      <c r="N47" s="786" t="s">
        <v>92</v>
      </c>
      <c r="O47" s="787"/>
      <c r="P47" s="787"/>
      <c r="Q47" s="788"/>
    </row>
    <row r="48" spans="1:17">
      <c r="A48" s="920" t="s">
        <v>70</v>
      </c>
      <c r="B48" s="921"/>
      <c r="C48" s="921"/>
      <c r="D48" s="922"/>
      <c r="E48" s="923"/>
      <c r="F48" s="340">
        <f>F46+F47</f>
        <v>0.10704421094309476</v>
      </c>
      <c r="G48" s="340">
        <f t="shared" ref="G48:J48" si="4">G46+G47</f>
        <v>0.1390717463644999</v>
      </c>
      <c r="H48" s="340">
        <f t="shared" si="4"/>
        <v>0.13478099527774021</v>
      </c>
      <c r="I48" s="340">
        <f t="shared" si="4"/>
        <v>0.13015658790481924</v>
      </c>
      <c r="J48" s="340">
        <f t="shared" si="4"/>
        <v>0.12898421905583732</v>
      </c>
    </row>
    <row r="49" spans="1:17">
      <c r="E49" s="47"/>
      <c r="F49" s="86"/>
      <c r="G49" s="86"/>
      <c r="H49" s="86"/>
      <c r="I49" s="86"/>
      <c r="J49" s="86"/>
      <c r="L49" s="14"/>
    </row>
    <row r="50" spans="1:17" ht="15.75" thickBot="1">
      <c r="A50" s="26"/>
      <c r="B50" s="26"/>
      <c r="C50" s="26"/>
      <c r="D50" s="592"/>
      <c r="E50" s="592"/>
      <c r="F50" s="47"/>
      <c r="G50" s="47"/>
      <c r="H50" s="47"/>
      <c r="I50" s="47"/>
      <c r="J50" s="47"/>
    </row>
    <row r="51" spans="1:17" ht="15" customHeight="1">
      <c r="A51" s="862" t="s">
        <v>82</v>
      </c>
      <c r="B51" s="863"/>
      <c r="C51" s="863"/>
      <c r="D51" s="918"/>
      <c r="E51" s="918"/>
      <c r="F51" s="918"/>
      <c r="G51" s="918"/>
      <c r="H51" s="918"/>
      <c r="I51" s="918"/>
      <c r="J51" s="919"/>
      <c r="K51" s="48"/>
      <c r="L51" s="48"/>
      <c r="M51" s="48"/>
      <c r="N51" s="48"/>
      <c r="O51" s="48"/>
      <c r="P51" s="48"/>
      <c r="Q51" s="48"/>
    </row>
    <row r="52" spans="1:17" ht="15.75" customHeight="1" thickBot="1">
      <c r="A52" s="865"/>
      <c r="B52" s="866"/>
      <c r="C52" s="866"/>
      <c r="D52" s="866"/>
      <c r="E52" s="866"/>
      <c r="F52" s="866"/>
      <c r="G52" s="866"/>
      <c r="H52" s="866"/>
      <c r="I52" s="866"/>
      <c r="J52" s="867"/>
      <c r="K52" s="48"/>
      <c r="L52" s="48"/>
      <c r="M52" s="48"/>
      <c r="N52" s="48"/>
      <c r="O52" s="48"/>
      <c r="P52" s="48"/>
      <c r="Q52" s="48"/>
    </row>
    <row r="53" spans="1:17" ht="15.75" thickBot="1"/>
    <row r="54" spans="1:17">
      <c r="A54" s="49"/>
      <c r="B54" s="723"/>
      <c r="C54" s="724"/>
      <c r="D54" s="724"/>
      <c r="E54" s="725"/>
      <c r="F54" s="513">
        <f>Proyecciones!K24</f>
        <v>2023</v>
      </c>
      <c r="G54" s="513">
        <f>Proyecciones!L24</f>
        <v>2024</v>
      </c>
      <c r="H54" s="513">
        <f>Proyecciones!M24</f>
        <v>2025</v>
      </c>
      <c r="I54" s="513">
        <f>Proyecciones!N24</f>
        <v>2026</v>
      </c>
      <c r="J54" s="513">
        <f>Proyecciones!O24</f>
        <v>2027</v>
      </c>
      <c r="K54" s="41"/>
    </row>
    <row r="55" spans="1:17">
      <c r="A55" s="50"/>
      <c r="B55" s="729" t="s">
        <v>71</v>
      </c>
      <c r="C55" s="730"/>
      <c r="D55" s="730"/>
      <c r="E55" s="731"/>
      <c r="F55" s="555">
        <f>'Proyecciones + Estrategia'!K81</f>
        <v>-2325.6115441377187</v>
      </c>
      <c r="G55" s="555">
        <f>'Proyecciones + Estrategia'!L81</f>
        <v>21874.106453110995</v>
      </c>
      <c r="H55" s="555">
        <f>'Proyecciones + Estrategia'!M81</f>
        <v>21906.569042949304</v>
      </c>
      <c r="I55" s="555">
        <f>'Proyecciones + Estrategia'!N81</f>
        <v>21985.964205207674</v>
      </c>
      <c r="J55" s="555">
        <f>'Proyecciones + Estrategia'!O81</f>
        <v>22088.589374237148</v>
      </c>
      <c r="K55" s="41"/>
    </row>
    <row r="56" spans="1:17">
      <c r="A56" s="51"/>
      <c r="B56" s="729" t="s">
        <v>72</v>
      </c>
      <c r="C56" s="730"/>
      <c r="D56" s="730"/>
      <c r="E56" s="731"/>
      <c r="F56" s="556">
        <f>'Proyecciones + Estrategia'!K80</f>
        <v>34888.769047245121</v>
      </c>
      <c r="G56" s="556">
        <f>'Proyecciones + Estrategia'!L80</f>
        <v>36295.165780147385</v>
      </c>
      <c r="H56" s="556">
        <f>'Proyecciones + Estrategia'!M80</f>
        <v>37443.242584822685</v>
      </c>
      <c r="I56" s="556">
        <f>'Proyecciones + Estrategia'!N80</f>
        <v>38625.633162077742</v>
      </c>
      <c r="J56" s="556">
        <f>'Proyecciones + Estrategia'!O80</f>
        <v>39843.185972617022</v>
      </c>
      <c r="K56" s="43"/>
    </row>
    <row r="57" spans="1:17" ht="15.75" thickBot="1">
      <c r="A57" s="51"/>
      <c r="B57" s="729" t="s">
        <v>73</v>
      </c>
      <c r="C57" s="730"/>
      <c r="D57" s="730"/>
      <c r="E57" s="731"/>
      <c r="F57" s="557">
        <f>'Proyecciones + Estrategia'!K77</f>
        <v>2803.3954244793267</v>
      </c>
      <c r="G57" s="557">
        <f>'Proyecciones + Estrategia'!L77</f>
        <v>2916.4027409794253</v>
      </c>
      <c r="H57" s="557">
        <f>'Proyecciones + Estrategia'!M77</f>
        <v>3008.6534379535487</v>
      </c>
      <c r="I57" s="557">
        <f>'Proyecciones + Estrategia'!N77</f>
        <v>3103.6613280208553</v>
      </c>
      <c r="J57" s="557">
        <f>'Proyecciones + Estrategia'!O77</f>
        <v>3201.4945870133297</v>
      </c>
      <c r="K57" s="43"/>
    </row>
    <row r="58" spans="1:17" ht="15.75" thickBot="1">
      <c r="A58" s="51"/>
      <c r="B58" s="747" t="s">
        <v>74</v>
      </c>
      <c r="C58" s="748"/>
      <c r="D58" s="748"/>
      <c r="E58" s="749"/>
      <c r="F58" s="558">
        <f>F55+F56+F57</f>
        <v>35366.55292758673</v>
      </c>
      <c r="G58" s="558">
        <f t="shared" ref="G58:J58" si="5">G55+G56+G57</f>
        <v>61085.674974237802</v>
      </c>
      <c r="H58" s="558">
        <f t="shared" si="5"/>
        <v>62358.465065725541</v>
      </c>
      <c r="I58" s="558">
        <f t="shared" si="5"/>
        <v>63715.258695306271</v>
      </c>
      <c r="J58" s="558">
        <f t="shared" si="5"/>
        <v>65133.269933867501</v>
      </c>
      <c r="K58" s="42"/>
    </row>
    <row r="59" spans="1:17" ht="16.5" thickBot="1">
      <c r="A59" s="51"/>
      <c r="B59" s="45"/>
      <c r="C59" s="39"/>
      <c r="D59" s="39"/>
      <c r="E59" s="39"/>
      <c r="F59" s="184"/>
      <c r="G59" s="184"/>
      <c r="H59" s="184"/>
      <c r="I59" s="184"/>
      <c r="J59" s="184"/>
      <c r="K59" s="39"/>
      <c r="N59" s="786" t="s">
        <v>90</v>
      </c>
      <c r="O59" s="787"/>
      <c r="P59" s="787"/>
      <c r="Q59" s="788"/>
    </row>
    <row r="60" spans="1:17" ht="23.25" customHeight="1" thickBot="1">
      <c r="A60" s="51"/>
      <c r="B60" s="726" t="s">
        <v>75</v>
      </c>
      <c r="C60" s="727"/>
      <c r="D60" s="727"/>
      <c r="E60" s="728"/>
      <c r="F60" s="557">
        <f>+'Proyecciones + Estrategia'!K123</f>
        <v>40059.85834591867</v>
      </c>
      <c r="G60" s="557">
        <f>+'Proyecciones + Estrategia'!L123</f>
        <v>39377.768151129436</v>
      </c>
      <c r="H60" s="557">
        <f>+'Proyecciones + Estrategia'!M123</f>
        <v>40618.927588631967</v>
      </c>
      <c r="I60" s="557">
        <f>+'Proyecciones + Estrategia'!N123</f>
        <v>41894.585397426228</v>
      </c>
      <c r="J60" s="557">
        <f>+'Proyecciones + Estrategia'!O123</f>
        <v>43206.885479380398</v>
      </c>
      <c r="K60" s="43"/>
    </row>
    <row r="61" spans="1:17">
      <c r="A61" s="51"/>
      <c r="B61" s="720" t="s">
        <v>76</v>
      </c>
      <c r="C61" s="721"/>
      <c r="D61" s="721"/>
      <c r="E61" s="722"/>
      <c r="F61" s="559">
        <f>+F58-F60</f>
        <v>-4693.30541833194</v>
      </c>
      <c r="G61" s="559">
        <f t="shared" ref="G61:I61" si="6">+G58-G60</f>
        <v>21707.906823108366</v>
      </c>
      <c r="H61" s="559">
        <f t="shared" si="6"/>
        <v>21739.537477093574</v>
      </c>
      <c r="I61" s="559">
        <f t="shared" si="6"/>
        <v>21820.673297880043</v>
      </c>
      <c r="J61" s="559">
        <f>+J58-J60</f>
        <v>21926.384454487103</v>
      </c>
      <c r="K61" s="42"/>
    </row>
    <row r="62" spans="1:17">
      <c r="A62" s="51"/>
      <c r="B62" s="45"/>
      <c r="C62" s="39"/>
      <c r="D62" s="39"/>
      <c r="E62" s="39"/>
      <c r="F62" s="184"/>
      <c r="G62" s="184"/>
      <c r="H62" s="184"/>
      <c r="I62" s="184"/>
      <c r="J62" s="184"/>
      <c r="K62" s="39"/>
    </row>
    <row r="63" spans="1:17" ht="18.75" customHeight="1">
      <c r="A63" s="51"/>
      <c r="B63" s="743" t="s">
        <v>77</v>
      </c>
      <c r="C63" s="744"/>
      <c r="D63" s="744"/>
      <c r="E63" s="745"/>
      <c r="F63" s="556">
        <f>+'Proyecciones + Estrategia'!J86</f>
        <v>28950.13</v>
      </c>
      <c r="G63" s="556">
        <f>+'Proyecciones + Estrategia'!K86</f>
        <v>17388.803599999999</v>
      </c>
      <c r="H63" s="556">
        <f>+'Proyecciones + Estrategia'!L86</f>
        <v>18433.403320000001</v>
      </c>
      <c r="I63" s="556">
        <f>+'Proyecciones + Estrategia'!M86</f>
        <v>19755.467784</v>
      </c>
      <c r="J63" s="556">
        <f>+'Proyecciones + Estrategia'!N86</f>
        <v>21118.102540799999</v>
      </c>
      <c r="K63" s="43"/>
      <c r="N63" s="48"/>
      <c r="O63" s="48"/>
      <c r="P63" s="48"/>
      <c r="Q63" s="48"/>
    </row>
    <row r="64" spans="1:17" ht="20.25" customHeight="1">
      <c r="A64" s="51"/>
      <c r="B64" s="729" t="s">
        <v>130</v>
      </c>
      <c r="C64" s="730"/>
      <c r="D64" s="730"/>
      <c r="E64" s="731"/>
      <c r="F64" s="556">
        <f>+'Proyecciones + Estrategia'!J87</f>
        <v>20222.842000000001</v>
      </c>
      <c r="G64" s="556">
        <f>+'Proyecciones + Estrategia'!K87</f>
        <v>8489.6296000000002</v>
      </c>
      <c r="H64" s="556">
        <f>+'Proyecciones + Estrategia'!L87</f>
        <v>6851.5603199999996</v>
      </c>
      <c r="I64" s="556">
        <f>+'Proyecciones + Estrategia'!M87</f>
        <v>8096.5849839999992</v>
      </c>
      <c r="J64" s="556">
        <f>+'Proyecciones + Estrategia'!N87</f>
        <v>9276.3279808000007</v>
      </c>
      <c r="K64" s="43"/>
      <c r="N64" s="48"/>
      <c r="O64" s="48"/>
      <c r="P64" s="48"/>
      <c r="Q64" s="48"/>
    </row>
    <row r="65" spans="1:11">
      <c r="A65" s="51"/>
      <c r="B65" s="729" t="s">
        <v>131</v>
      </c>
      <c r="C65" s="730"/>
      <c r="D65" s="730"/>
      <c r="E65" s="731"/>
      <c r="F65" s="556">
        <v>0</v>
      </c>
      <c r="G65" s="560">
        <v>0</v>
      </c>
      <c r="H65" s="560">
        <v>0</v>
      </c>
      <c r="I65" s="560">
        <v>0</v>
      </c>
      <c r="J65" s="560">
        <v>0</v>
      </c>
      <c r="K65" s="43"/>
    </row>
    <row r="66" spans="1:11">
      <c r="A66" s="52"/>
      <c r="B66" s="720" t="s">
        <v>78</v>
      </c>
      <c r="C66" s="721"/>
      <c r="D66" s="721"/>
      <c r="E66" s="722"/>
      <c r="F66" s="559">
        <f>+F61+F63+F64+F65</f>
        <v>44479.666581668062</v>
      </c>
      <c r="G66" s="559">
        <f t="shared" ref="G66:J66" si="7">+G61+G63+G64+G65</f>
        <v>47586.340023108365</v>
      </c>
      <c r="H66" s="559">
        <f t="shared" si="7"/>
        <v>47024.501117093569</v>
      </c>
      <c r="I66" s="559">
        <f t="shared" si="7"/>
        <v>49672.726065880044</v>
      </c>
      <c r="J66" s="559">
        <f t="shared" si="7"/>
        <v>52320.814976087102</v>
      </c>
      <c r="K66" s="42"/>
    </row>
    <row r="67" spans="1:11">
      <c r="A67" s="51"/>
      <c r="B67" s="45"/>
      <c r="C67" s="39"/>
      <c r="D67" s="39"/>
      <c r="E67" s="39"/>
      <c r="F67" s="184"/>
      <c r="G67" s="184"/>
      <c r="H67" s="184"/>
      <c r="I67" s="184"/>
      <c r="J67" s="184"/>
      <c r="K67" s="39"/>
    </row>
    <row r="68" spans="1:11">
      <c r="A68" s="126"/>
      <c r="B68" s="750" t="s">
        <v>79</v>
      </c>
      <c r="C68" s="744"/>
      <c r="D68" s="744"/>
      <c r="E68" s="745"/>
      <c r="F68" s="556">
        <f>+'Proyecciones + Estrategia'!K131</f>
        <v>1158.8346882399637</v>
      </c>
      <c r="G68" s="556">
        <f>+'Proyecciones + Estrategia'!L131</f>
        <v>1270.7261413804954</v>
      </c>
      <c r="H68" s="556">
        <f>+'Proyecciones + Estrategia'!M131</f>
        <v>1391.670722604671</v>
      </c>
      <c r="I68" s="556">
        <f>+'Proyecciones + Estrategia'!N131</f>
        <v>1405.9699354782933</v>
      </c>
      <c r="J68" s="556">
        <f>+'Proyecciones + Estrategia'!O131</f>
        <v>1377.5532275927835</v>
      </c>
      <c r="K68" s="43"/>
    </row>
    <row r="69" spans="1:11" ht="15.75" thickBot="1">
      <c r="A69" s="126"/>
      <c r="B69" s="746" t="s">
        <v>150</v>
      </c>
      <c r="C69" s="730"/>
      <c r="D69" s="730"/>
      <c r="E69" s="731"/>
      <c r="F69" s="556">
        <f>+'Proyecciones + Estrategia'!K132</f>
        <v>24797.248485839926</v>
      </c>
      <c r="G69" s="556">
        <f>+'Proyecciones + Estrategia'!L132</f>
        <v>31686.274948977749</v>
      </c>
      <c r="H69" s="556">
        <f>+'Proyecciones + Estrategia'!M132</f>
        <v>29540.90244782751</v>
      </c>
      <c r="I69" s="556">
        <f>+'Proyecciones + Estrategia'!N132</f>
        <v>29936.010392313241</v>
      </c>
      <c r="J69" s="556">
        <f>+'Proyecciones + Estrategia'!O132</f>
        <v>29519.188827364822</v>
      </c>
      <c r="K69" s="43"/>
    </row>
    <row r="70" spans="1:11" ht="15.75" thickBot="1">
      <c r="A70" s="127"/>
      <c r="B70" s="735" t="s">
        <v>80</v>
      </c>
      <c r="C70" s="721"/>
      <c r="D70" s="721"/>
      <c r="E70" s="722"/>
      <c r="F70" s="561">
        <f>+F68+F69</f>
        <v>25956.083174079889</v>
      </c>
      <c r="G70" s="561">
        <f t="shared" ref="G70:J70" si="8">+G68+G69</f>
        <v>32957.001090358244</v>
      </c>
      <c r="H70" s="561">
        <f t="shared" si="8"/>
        <v>30932.573170432181</v>
      </c>
      <c r="I70" s="561">
        <f t="shared" si="8"/>
        <v>31341.980327791534</v>
      </c>
      <c r="J70" s="561">
        <f t="shared" si="8"/>
        <v>30896.742054957605</v>
      </c>
      <c r="K70" s="42"/>
    </row>
    <row r="71" spans="1:11" ht="13.5" customHeight="1">
      <c r="A71" s="53"/>
      <c r="B71" s="46"/>
      <c r="C71" s="40"/>
      <c r="D71" s="40"/>
      <c r="E71" s="40"/>
      <c r="F71" s="184"/>
      <c r="G71" s="184"/>
      <c r="H71" s="184"/>
      <c r="I71" s="184"/>
      <c r="J71" s="184"/>
      <c r="K71" s="40"/>
    </row>
    <row r="72" spans="1:11" ht="18.75" thickBot="1">
      <c r="A72" s="54"/>
      <c r="B72" s="736" t="s">
        <v>81</v>
      </c>
      <c r="C72" s="737"/>
      <c r="D72" s="737"/>
      <c r="E72" s="738"/>
      <c r="F72" s="559">
        <f>+F66+F70</f>
        <v>70435.749755747951</v>
      </c>
      <c r="G72" s="559">
        <f t="shared" ref="G72:J72" si="9">+G66+G70</f>
        <v>80543.341113466609</v>
      </c>
      <c r="H72" s="559">
        <f t="shared" si="9"/>
        <v>77957.074287525757</v>
      </c>
      <c r="I72" s="559">
        <f t="shared" si="9"/>
        <v>81014.706393671571</v>
      </c>
      <c r="J72" s="559">
        <f t="shared" si="9"/>
        <v>83217.557031044707</v>
      </c>
      <c r="K72" s="44"/>
    </row>
    <row r="73" spans="1:11">
      <c r="A73" s="70"/>
    </row>
    <row r="74" spans="1:11">
      <c r="A74" s="789"/>
      <c r="B74" s="789"/>
      <c r="C74" s="789"/>
      <c r="D74" s="789"/>
      <c r="E74" s="44"/>
      <c r="F74" s="44"/>
      <c r="G74" s="44"/>
      <c r="H74" s="44"/>
      <c r="I74" s="44"/>
      <c r="J74" s="44"/>
    </row>
    <row r="75" spans="1:11" ht="15" customHeight="1" thickBot="1"/>
    <row r="76" spans="1:11" ht="15.75" customHeight="1">
      <c r="A76" s="862" t="s">
        <v>85</v>
      </c>
      <c r="B76" s="863"/>
      <c r="C76" s="863"/>
      <c r="D76" s="863"/>
      <c r="E76" s="863"/>
      <c r="F76" s="863"/>
      <c r="G76" s="863"/>
      <c r="H76" s="863"/>
      <c r="I76" s="863"/>
      <c r="J76" s="864"/>
    </row>
    <row r="77" spans="1:11" ht="15.75" thickBot="1">
      <c r="A77" s="865"/>
      <c r="B77" s="866"/>
      <c r="C77" s="866"/>
      <c r="D77" s="866"/>
      <c r="E77" s="866"/>
      <c r="F77" s="866"/>
      <c r="G77" s="866"/>
      <c r="H77" s="866"/>
      <c r="I77" s="866"/>
      <c r="J77" s="867"/>
    </row>
    <row r="79" spans="1:11">
      <c r="J79" s="233">
        <f>J54</f>
        <v>2027</v>
      </c>
    </row>
    <row r="80" spans="1:11">
      <c r="E80" s="56" t="s">
        <v>89</v>
      </c>
      <c r="F80" s="799" t="s">
        <v>86</v>
      </c>
      <c r="G80" s="800"/>
      <c r="H80" s="800"/>
      <c r="I80" s="800"/>
      <c r="J80" s="192">
        <f>+J72</f>
        <v>83217.557031044707</v>
      </c>
    </row>
    <row r="81" spans="1:12">
      <c r="E81" s="56" t="s">
        <v>94</v>
      </c>
      <c r="F81" s="799" t="s">
        <v>87</v>
      </c>
      <c r="G81" s="800"/>
      <c r="H81" s="800"/>
      <c r="I81" s="800"/>
      <c r="J81" s="193">
        <f>+J48</f>
        <v>0.12898421905583732</v>
      </c>
    </row>
    <row r="82" spans="1:12" ht="15.75" thickBot="1">
      <c r="E82" s="57" t="s">
        <v>88</v>
      </c>
      <c r="F82" s="58" t="s">
        <v>95</v>
      </c>
      <c r="G82" s="59"/>
      <c r="H82" s="201">
        <f>+Proyecciones!O26</f>
        <v>3.5000000000000003E-2</v>
      </c>
      <c r="I82" s="202">
        <f>+Proyecciones!O25</f>
        <v>4.4999999999999998E-2</v>
      </c>
      <c r="J82" s="194">
        <f>+(1+H82)*(1+I82)-1</f>
        <v>8.1574999999999953E-2</v>
      </c>
    </row>
    <row r="83" spans="1:12" ht="15.75" thickBot="1">
      <c r="A83" s="783" t="s">
        <v>267</v>
      </c>
      <c r="B83" s="784"/>
      <c r="C83" s="785"/>
    </row>
    <row r="84" spans="1:12" ht="20.25" thickBot="1">
      <c r="A84" s="813" t="str">
        <f>'Valoración Sin Estrategia'!L101</f>
        <v>Crecimiento Constante</v>
      </c>
      <c r="B84" s="814"/>
      <c r="C84" s="815"/>
      <c r="E84" s="60" t="s">
        <v>96</v>
      </c>
      <c r="F84" s="904" t="s">
        <v>90</v>
      </c>
      <c r="G84" s="905"/>
      <c r="H84" s="905"/>
      <c r="I84" s="906"/>
      <c r="J84" s="55"/>
    </row>
    <row r="85" spans="1:12">
      <c r="F85" s="809" t="s">
        <v>91</v>
      </c>
      <c r="G85" s="809"/>
      <c r="H85" s="809"/>
      <c r="I85" s="809"/>
      <c r="J85" s="195">
        <f>+J80</f>
        <v>83217.557031044707</v>
      </c>
      <c r="K85" s="793" t="s">
        <v>99</v>
      </c>
      <c r="L85" s="794"/>
    </row>
    <row r="86" spans="1:12">
      <c r="F86" s="810" t="s">
        <v>93</v>
      </c>
      <c r="G86" s="811"/>
      <c r="H86" s="811"/>
      <c r="I86" s="812"/>
      <c r="J86" s="253">
        <f>+J81</f>
        <v>0.12898421905583732</v>
      </c>
      <c r="K86" s="795"/>
      <c r="L86" s="796"/>
    </row>
    <row r="87" spans="1:12" ht="15.75" thickBot="1">
      <c r="F87" s="808" t="s">
        <v>239</v>
      </c>
      <c r="G87" s="808"/>
      <c r="H87" s="808"/>
      <c r="I87" s="808"/>
      <c r="J87" s="197">
        <f>+J85/J86</f>
        <v>645176.26761006936</v>
      </c>
      <c r="K87" s="797"/>
      <c r="L87" s="798"/>
    </row>
    <row r="88" spans="1:12" ht="15.75" thickBot="1"/>
    <row r="89" spans="1:12" ht="20.25" thickBot="1">
      <c r="E89" s="61" t="s">
        <v>97</v>
      </c>
      <c r="F89" s="732" t="s">
        <v>92</v>
      </c>
      <c r="G89" s="733"/>
      <c r="H89" s="733"/>
      <c r="I89" s="734"/>
      <c r="J89" s="55"/>
    </row>
    <row r="90" spans="1:12" ht="15" customHeight="1">
      <c r="E90" s="55"/>
      <c r="F90" s="754" t="s">
        <v>91</v>
      </c>
      <c r="G90" s="755"/>
      <c r="H90" s="755"/>
      <c r="I90" s="756"/>
      <c r="J90" s="198">
        <f>+J80</f>
        <v>83217.557031044707</v>
      </c>
      <c r="K90" s="801" t="s">
        <v>100</v>
      </c>
      <c r="L90" s="802"/>
    </row>
    <row r="91" spans="1:12" ht="15" customHeight="1">
      <c r="E91" s="55"/>
      <c r="F91" s="757" t="s">
        <v>93</v>
      </c>
      <c r="G91" s="758"/>
      <c r="H91" s="758"/>
      <c r="I91" s="759"/>
      <c r="J91" s="199">
        <f>+J81</f>
        <v>0.12898421905583732</v>
      </c>
      <c r="K91" s="803"/>
      <c r="L91" s="804"/>
    </row>
    <row r="92" spans="1:12" ht="15.75" customHeight="1">
      <c r="E92" s="55"/>
      <c r="F92" s="757" t="s">
        <v>98</v>
      </c>
      <c r="G92" s="758"/>
      <c r="H92" s="758"/>
      <c r="I92" s="759"/>
      <c r="J92" s="199">
        <f>+J82</f>
        <v>8.1574999999999953E-2</v>
      </c>
      <c r="K92" s="803"/>
      <c r="L92" s="804"/>
    </row>
    <row r="93" spans="1:12" ht="15.75" thickBot="1">
      <c r="F93" s="710" t="s">
        <v>148</v>
      </c>
      <c r="G93" s="710"/>
      <c r="H93" s="710"/>
      <c r="I93" s="710"/>
      <c r="J93" s="200">
        <f>+J90*(1+J92)/(J91-J92)</f>
        <v>1898492.1295549157</v>
      </c>
      <c r="K93" s="805"/>
      <c r="L93" s="806"/>
    </row>
    <row r="95" spans="1:12" ht="15.75" thickBot="1"/>
    <row r="96" spans="1:12">
      <c r="A96" s="907" t="s">
        <v>108</v>
      </c>
      <c r="B96" s="907"/>
      <c r="C96" s="907"/>
      <c r="D96" s="907"/>
      <c r="E96" s="907"/>
      <c r="F96" s="231">
        <f>F54</f>
        <v>2023</v>
      </c>
      <c r="G96" s="231">
        <f>G54</f>
        <v>2024</v>
      </c>
      <c r="H96" s="231">
        <f>H54</f>
        <v>2025</v>
      </c>
      <c r="I96" s="231">
        <f>I54</f>
        <v>2026</v>
      </c>
      <c r="J96" s="232">
        <f>J54</f>
        <v>2027</v>
      </c>
      <c r="K96" s="908" t="s">
        <v>142</v>
      </c>
    </row>
    <row r="97" spans="1:12">
      <c r="A97" s="911" t="s">
        <v>101</v>
      </c>
      <c r="B97" s="911"/>
      <c r="C97" s="911"/>
      <c r="D97" s="911"/>
      <c r="E97" s="911"/>
      <c r="F97" s="16">
        <f>+F48</f>
        <v>0.10704421094309476</v>
      </c>
      <c r="G97" s="16">
        <f t="shared" ref="G97:J97" si="10">+G48</f>
        <v>0.1390717463644999</v>
      </c>
      <c r="H97" s="16">
        <f t="shared" si="10"/>
        <v>0.13478099527774021</v>
      </c>
      <c r="I97" s="16">
        <f t="shared" si="10"/>
        <v>0.13015658790481924</v>
      </c>
      <c r="J97" s="16">
        <f t="shared" si="10"/>
        <v>0.12898421905583732</v>
      </c>
      <c r="K97" s="909"/>
    </row>
    <row r="98" spans="1:12">
      <c r="A98" s="912" t="s">
        <v>102</v>
      </c>
      <c r="B98" s="912"/>
      <c r="C98" s="912"/>
      <c r="D98" s="912"/>
      <c r="E98" s="912"/>
      <c r="F98" s="138">
        <f>+F97</f>
        <v>0.10704421094309476</v>
      </c>
      <c r="G98" s="138">
        <f t="shared" ref="G98:J98" si="11">+G97</f>
        <v>0.1390717463644999</v>
      </c>
      <c r="H98" s="138">
        <f t="shared" si="11"/>
        <v>0.13478099527774021</v>
      </c>
      <c r="I98" s="138">
        <f t="shared" si="11"/>
        <v>0.13015658790481924</v>
      </c>
      <c r="J98" s="138">
        <f t="shared" si="11"/>
        <v>0.12898421905583732</v>
      </c>
      <c r="K98" s="909"/>
    </row>
    <row r="99" spans="1:12">
      <c r="A99" s="133"/>
      <c r="B99" s="137"/>
      <c r="C99" s="137"/>
      <c r="D99" s="137"/>
      <c r="E99" s="137"/>
      <c r="F99" s="137"/>
      <c r="G99" s="137"/>
      <c r="H99" s="137"/>
      <c r="I99" s="137"/>
      <c r="J99" s="137"/>
      <c r="K99" s="909"/>
    </row>
    <row r="100" spans="1:12" ht="15.75" thickBot="1">
      <c r="A100" s="913" t="s">
        <v>103</v>
      </c>
      <c r="B100" s="913"/>
      <c r="C100" s="913"/>
      <c r="D100" s="913"/>
      <c r="E100" s="913"/>
      <c r="F100" s="139">
        <f>+F72</f>
        <v>70435.749755747951</v>
      </c>
      <c r="G100" s="139">
        <f t="shared" ref="G100:J100" si="12">+G72</f>
        <v>80543.341113466609</v>
      </c>
      <c r="H100" s="139">
        <f t="shared" si="12"/>
        <v>77957.074287525757</v>
      </c>
      <c r="I100" s="139">
        <f t="shared" si="12"/>
        <v>81014.706393671571</v>
      </c>
      <c r="J100" s="139">
        <f t="shared" si="12"/>
        <v>83217.557031044707</v>
      </c>
      <c r="K100" s="909"/>
    </row>
    <row r="101" spans="1:12" ht="15.75" thickBot="1">
      <c r="A101" s="912" t="s">
        <v>104</v>
      </c>
      <c r="B101" s="912"/>
      <c r="C101" s="912"/>
      <c r="D101" s="912"/>
      <c r="E101" s="912"/>
      <c r="F101" s="128"/>
      <c r="G101" s="129"/>
      <c r="H101" s="129"/>
      <c r="I101" s="130"/>
      <c r="J101" s="134">
        <f>+IF(A84="ANUALIDAD PERPETUA",J87,J93)</f>
        <v>1898492.1295549157</v>
      </c>
      <c r="K101" s="909"/>
      <c r="L101" s="286" t="str">
        <f>'Valoración Sin Estrategia'!L101</f>
        <v>Crecimiento Constante</v>
      </c>
    </row>
    <row r="102" spans="1:12">
      <c r="A102" s="133"/>
      <c r="B102" s="137"/>
      <c r="C102" s="137"/>
      <c r="D102" s="137"/>
      <c r="E102" s="137"/>
      <c r="F102" s="137"/>
      <c r="G102" s="137"/>
      <c r="H102" s="137"/>
      <c r="I102" s="137"/>
      <c r="J102" s="137"/>
      <c r="K102" s="909"/>
    </row>
    <row r="103" spans="1:12">
      <c r="A103" s="913" t="s">
        <v>105</v>
      </c>
      <c r="B103" s="913"/>
      <c r="C103" s="913"/>
      <c r="D103" s="913"/>
      <c r="E103" s="913"/>
      <c r="F103" s="135">
        <f>+F100/(1+F98)</f>
        <v>63625.055855487015</v>
      </c>
      <c r="G103" s="135">
        <f t="shared" ref="G103:J103" si="13">+G100/(1+G98)</f>
        <v>70709.629459717064</v>
      </c>
      <c r="H103" s="135">
        <f t="shared" si="13"/>
        <v>68697.902601413938</v>
      </c>
      <c r="I103" s="135">
        <f t="shared" si="13"/>
        <v>71684.496874776931</v>
      </c>
      <c r="J103" s="135">
        <f t="shared" si="13"/>
        <v>73710.11536426883</v>
      </c>
      <c r="K103" s="909"/>
    </row>
    <row r="104" spans="1:12">
      <c r="A104" s="912" t="s">
        <v>104</v>
      </c>
      <c r="B104" s="912"/>
      <c r="C104" s="912"/>
      <c r="D104" s="912"/>
      <c r="E104" s="914"/>
      <c r="F104" s="128"/>
      <c r="G104" s="129"/>
      <c r="H104" s="129"/>
      <c r="I104" s="130"/>
      <c r="J104" s="131">
        <f>+J101/(1+J98)</f>
        <v>1681593.1502945304</v>
      </c>
      <c r="K104" s="909"/>
    </row>
    <row r="105" spans="1:12">
      <c r="A105" s="128"/>
      <c r="B105" s="129"/>
      <c r="C105" s="129"/>
      <c r="D105" s="129"/>
      <c r="E105" s="129"/>
      <c r="F105" s="132"/>
      <c r="G105" s="132"/>
      <c r="H105" s="132"/>
      <c r="I105" s="132"/>
      <c r="J105" s="129"/>
      <c r="K105" s="909"/>
    </row>
    <row r="106" spans="1:12">
      <c r="A106" s="913" t="s">
        <v>149</v>
      </c>
      <c r="B106" s="913"/>
      <c r="C106" s="913"/>
      <c r="D106" s="913"/>
      <c r="E106" s="913"/>
      <c r="F106" s="62">
        <f>+SUM(F103:J103)</f>
        <v>348427.20015566383</v>
      </c>
      <c r="K106" s="909"/>
    </row>
    <row r="107" spans="1:12">
      <c r="A107" s="911" t="s">
        <v>106</v>
      </c>
      <c r="B107" s="911"/>
      <c r="C107" s="911"/>
      <c r="D107" s="911"/>
      <c r="E107" s="911"/>
      <c r="F107" s="62">
        <f>+J104</f>
        <v>1681593.1502945304</v>
      </c>
      <c r="K107" s="909"/>
    </row>
    <row r="108" spans="1:12" ht="15.75">
      <c r="A108" s="916" t="s">
        <v>107</v>
      </c>
      <c r="B108" s="916"/>
      <c r="C108" s="916"/>
      <c r="D108" s="916"/>
      <c r="E108" s="916"/>
      <c r="F108" s="230">
        <f>+F106+F107</f>
        <v>2030020.3504501942</v>
      </c>
      <c r="K108" s="909"/>
    </row>
    <row r="109" spans="1:12">
      <c r="K109" s="909"/>
    </row>
    <row r="110" spans="1:12">
      <c r="A110" s="911" t="s">
        <v>109</v>
      </c>
      <c r="B110" s="911"/>
      <c r="C110" s="911"/>
      <c r="D110" s="911"/>
      <c r="E110" s="911"/>
      <c r="F110" s="63">
        <f>+F108</f>
        <v>2030020.3504501942</v>
      </c>
      <c r="K110" s="909"/>
    </row>
    <row r="111" spans="1:12">
      <c r="A111" s="917" t="s">
        <v>110</v>
      </c>
      <c r="B111" s="917"/>
      <c r="C111" s="917"/>
      <c r="D111" s="917"/>
      <c r="E111" s="917"/>
      <c r="F111" s="62">
        <f>+Proyecciones!J52+Proyecciones!J50</f>
        <v>528158.39800000004</v>
      </c>
      <c r="K111" s="909"/>
    </row>
    <row r="112" spans="1:12">
      <c r="A112" s="917" t="s">
        <v>246</v>
      </c>
      <c r="B112" s="917"/>
      <c r="C112" s="917"/>
      <c r="D112" s="917"/>
      <c r="E112" s="917"/>
      <c r="F112" s="62">
        <f>+Proyecciones!J42</f>
        <v>705883.73600000003</v>
      </c>
      <c r="K112" s="909"/>
    </row>
    <row r="113" spans="1:11">
      <c r="A113" s="917" t="s">
        <v>132</v>
      </c>
      <c r="B113" s="917"/>
      <c r="C113" s="917"/>
      <c r="D113" s="917"/>
      <c r="E113" s="917"/>
      <c r="F113" s="62">
        <f>+Proyecciones!J50+Proyecciones!J54</f>
        <v>200555.511</v>
      </c>
      <c r="K113" s="909"/>
    </row>
    <row r="114" spans="1:11" ht="15.75">
      <c r="A114" s="947" t="s">
        <v>111</v>
      </c>
      <c r="B114" s="947"/>
      <c r="C114" s="947"/>
      <c r="D114" s="947"/>
      <c r="E114" s="947"/>
      <c r="F114" s="230">
        <f>+F110-F111+F112-F113</f>
        <v>2007190.177450194</v>
      </c>
      <c r="G114" s="65"/>
      <c r="K114" s="909"/>
    </row>
    <row r="115" spans="1:11">
      <c r="F115" s="64"/>
      <c r="H115"/>
      <c r="K115" s="909"/>
    </row>
    <row r="116" spans="1:11">
      <c r="A116" s="911" t="s">
        <v>112</v>
      </c>
      <c r="B116" s="911"/>
      <c r="C116" s="911"/>
      <c r="D116" s="911"/>
      <c r="E116" s="911"/>
      <c r="F116" s="62">
        <f>+Proyecciones!J59</f>
        <v>475630.01199999993</v>
      </c>
      <c r="K116" s="909"/>
    </row>
    <row r="117" spans="1:11">
      <c r="K117" s="909"/>
    </row>
    <row r="118" spans="1:11">
      <c r="A118" s="911" t="s">
        <v>115</v>
      </c>
      <c r="B118" s="911"/>
      <c r="C118" s="911"/>
      <c r="D118" s="911"/>
      <c r="E118" s="911"/>
      <c r="F118" s="347">
        <v>45000000</v>
      </c>
      <c r="G118" s="229" t="s">
        <v>117</v>
      </c>
      <c r="K118" s="909"/>
    </row>
    <row r="119" spans="1:11">
      <c r="A119" s="911" t="s">
        <v>114</v>
      </c>
      <c r="B119" s="911"/>
      <c r="C119" s="911"/>
      <c r="D119" s="911"/>
      <c r="E119" s="911"/>
      <c r="F119" s="66">
        <f>+F116/F118</f>
        <v>1.056955582222222E-2</v>
      </c>
      <c r="K119" s="909"/>
    </row>
    <row r="120" spans="1:11">
      <c r="A120" s="911" t="s">
        <v>116</v>
      </c>
      <c r="B120" s="911"/>
      <c r="C120" s="911"/>
      <c r="D120" s="911"/>
      <c r="E120" s="911"/>
      <c r="F120" s="66">
        <f>+F114/F118</f>
        <v>4.4604226165559868E-2</v>
      </c>
      <c r="K120" s="909"/>
    </row>
    <row r="121" spans="1:11" ht="16.5" thickBot="1">
      <c r="A121" s="915" t="s">
        <v>113</v>
      </c>
      <c r="B121" s="915"/>
      <c r="C121" s="915"/>
      <c r="D121" s="915"/>
      <c r="E121" s="915"/>
      <c r="F121" s="228">
        <f>+F120/F119</f>
        <v>4.2200662843163785</v>
      </c>
      <c r="K121" s="910"/>
    </row>
    <row r="124" spans="1:11" ht="15.75" thickBot="1"/>
    <row r="125" spans="1:11" ht="15" customHeight="1">
      <c r="A125" s="862" t="s">
        <v>119</v>
      </c>
      <c r="B125" s="863"/>
      <c r="C125" s="863"/>
      <c r="D125" s="863"/>
      <c r="E125" s="863"/>
      <c r="F125" s="863"/>
      <c r="G125" s="863"/>
      <c r="H125" s="863"/>
      <c r="I125" s="863"/>
      <c r="J125" s="864"/>
    </row>
    <row r="126" spans="1:11" ht="15.75" customHeight="1" thickBot="1">
      <c r="A126" s="865"/>
      <c r="B126" s="866"/>
      <c r="C126" s="866"/>
      <c r="D126" s="866"/>
      <c r="E126" s="866"/>
      <c r="F126" s="866"/>
      <c r="G126" s="866"/>
      <c r="H126" s="866"/>
      <c r="I126" s="866"/>
      <c r="J126" s="867"/>
    </row>
    <row r="127" spans="1:11" ht="15.75" thickBot="1"/>
    <row r="128" spans="1:11" ht="15" customHeight="1">
      <c r="A128" s="898" t="s">
        <v>120</v>
      </c>
      <c r="B128" s="898"/>
      <c r="C128" s="898"/>
      <c r="D128" s="898"/>
      <c r="E128" s="948"/>
      <c r="F128" s="265">
        <f>F54</f>
        <v>2023</v>
      </c>
      <c r="G128" s="265">
        <f t="shared" ref="G128:J128" si="14">G54</f>
        <v>2024</v>
      </c>
      <c r="H128" s="265">
        <f t="shared" si="14"/>
        <v>2025</v>
      </c>
      <c r="I128" s="265">
        <f t="shared" si="14"/>
        <v>2026</v>
      </c>
      <c r="J128" s="265">
        <f t="shared" si="14"/>
        <v>2027</v>
      </c>
      <c r="K128" s="790" t="s">
        <v>118</v>
      </c>
    </row>
    <row r="129" spans="1:11">
      <c r="A129" s="899" t="s">
        <v>121</v>
      </c>
      <c r="B129" s="899"/>
      <c r="C129" s="899"/>
      <c r="D129" s="899"/>
      <c r="E129" s="949"/>
      <c r="F129" s="8">
        <f>+'Proyecciones + Estrategia'!K48</f>
        <v>1743450.8581953598</v>
      </c>
      <c r="G129" s="8">
        <f>+'Proyecciones + Estrategia'!L48</f>
        <v>1806528.9102448681</v>
      </c>
      <c r="H129" s="8">
        <f>+'Proyecciones + Estrategia'!M48</f>
        <v>1875610.5757726319</v>
      </c>
      <c r="I129" s="8">
        <f>+'Proyecciones + Estrategia'!N48</f>
        <v>1945402.0452971314</v>
      </c>
      <c r="J129" s="8">
        <f>+'Proyecciones + Estrategia'!O48</f>
        <v>2013782.9271893257</v>
      </c>
      <c r="K129" s="791"/>
    </row>
    <row r="130" spans="1:11">
      <c r="A130" s="899" t="s">
        <v>122</v>
      </c>
      <c r="B130" s="899"/>
      <c r="C130" s="899"/>
      <c r="D130" s="899"/>
      <c r="E130" s="949"/>
      <c r="F130" s="8">
        <f>+'Proyecciones + Estrategia'!K57</f>
        <v>1251592.3501859198</v>
      </c>
      <c r="G130" s="8">
        <f>+'Proyecciones + Estrategia'!L57</f>
        <v>1296874.9614156466</v>
      </c>
      <c r="H130" s="8">
        <f>+'Proyecciones + Estrategia'!M57</f>
        <v>1346467.4599401809</v>
      </c>
      <c r="I130" s="8">
        <f>+'Proyecciones + Estrategia'!N57</f>
        <v>1396569.514124555</v>
      </c>
      <c r="J130" s="8">
        <f>+'Proyecciones + Estrategia'!O57</f>
        <v>1445658.9325460333</v>
      </c>
      <c r="K130" s="791"/>
    </row>
    <row r="131" spans="1:11">
      <c r="A131" s="899" t="s">
        <v>127</v>
      </c>
      <c r="B131" s="899"/>
      <c r="C131" s="899"/>
      <c r="D131" s="899"/>
      <c r="E131" s="949"/>
      <c r="F131" s="7">
        <f>+F129-F130</f>
        <v>491858.50800944003</v>
      </c>
      <c r="G131" s="7">
        <f t="shared" ref="G131:J131" si="15">+G129-G130</f>
        <v>509653.94882922154</v>
      </c>
      <c r="H131" s="7">
        <f t="shared" si="15"/>
        <v>529143.11583245103</v>
      </c>
      <c r="I131" s="7">
        <f t="shared" si="15"/>
        <v>548832.53117257636</v>
      </c>
      <c r="J131" s="7">
        <f t="shared" si="15"/>
        <v>568123.99464329239</v>
      </c>
      <c r="K131" s="791"/>
    </row>
    <row r="132" spans="1:11">
      <c r="A132" s="899" t="s">
        <v>123</v>
      </c>
      <c r="B132" s="899"/>
      <c r="C132" s="899"/>
      <c r="D132" s="899"/>
      <c r="E132" s="949"/>
      <c r="F132" s="13">
        <f>+F131/$F$118</f>
        <v>1.0930189066876445E-2</v>
      </c>
      <c r="G132" s="13">
        <f t="shared" ref="G132:J132" si="16">+G131/$F$118</f>
        <v>1.1325643307316034E-2</v>
      </c>
      <c r="H132" s="13">
        <f t="shared" si="16"/>
        <v>1.1758735907387801E-2</v>
      </c>
      <c r="I132" s="13">
        <f t="shared" si="16"/>
        <v>1.2196278470501696E-2</v>
      </c>
      <c r="J132" s="13">
        <f t="shared" si="16"/>
        <v>1.2624977658739831E-2</v>
      </c>
      <c r="K132" s="791"/>
    </row>
    <row r="133" spans="1:11" ht="15.75">
      <c r="A133" s="896" t="s">
        <v>113</v>
      </c>
      <c r="B133" s="897"/>
      <c r="C133" s="897"/>
      <c r="D133" s="897"/>
      <c r="E133" s="897"/>
      <c r="F133" s="228">
        <f>+F132/$F$119</f>
        <v>1.0341200000000002</v>
      </c>
      <c r="G133" s="228">
        <f t="shared" ref="G133:J133" si="17">+G132/$F$119</f>
        <v>1.0715344616000002</v>
      </c>
      <c r="H133" s="228">
        <f t="shared" si="17"/>
        <v>1.1125099394115843</v>
      </c>
      <c r="I133" s="228">
        <f t="shared" si="17"/>
        <v>1.1539064342570888</v>
      </c>
      <c r="J133" s="228">
        <f t="shared" si="17"/>
        <v>1.1944662454212256</v>
      </c>
      <c r="K133" s="791"/>
    </row>
    <row r="134" spans="1:11" ht="9" customHeight="1">
      <c r="K134" s="791"/>
    </row>
    <row r="135" spans="1:11" ht="9" customHeight="1">
      <c r="K135" s="791"/>
    </row>
    <row r="136" spans="1:11" ht="7.5" customHeight="1">
      <c r="K136" s="791"/>
    </row>
    <row r="137" spans="1:11" ht="10.5" customHeight="1">
      <c r="K137" s="791"/>
    </row>
    <row r="138" spans="1:11" ht="15.75">
      <c r="A138" s="898" t="s">
        <v>125</v>
      </c>
      <c r="B138" s="898"/>
      <c r="C138" s="898"/>
      <c r="D138" s="898"/>
      <c r="E138" s="898"/>
      <c r="F138" s="265">
        <f>F128</f>
        <v>2023</v>
      </c>
      <c r="G138" s="265">
        <f t="shared" ref="G138:J138" si="18">G128</f>
        <v>2024</v>
      </c>
      <c r="H138" s="265">
        <f t="shared" si="18"/>
        <v>2025</v>
      </c>
      <c r="I138" s="265">
        <f t="shared" si="18"/>
        <v>2026</v>
      </c>
      <c r="J138" s="265">
        <f t="shared" si="18"/>
        <v>2027</v>
      </c>
      <c r="K138" s="791"/>
    </row>
    <row r="139" spans="1:11">
      <c r="A139" s="899" t="s">
        <v>126</v>
      </c>
      <c r="B139" s="899"/>
      <c r="C139" s="899"/>
      <c r="D139" s="899"/>
      <c r="E139" s="899"/>
      <c r="F139" s="8">
        <f>+'Proyecciones + Estrategia'!K48</f>
        <v>1743450.8581953598</v>
      </c>
      <c r="G139" s="8">
        <f>+'Proyecciones + Estrategia'!L48</f>
        <v>1806528.9102448681</v>
      </c>
      <c r="H139" s="8">
        <f>+'Proyecciones + Estrategia'!M48</f>
        <v>1875610.5757726319</v>
      </c>
      <c r="I139" s="8">
        <f>+'Proyecciones + Estrategia'!N48</f>
        <v>1945402.0452971314</v>
      </c>
      <c r="J139" s="8">
        <f>+'Proyecciones + Estrategia'!O48</f>
        <v>2013782.9271893257</v>
      </c>
      <c r="K139" s="791"/>
    </row>
    <row r="140" spans="1:11">
      <c r="A140" s="899" t="s">
        <v>128</v>
      </c>
      <c r="B140" s="899"/>
      <c r="C140" s="899"/>
      <c r="D140" s="899"/>
      <c r="E140" s="899"/>
      <c r="F140" s="8">
        <f>+'Proyecciones + Estrategia'!K51+'Proyecciones + Estrategia'!K52+'Proyecciones + Estrategia'!K55</f>
        <v>650674.09610612004</v>
      </c>
      <c r="G140" s="8">
        <f>+'Proyecciones + Estrategia'!L51+'Proyecciones + Estrategia'!L52+'Proyecciones + Estrategia'!L55</f>
        <v>674215.48490323941</v>
      </c>
      <c r="H140" s="8">
        <f>+'Proyecciones + Estrategia'!M51+'Proyecciones + Estrategia'!M52+'Proyecciones + Estrategia'!M55</f>
        <v>699997.48504593933</v>
      </c>
      <c r="I140" s="8">
        <f>+'Proyecciones + Estrategia'!N51+'Proyecciones + Estrategia'!N52+'Proyecciones + Estrategia'!N55</f>
        <v>726044.39146449871</v>
      </c>
      <c r="J140" s="8">
        <f>+'Proyecciones + Estrategia'!O51+'Proyecciones + Estrategia'!O52+'Proyecciones + Estrategia'!O55</f>
        <v>751564.85182447592</v>
      </c>
      <c r="K140" s="791"/>
    </row>
    <row r="141" spans="1:11">
      <c r="A141" s="899" t="s">
        <v>129</v>
      </c>
      <c r="B141" s="899"/>
      <c r="C141" s="899"/>
      <c r="D141" s="899"/>
      <c r="E141" s="899"/>
      <c r="F141" s="6">
        <f>+F139-F140</f>
        <v>1092776.7620892399</v>
      </c>
      <c r="G141" s="6">
        <f t="shared" ref="G141:J141" si="19">+G139-G140</f>
        <v>1132313.4253416287</v>
      </c>
      <c r="H141" s="6">
        <f t="shared" si="19"/>
        <v>1175613.0907266927</v>
      </c>
      <c r="I141" s="6">
        <f t="shared" si="19"/>
        <v>1219357.6538326326</v>
      </c>
      <c r="J141" s="6">
        <f t="shared" si="19"/>
        <v>1262218.0753648498</v>
      </c>
      <c r="K141" s="791"/>
    </row>
    <row r="142" spans="1:11">
      <c r="A142" s="899" t="s">
        <v>124</v>
      </c>
      <c r="B142" s="899"/>
      <c r="C142" s="899"/>
      <c r="D142" s="899"/>
      <c r="E142" s="899"/>
      <c r="F142" s="13">
        <f>+F141/$F$118</f>
        <v>2.4283928046427553E-2</v>
      </c>
      <c r="G142" s="13">
        <f t="shared" ref="G142:J142" si="20">+G141/$F$118</f>
        <v>2.5162520563147304E-2</v>
      </c>
      <c r="H142" s="13">
        <f t="shared" si="20"/>
        <v>2.6124735349482061E-2</v>
      </c>
      <c r="I142" s="13">
        <f t="shared" si="20"/>
        <v>2.709683675183628E-2</v>
      </c>
      <c r="J142" s="13">
        <f t="shared" si="20"/>
        <v>2.8049290563663329E-2</v>
      </c>
      <c r="K142" s="791"/>
    </row>
    <row r="143" spans="1:11" ht="16.5" thickBot="1">
      <c r="A143" s="896" t="s">
        <v>113</v>
      </c>
      <c r="B143" s="897"/>
      <c r="C143" s="897"/>
      <c r="D143" s="897"/>
      <c r="E143" s="903"/>
      <c r="F143" s="228">
        <f>+F142/$F$119</f>
        <v>2.2975353415865607</v>
      </c>
      <c r="G143" s="228">
        <f t="shared" ref="G143:J143" si="21">+G142/$F$119</f>
        <v>2.3806601702451631</v>
      </c>
      <c r="H143" s="228">
        <f t="shared" si="21"/>
        <v>2.4716966151553383</v>
      </c>
      <c r="I143" s="228">
        <f t="shared" si="21"/>
        <v>2.5636684462052677</v>
      </c>
      <c r="J143" s="228">
        <f t="shared" si="21"/>
        <v>2.6537813920893831</v>
      </c>
      <c r="K143" s="792"/>
    </row>
    <row r="144" spans="1:11" ht="9" customHeight="1"/>
    <row r="145" spans="1:14" ht="9" customHeight="1"/>
    <row r="146" spans="1:14" ht="9.75" customHeight="1"/>
    <row r="147" spans="1:14" ht="9.75" customHeight="1">
      <c r="K147" s="48"/>
    </row>
    <row r="148" spans="1:14" ht="14.25" customHeight="1">
      <c r="K148" s="48"/>
    </row>
    <row r="149" spans="1:14" ht="9.75" customHeight="1"/>
    <row r="150" spans="1:14" ht="11.25" customHeight="1"/>
    <row r="151" spans="1:14" ht="29.25" customHeight="1"/>
    <row r="152" spans="1:14" ht="15" customHeight="1"/>
    <row r="153" spans="1:14" ht="15" customHeight="1"/>
    <row r="154" spans="1:14" ht="15" customHeight="1"/>
    <row r="155" spans="1:14" ht="15" customHeight="1"/>
    <row r="156" spans="1:14" ht="9.75" customHeight="1"/>
    <row r="157" spans="1:14" ht="9.75" customHeight="1"/>
    <row r="158" spans="1:14" ht="9.75" customHeight="1"/>
    <row r="159" spans="1:14" ht="15.75" thickBot="1"/>
    <row r="160" spans="1:14" ht="15" customHeight="1" thickBot="1">
      <c r="A160" s="628" t="s">
        <v>260</v>
      </c>
      <c r="B160" s="629"/>
      <c r="C160" s="629"/>
      <c r="D160" s="629"/>
      <c r="E160" s="629"/>
      <c r="F160" s="629"/>
      <c r="G160" s="629"/>
      <c r="H160" s="629"/>
      <c r="I160" s="629"/>
      <c r="J160" s="630"/>
      <c r="K160" s="48"/>
      <c r="M160" s="530" t="s">
        <v>187</v>
      </c>
      <c r="N160" s="531" t="s">
        <v>188</v>
      </c>
    </row>
    <row r="161" spans="1:17" ht="15" customHeight="1" thickBot="1">
      <c r="A161" s="631"/>
      <c r="B161" s="632"/>
      <c r="C161" s="632"/>
      <c r="D161" s="632"/>
      <c r="E161" s="632"/>
      <c r="F161" s="632"/>
      <c r="G161" s="632"/>
      <c r="H161" s="632"/>
      <c r="I161" s="632"/>
      <c r="J161" s="633"/>
      <c r="K161" s="48"/>
      <c r="M161" s="209" t="s">
        <v>186</v>
      </c>
      <c r="N161" s="210">
        <f>+MAX(F163:F165)</f>
        <v>2007190.177450194</v>
      </c>
    </row>
    <row r="162" spans="1:17" ht="45.75" thickBot="1">
      <c r="A162" s="901" t="s">
        <v>136</v>
      </c>
      <c r="B162" s="902"/>
      <c r="C162" s="902"/>
      <c r="D162" s="902"/>
      <c r="E162" s="902"/>
      <c r="F162" s="548" t="s">
        <v>135</v>
      </c>
      <c r="G162" s="548" t="s">
        <v>137</v>
      </c>
      <c r="H162" s="549" t="s">
        <v>113</v>
      </c>
      <c r="I162" s="548" t="s">
        <v>138</v>
      </c>
      <c r="J162" s="550" t="s">
        <v>139</v>
      </c>
      <c r="M162" s="205" t="s">
        <v>184</v>
      </c>
      <c r="N162" s="206">
        <f>+(N161+N163)/2</f>
        <v>1287657.0860467432</v>
      </c>
      <c r="Q162" s="203" t="s">
        <v>136</v>
      </c>
    </row>
    <row r="163" spans="1:17" ht="15" customHeight="1" thickBot="1">
      <c r="A163" s="542" t="s">
        <v>141</v>
      </c>
      <c r="B163" s="543"/>
      <c r="C163" s="543"/>
      <c r="D163" s="543"/>
      <c r="E163" s="544"/>
      <c r="F163" s="255">
        <f>+J131</f>
        <v>568123.99464329239</v>
      </c>
      <c r="G163" s="353">
        <f>+Proyecciones!J59</f>
        <v>475630.01199999993</v>
      </c>
      <c r="H163" s="119">
        <f>+F163/G163</f>
        <v>1.1944662454212256</v>
      </c>
      <c r="I163" s="551">
        <f>+'Industry Averages'!F66</f>
        <v>0.64548215825934985</v>
      </c>
      <c r="J163" s="120">
        <f>+H163-I163</f>
        <v>0.54898408716187574</v>
      </c>
      <c r="M163" s="207" t="s">
        <v>185</v>
      </c>
      <c r="N163" s="208">
        <f>+MIN(F163:F165)</f>
        <v>568123.99464329239</v>
      </c>
    </row>
    <row r="164" spans="1:17" ht="15" customHeight="1" thickBot="1">
      <c r="A164" s="542" t="s">
        <v>140</v>
      </c>
      <c r="B164" s="543"/>
      <c r="C164" s="543"/>
      <c r="D164" s="543"/>
      <c r="E164" s="544"/>
      <c r="F164" s="121">
        <f>+J141</f>
        <v>1262218.0753648498</v>
      </c>
      <c r="G164" s="8">
        <f>+Proyecciones!J59</f>
        <v>475630.01199999993</v>
      </c>
      <c r="H164" s="69">
        <f t="shared" ref="H164:H165" si="22">+F164/G164</f>
        <v>2.6537813920893831</v>
      </c>
      <c r="I164" s="69">
        <f>+I163</f>
        <v>0.64548215825934985</v>
      </c>
      <c r="J164" s="122">
        <f t="shared" ref="J164:J165" si="23">+H164-I164</f>
        <v>2.0082992338300332</v>
      </c>
      <c r="L164" s="532">
        <f>+N162</f>
        <v>1287657.0860467432</v>
      </c>
      <c r="M164" s="533"/>
      <c r="N164" s="534">
        <f>+L166/F119</f>
        <v>2.7072662648688017</v>
      </c>
    </row>
    <row r="165" spans="1:17" ht="15" customHeight="1" thickBot="1">
      <c r="A165" s="545" t="s">
        <v>134</v>
      </c>
      <c r="B165" s="546"/>
      <c r="C165" s="546"/>
      <c r="D165" s="546"/>
      <c r="E165" s="547"/>
      <c r="F165" s="123">
        <f>+F114</f>
        <v>2007190.177450194</v>
      </c>
      <c r="G165" s="124">
        <f>+Proyecciones!J59</f>
        <v>475630.01199999993</v>
      </c>
      <c r="H165" s="125">
        <f t="shared" si="22"/>
        <v>4.2200662843163776</v>
      </c>
      <c r="I165" s="125">
        <f>+I164</f>
        <v>0.64548215825934985</v>
      </c>
      <c r="J165" s="235">
        <f t="shared" si="23"/>
        <v>3.5745841260570277</v>
      </c>
      <c r="L165" s="535"/>
      <c r="M165" s="536"/>
      <c r="N165" s="537" t="s">
        <v>151</v>
      </c>
    </row>
    <row r="166" spans="1:17" ht="15.75" customHeight="1">
      <c r="L166" s="538">
        <f>+L164/F118</f>
        <v>2.8614601912149849E-2</v>
      </c>
      <c r="M166" s="539"/>
      <c r="N166" s="945" t="s">
        <v>248</v>
      </c>
    </row>
    <row r="167" spans="1:17" ht="15.75" customHeight="1" thickBot="1">
      <c r="H167" s="64"/>
      <c r="I167" s="71"/>
      <c r="L167" s="540"/>
      <c r="M167" s="541"/>
      <c r="N167" s="946"/>
    </row>
    <row r="168" spans="1:17" ht="15.75" thickBot="1">
      <c r="J168" s="71"/>
      <c r="M168" s="67"/>
    </row>
    <row r="169" spans="1:17">
      <c r="A169" s="862" t="s">
        <v>259</v>
      </c>
      <c r="B169" s="863"/>
      <c r="C169" s="863"/>
      <c r="D169" s="863"/>
      <c r="E169" s="863"/>
      <c r="F169" s="863"/>
      <c r="G169" s="863"/>
      <c r="H169" s="863"/>
      <c r="I169" s="863"/>
      <c r="J169" s="864"/>
    </row>
    <row r="170" spans="1:17" ht="15.75" thickBot="1">
      <c r="A170" s="865"/>
      <c r="B170" s="866"/>
      <c r="C170" s="866"/>
      <c r="D170" s="866"/>
      <c r="E170" s="866"/>
      <c r="F170" s="866"/>
      <c r="G170" s="866"/>
      <c r="H170" s="866"/>
      <c r="I170" s="866"/>
      <c r="J170" s="867"/>
      <c r="L170" s="346"/>
    </row>
    <row r="173" spans="1:17" ht="30">
      <c r="A173" s="714" t="s">
        <v>252</v>
      </c>
      <c r="B173" s="714"/>
      <c r="C173" s="714"/>
      <c r="D173" s="714"/>
      <c r="E173" s="714"/>
      <c r="F173" s="245" t="s">
        <v>255</v>
      </c>
      <c r="G173" s="554" t="s">
        <v>258</v>
      </c>
      <c r="H173" s="554" t="s">
        <v>256</v>
      </c>
      <c r="I173" s="554" t="s">
        <v>257</v>
      </c>
      <c r="J173" s="554" t="s">
        <v>253</v>
      </c>
    </row>
    <row r="174" spans="1:17">
      <c r="A174" s="900" t="s">
        <v>268</v>
      </c>
      <c r="B174" s="900"/>
      <c r="C174" s="900"/>
      <c r="D174" s="900"/>
      <c r="E174" s="900"/>
      <c r="F174" s="69">
        <f>'Valoración Sin Estrategia'!F174</f>
        <v>4.7712993902034482</v>
      </c>
      <c r="G174" s="69">
        <f>+F164/'Proyecciones + Estrategia'!J106</f>
        <v>8.3638477676191467</v>
      </c>
      <c r="H174" s="246">
        <f>+G174-F174</f>
        <v>3.5925483774156985</v>
      </c>
      <c r="I174" s="246">
        <f>+'Valoración Sin Estrategia'!G174</f>
        <v>12.62</v>
      </c>
      <c r="J174" s="246">
        <f>+G174-I174</f>
        <v>-4.2561522323808525</v>
      </c>
    </row>
    <row r="175" spans="1:17">
      <c r="A175" s="900" t="s">
        <v>269</v>
      </c>
      <c r="B175" s="900"/>
      <c r="C175" s="900"/>
      <c r="D175" s="900"/>
      <c r="E175" s="900"/>
      <c r="F175" s="69">
        <f>'Valoración Sin Estrategia'!F175</f>
        <v>0.11827268742814144</v>
      </c>
      <c r="G175" s="69">
        <f>+F164/'Proyecciones + Estrategia'!J68</f>
        <v>0.2073260702833401</v>
      </c>
      <c r="H175" s="246">
        <f t="shared" ref="H175:H176" si="24">+G175-F175</f>
        <v>8.9053382855198662E-2</v>
      </c>
      <c r="I175" s="246">
        <f>+'Valoración Sin Estrategia'!G175</f>
        <v>2.23</v>
      </c>
      <c r="J175" s="246">
        <f t="shared" ref="J175:J176" si="25">+G175-I175</f>
        <v>-2.0226739297166598</v>
      </c>
    </row>
    <row r="176" spans="1:17">
      <c r="A176" s="900" t="s">
        <v>270</v>
      </c>
      <c r="B176" s="900"/>
      <c r="C176" s="900"/>
      <c r="D176" s="900"/>
      <c r="E176" s="900"/>
      <c r="F176" s="69">
        <f>'Valoración Sin Estrategia'!F176</f>
        <v>1.5138947873765154</v>
      </c>
      <c r="G176" s="69">
        <f>+F164/'Proyecciones + Estrategia'!J60</f>
        <v>2.6537813920893831</v>
      </c>
      <c r="H176" s="246">
        <f t="shared" si="24"/>
        <v>1.1398866047128677</v>
      </c>
      <c r="I176" s="246">
        <f>+'Valoración Sin Estrategia'!G176</f>
        <v>2.59</v>
      </c>
      <c r="J176" s="246">
        <f t="shared" si="25"/>
        <v>6.3781392089383271E-2</v>
      </c>
    </row>
    <row r="180" spans="1:7" ht="15.75" thickBot="1"/>
    <row r="181" spans="1:7" ht="16.5" thickBot="1">
      <c r="A181" s="939" t="s">
        <v>279</v>
      </c>
      <c r="B181" s="940"/>
      <c r="C181" s="940"/>
      <c r="D181" s="940"/>
      <c r="E181" s="940"/>
      <c r="F181" s="940"/>
      <c r="G181" s="941"/>
    </row>
    <row r="182" spans="1:7" ht="15.75" thickBot="1">
      <c r="A182" s="942" t="s">
        <v>273</v>
      </c>
      <c r="B182" s="943"/>
      <c r="C182" s="943"/>
      <c r="D182" s="943"/>
      <c r="E182" s="944"/>
      <c r="F182" s="286" t="s">
        <v>274</v>
      </c>
      <c r="G182" s="286" t="s">
        <v>275</v>
      </c>
    </row>
    <row r="183" spans="1:7" ht="16.5" thickBot="1">
      <c r="A183" s="288" t="s">
        <v>272</v>
      </c>
      <c r="B183" s="289"/>
      <c r="C183" s="289"/>
      <c r="D183" s="289"/>
      <c r="E183" s="290"/>
      <c r="F183" s="287">
        <f>+'Valoración Sin Estrategia'!N164</f>
        <v>1.5138947873765156</v>
      </c>
      <c r="G183" s="117">
        <f>+F184-F183</f>
        <v>1.1933714774922861</v>
      </c>
    </row>
    <row r="184" spans="1:7" ht="16.5" thickBot="1">
      <c r="A184" s="288" t="s">
        <v>271</v>
      </c>
      <c r="B184" s="289"/>
      <c r="C184" s="289"/>
      <c r="D184" s="289"/>
      <c r="E184" s="290"/>
      <c r="F184" s="117">
        <f>+N164</f>
        <v>2.7072662648688017</v>
      </c>
    </row>
    <row r="193" spans="1:12" ht="15.75" thickBot="1"/>
    <row r="194" spans="1:12" ht="16.5" thickBot="1">
      <c r="A194" s="939" t="s">
        <v>280</v>
      </c>
      <c r="B194" s="940"/>
      <c r="C194" s="940"/>
      <c r="D194" s="940"/>
      <c r="E194" s="940"/>
      <c r="F194" s="940"/>
      <c r="G194" s="940"/>
      <c r="H194" s="940"/>
      <c r="I194" s="940"/>
      <c r="J194" s="940"/>
      <c r="K194" s="940"/>
      <c r="L194" s="941"/>
    </row>
    <row r="195" spans="1:12">
      <c r="A195" s="937" t="s">
        <v>276</v>
      </c>
      <c r="B195" s="938"/>
      <c r="C195" s="293">
        <f>Proyecciones!F96</f>
        <v>2018</v>
      </c>
      <c r="D195" s="294">
        <f>Proyecciones!G96</f>
        <v>2019</v>
      </c>
      <c r="E195" s="294">
        <f>Proyecciones!H96</f>
        <v>2020</v>
      </c>
      <c r="F195" s="294">
        <f>Proyecciones!I96</f>
        <v>2021</v>
      </c>
      <c r="G195" s="294">
        <f>Proyecciones!J96</f>
        <v>2022</v>
      </c>
      <c r="H195" s="294">
        <f>Proyecciones!K96</f>
        <v>2023</v>
      </c>
      <c r="I195" s="294">
        <f>Proyecciones!L96</f>
        <v>2024</v>
      </c>
      <c r="J195" s="294">
        <f>Proyecciones!M96</f>
        <v>2025</v>
      </c>
      <c r="K195" s="294">
        <f>Proyecciones!N96</f>
        <v>2026</v>
      </c>
      <c r="L195" s="295">
        <f>Proyecciones!O96</f>
        <v>2027</v>
      </c>
    </row>
    <row r="196" spans="1:12">
      <c r="A196" s="296" t="s">
        <v>277</v>
      </c>
      <c r="B196" s="291"/>
      <c r="C196" s="292">
        <f>Proyecciones!F134</f>
        <v>55543.567289641011</v>
      </c>
      <c r="D196" s="292">
        <f>Proyecciones!G134</f>
        <v>320898.55901065603</v>
      </c>
      <c r="E196" s="292">
        <f>Proyecciones!H134</f>
        <v>-51355.528473241793</v>
      </c>
      <c r="F196" s="292">
        <f>Proyecciones!I134</f>
        <v>-17258.325110822974</v>
      </c>
      <c r="G196" s="292">
        <f>Proyecciones!J134</f>
        <v>-200663.69330656985</v>
      </c>
      <c r="H196" s="292">
        <f>Proyecciones!K134</f>
        <v>3472.2362596176754</v>
      </c>
      <c r="I196" s="292">
        <f>Proyecciones!L134</f>
        <v>2206.5807914059551</v>
      </c>
      <c r="J196" s="292">
        <f>Proyecciones!M134</f>
        <v>4081.3184339476502</v>
      </c>
      <c r="K196" s="292">
        <f>Proyecciones!N134</f>
        <v>5910.5741575270658</v>
      </c>
      <c r="L196" s="292">
        <f>Proyecciones!O134</f>
        <v>6498.1983709245105</v>
      </c>
    </row>
    <row r="197" spans="1:12" ht="15.75" thickBot="1">
      <c r="A197" s="297" t="s">
        <v>278</v>
      </c>
      <c r="B197" s="298"/>
      <c r="C197" s="299">
        <f>'Proyecciones + Estrategia'!F135</f>
        <v>57286.401439482244</v>
      </c>
      <c r="D197" s="299">
        <f>'Proyecciones + Estrategia'!G135</f>
        <v>325587.27839080442</v>
      </c>
      <c r="E197" s="299">
        <f>'Proyecciones + Estrategia'!H135</f>
        <v>-50902.055521996212</v>
      </c>
      <c r="F197" s="299">
        <f>'Proyecciones + Estrategia'!I135</f>
        <v>-16657.30650637357</v>
      </c>
      <c r="G197" s="299">
        <f>'Proyecciones + Estrategia'!J135</f>
        <v>-199410.31594933849</v>
      </c>
      <c r="H197" s="299">
        <f>'Proyecciones + Estrategia'!K135</f>
        <v>-2747.95539241183</v>
      </c>
      <c r="I197" s="299">
        <f>'Proyecciones + Estrategia'!L135</f>
        <v>16059.869372750116</v>
      </c>
      <c r="J197" s="299">
        <f>'Proyecciones + Estrategia'!M135</f>
        <v>20684.017074661395</v>
      </c>
      <c r="K197" s="299">
        <f>'Proyecciones + Estrategia'!N135</f>
        <v>22899.123491688508</v>
      </c>
      <c r="L197" s="299">
        <f>'Proyecciones + Estrategia'!O135</f>
        <v>24773.212825449496</v>
      </c>
    </row>
  </sheetData>
  <mergeCells count="120">
    <mergeCell ref="A195:B195"/>
    <mergeCell ref="A181:G181"/>
    <mergeCell ref="A194:L194"/>
    <mergeCell ref="A83:C83"/>
    <mergeCell ref="A84:C84"/>
    <mergeCell ref="A125:J126"/>
    <mergeCell ref="A182:E182"/>
    <mergeCell ref="N166:N167"/>
    <mergeCell ref="A169:J170"/>
    <mergeCell ref="F89:I89"/>
    <mergeCell ref="F90:I90"/>
    <mergeCell ref="K90:L93"/>
    <mergeCell ref="F91:I91"/>
    <mergeCell ref="F92:I92"/>
    <mergeCell ref="F93:I93"/>
    <mergeCell ref="A112:E112"/>
    <mergeCell ref="A113:E113"/>
    <mergeCell ref="A114:E114"/>
    <mergeCell ref="A128:E128"/>
    <mergeCell ref="K128:K143"/>
    <mergeCell ref="A129:E129"/>
    <mergeCell ref="A130:E130"/>
    <mergeCell ref="A131:E131"/>
    <mergeCell ref="A132:E132"/>
    <mergeCell ref="A1:Q2"/>
    <mergeCell ref="A3:Q3"/>
    <mergeCell ref="A4:Q4"/>
    <mergeCell ref="A5:Q5"/>
    <mergeCell ref="A6:Q6"/>
    <mergeCell ref="A7:F7"/>
    <mergeCell ref="A8:F8"/>
    <mergeCell ref="I8:N8"/>
    <mergeCell ref="A9:E9"/>
    <mergeCell ref="A10:E10"/>
    <mergeCell ref="G10:G15"/>
    <mergeCell ref="A11:E11"/>
    <mergeCell ref="A12:E12"/>
    <mergeCell ref="A14:E14"/>
    <mergeCell ref="A15:E15"/>
    <mergeCell ref="A17:E17"/>
    <mergeCell ref="G17:G18"/>
    <mergeCell ref="A18:F18"/>
    <mergeCell ref="A20:E20"/>
    <mergeCell ref="G20:G25"/>
    <mergeCell ref="A21:E21"/>
    <mergeCell ref="A22:E22"/>
    <mergeCell ref="A24:E24"/>
    <mergeCell ref="A25:E25"/>
    <mergeCell ref="A40:E40"/>
    <mergeCell ref="A41:E41"/>
    <mergeCell ref="A42:E42"/>
    <mergeCell ref="A44:E44"/>
    <mergeCell ref="A46:E46"/>
    <mergeCell ref="A47:E47"/>
    <mergeCell ref="A27:E27"/>
    <mergeCell ref="A30:E30"/>
    <mergeCell ref="A33:E33"/>
    <mergeCell ref="A34:E34"/>
    <mergeCell ref="A35:E35"/>
    <mergeCell ref="A37:E37"/>
    <mergeCell ref="B55:E55"/>
    <mergeCell ref="B56:E56"/>
    <mergeCell ref="B57:E57"/>
    <mergeCell ref="B58:E58"/>
    <mergeCell ref="N59:Q59"/>
    <mergeCell ref="B60:E60"/>
    <mergeCell ref="N47:Q47"/>
    <mergeCell ref="D50:E50"/>
    <mergeCell ref="A51:J52"/>
    <mergeCell ref="B54:E54"/>
    <mergeCell ref="A48:E48"/>
    <mergeCell ref="B69:E69"/>
    <mergeCell ref="B70:E70"/>
    <mergeCell ref="B72:E72"/>
    <mergeCell ref="A74:D74"/>
    <mergeCell ref="A76:J77"/>
    <mergeCell ref="F80:I80"/>
    <mergeCell ref="B61:E61"/>
    <mergeCell ref="B63:E63"/>
    <mergeCell ref="B64:E64"/>
    <mergeCell ref="B65:E65"/>
    <mergeCell ref="B66:E66"/>
    <mergeCell ref="B68:E68"/>
    <mergeCell ref="F81:I81"/>
    <mergeCell ref="F84:I84"/>
    <mergeCell ref="F85:I85"/>
    <mergeCell ref="K85:L87"/>
    <mergeCell ref="F86:I86"/>
    <mergeCell ref="F87:I87"/>
    <mergeCell ref="A96:E96"/>
    <mergeCell ref="K96:K121"/>
    <mergeCell ref="A97:E97"/>
    <mergeCell ref="A98:E98"/>
    <mergeCell ref="A100:E100"/>
    <mergeCell ref="A101:E101"/>
    <mergeCell ref="A103:E103"/>
    <mergeCell ref="A104:E104"/>
    <mergeCell ref="A106:E106"/>
    <mergeCell ref="A107:E107"/>
    <mergeCell ref="A116:E116"/>
    <mergeCell ref="A118:E118"/>
    <mergeCell ref="A119:E119"/>
    <mergeCell ref="A120:E120"/>
    <mergeCell ref="A121:E121"/>
    <mergeCell ref="A108:E108"/>
    <mergeCell ref="A110:E110"/>
    <mergeCell ref="A111:E111"/>
    <mergeCell ref="A133:E133"/>
    <mergeCell ref="A138:E138"/>
    <mergeCell ref="A139:E139"/>
    <mergeCell ref="A140:E140"/>
    <mergeCell ref="A176:E176"/>
    <mergeCell ref="A162:E162"/>
    <mergeCell ref="A141:E141"/>
    <mergeCell ref="A142:E142"/>
    <mergeCell ref="A143:E143"/>
    <mergeCell ref="A174:E174"/>
    <mergeCell ref="A175:E175"/>
    <mergeCell ref="A160:J161"/>
    <mergeCell ref="A173:E173"/>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7D752-FEA8-488C-9455-35AAE914066E}">
  <sheetPr>
    <tabColor rgb="FFC00000"/>
  </sheetPr>
  <dimension ref="B1:U114"/>
  <sheetViews>
    <sheetView topLeftCell="A43" zoomScale="70" zoomScaleNormal="70" workbookViewId="0">
      <selection activeCell="M106" sqref="M106"/>
    </sheetView>
  </sheetViews>
  <sheetFormatPr baseColWidth="10" defaultColWidth="11.42578125" defaultRowHeight="15.75"/>
  <cols>
    <col min="1" max="1" width="11.42578125" style="355"/>
    <col min="2" max="2" width="11.5703125" style="355" bestFit="1" customWidth="1"/>
    <col min="3" max="3" width="18.7109375" style="355" customWidth="1"/>
    <col min="4" max="4" width="19.140625" style="355" customWidth="1"/>
    <col min="5" max="5" width="17.42578125" style="355" customWidth="1"/>
    <col min="6" max="6" width="17.7109375" style="355" customWidth="1"/>
    <col min="7" max="7" width="17.140625" style="355" customWidth="1"/>
    <col min="8" max="8" width="17.5703125" style="355" customWidth="1"/>
    <col min="9" max="9" width="11.42578125" style="355"/>
    <col min="10" max="10" width="54.28515625" style="355" customWidth="1"/>
    <col min="11" max="11" width="11" style="355" bestFit="1" customWidth="1"/>
    <col min="12" max="16384" width="11.42578125" style="355"/>
  </cols>
  <sheetData>
    <row r="1" spans="2:12" ht="31.5">
      <c r="B1" s="354" t="s">
        <v>361</v>
      </c>
      <c r="D1" s="1"/>
    </row>
    <row r="2" spans="2:12" ht="23.25">
      <c r="B2" s="356" t="s">
        <v>362</v>
      </c>
      <c r="D2" s="1"/>
    </row>
    <row r="5" spans="2:12" ht="20.25">
      <c r="B5" s="357" t="s">
        <v>363</v>
      </c>
      <c r="C5" s="358"/>
      <c r="D5" s="358"/>
      <c r="E5" s="358"/>
      <c r="F5" s="358"/>
      <c r="G5" s="358"/>
      <c r="H5" s="358"/>
      <c r="I5" s="358"/>
      <c r="J5" s="358"/>
      <c r="K5" s="358"/>
      <c r="L5" s="358"/>
    </row>
    <row r="6" spans="2:12">
      <c r="B6" s="358" t="s">
        <v>364</v>
      </c>
      <c r="C6" s="358"/>
      <c r="D6" s="358"/>
      <c r="E6" s="358"/>
      <c r="F6" s="358"/>
      <c r="G6" s="358"/>
      <c r="H6" s="358"/>
      <c r="I6" s="358"/>
      <c r="J6" s="358"/>
      <c r="K6" s="358"/>
      <c r="L6" s="358"/>
    </row>
    <row r="7" spans="2:12">
      <c r="B7" s="358" t="s">
        <v>365</v>
      </c>
      <c r="C7" s="358"/>
      <c r="D7" s="358"/>
      <c r="E7" s="358"/>
      <c r="F7" s="358"/>
      <c r="G7" s="358"/>
      <c r="H7" s="358"/>
      <c r="I7" s="358"/>
      <c r="J7" s="358"/>
      <c r="K7" s="358"/>
      <c r="L7" s="358"/>
    </row>
    <row r="8" spans="2:12">
      <c r="B8" s="358"/>
      <c r="C8" s="358"/>
      <c r="D8" s="358"/>
      <c r="E8" s="358"/>
      <c r="F8" s="358"/>
      <c r="G8" s="358"/>
      <c r="H8" s="358"/>
      <c r="I8" s="358"/>
      <c r="J8" s="358"/>
      <c r="K8" s="358"/>
      <c r="L8" s="358"/>
    </row>
    <row r="9" spans="2:12">
      <c r="B9" s="359" t="s">
        <v>366</v>
      </c>
      <c r="C9" s="359"/>
      <c r="D9" s="359"/>
      <c r="E9" s="359"/>
      <c r="F9" s="359"/>
      <c r="G9" s="359"/>
      <c r="H9" s="359"/>
      <c r="I9" s="359"/>
      <c r="J9" s="359"/>
      <c r="K9" s="358"/>
      <c r="L9" s="358"/>
    </row>
    <row r="10" spans="2:12">
      <c r="B10" s="358"/>
      <c r="C10" s="358"/>
      <c r="D10" s="358"/>
      <c r="E10" s="358"/>
      <c r="F10" s="358"/>
      <c r="G10" s="358"/>
      <c r="H10" s="358"/>
      <c r="I10" s="358"/>
      <c r="J10" s="358"/>
      <c r="K10" s="358"/>
      <c r="L10" s="358"/>
    </row>
    <row r="11" spans="2:12">
      <c r="B11" s="360" t="s">
        <v>367</v>
      </c>
      <c r="C11" s="360"/>
      <c r="D11" s="360"/>
      <c r="E11" s="360"/>
      <c r="F11" s="360"/>
      <c r="G11" s="358"/>
      <c r="H11" s="358"/>
      <c r="I11" s="358"/>
      <c r="J11" s="358"/>
      <c r="K11" s="358"/>
      <c r="L11" s="358"/>
    </row>
    <row r="12" spans="2:12" ht="16.5" thickBot="1">
      <c r="B12" s="358"/>
      <c r="C12" s="358"/>
      <c r="D12" s="358"/>
      <c r="E12" s="358"/>
      <c r="F12" s="358"/>
      <c r="G12" s="358"/>
      <c r="H12" s="358"/>
      <c r="I12" s="358"/>
      <c r="J12" s="358"/>
      <c r="K12" s="358"/>
      <c r="L12" s="358"/>
    </row>
    <row r="13" spans="2:12">
      <c r="B13" s="982" t="s">
        <v>368</v>
      </c>
      <c r="C13" s="983"/>
      <c r="D13" s="983"/>
      <c r="E13" s="983"/>
      <c r="F13" s="984"/>
      <c r="G13" s="983" t="s">
        <v>369</v>
      </c>
      <c r="H13" s="983"/>
      <c r="I13" s="985"/>
      <c r="J13" s="358"/>
      <c r="K13" s="358"/>
      <c r="L13" s="358"/>
    </row>
    <row r="14" spans="2:12">
      <c r="B14" s="973" t="s">
        <v>370</v>
      </c>
      <c r="C14" s="974"/>
      <c r="D14" s="974"/>
      <c r="E14" s="974"/>
      <c r="F14" s="975"/>
      <c r="G14" s="974" t="s">
        <v>371</v>
      </c>
      <c r="H14" s="974"/>
      <c r="I14" s="976"/>
      <c r="J14" s="358"/>
      <c r="K14" s="358"/>
      <c r="L14" s="358"/>
    </row>
    <row r="15" spans="2:12">
      <c r="B15" s="973" t="s">
        <v>372</v>
      </c>
      <c r="C15" s="974"/>
      <c r="D15" s="974"/>
      <c r="E15" s="974"/>
      <c r="F15" s="975"/>
      <c r="G15" s="974" t="s">
        <v>373</v>
      </c>
      <c r="H15" s="974"/>
      <c r="I15" s="976"/>
      <c r="J15" s="358"/>
      <c r="K15" s="358"/>
      <c r="L15" s="358"/>
    </row>
    <row r="16" spans="2:12">
      <c r="B16" s="973" t="s">
        <v>374</v>
      </c>
      <c r="C16" s="974"/>
      <c r="D16" s="974"/>
      <c r="E16" s="974"/>
      <c r="F16" s="975"/>
      <c r="G16" s="974" t="s">
        <v>375</v>
      </c>
      <c r="H16" s="974"/>
      <c r="I16" s="976"/>
      <c r="J16" s="358"/>
      <c r="K16" s="358"/>
      <c r="L16" s="358"/>
    </row>
    <row r="17" spans="2:12" ht="16.5" thickBot="1">
      <c r="B17" s="977" t="s">
        <v>376</v>
      </c>
      <c r="C17" s="978"/>
      <c r="D17" s="978"/>
      <c r="E17" s="978"/>
      <c r="F17" s="979"/>
      <c r="G17" s="978" t="s">
        <v>377</v>
      </c>
      <c r="H17" s="978"/>
      <c r="I17" s="980"/>
      <c r="J17" s="358"/>
      <c r="K17" s="358"/>
      <c r="L17" s="358"/>
    </row>
    <row r="18" spans="2:12">
      <c r="B18" s="358"/>
      <c r="C18" s="358"/>
      <c r="D18" s="358"/>
      <c r="E18" s="358"/>
      <c r="F18" s="358"/>
      <c r="G18" s="358"/>
      <c r="H18" s="358"/>
      <c r="I18" s="358"/>
      <c r="J18" s="358"/>
      <c r="K18" s="358"/>
      <c r="L18" s="358"/>
    </row>
    <row r="19" spans="2:12">
      <c r="B19" s="358" t="s">
        <v>378</v>
      </c>
      <c r="C19" s="358"/>
      <c r="D19" s="358"/>
      <c r="E19" s="358"/>
      <c r="F19" s="358"/>
      <c r="G19" s="358"/>
      <c r="H19" s="358"/>
      <c r="I19" s="358"/>
      <c r="J19" s="358"/>
      <c r="K19" s="358"/>
      <c r="L19" s="358"/>
    </row>
    <row r="20" spans="2:12">
      <c r="B20" s="358"/>
      <c r="C20" s="358"/>
      <c r="D20" s="358"/>
      <c r="E20" s="358"/>
      <c r="F20" s="358"/>
      <c r="G20" s="358"/>
      <c r="H20" s="358"/>
      <c r="I20" s="358"/>
      <c r="J20" s="358"/>
      <c r="K20" s="358"/>
      <c r="L20" s="358"/>
    </row>
    <row r="21" spans="2:12">
      <c r="B21" s="359" t="s">
        <v>379</v>
      </c>
      <c r="C21" s="359"/>
      <c r="D21" s="359"/>
      <c r="E21" s="359"/>
      <c r="F21" s="359"/>
      <c r="G21" s="359"/>
      <c r="H21" s="359"/>
      <c r="I21" s="358"/>
      <c r="J21" s="358"/>
      <c r="K21" s="358"/>
      <c r="L21" s="358"/>
    </row>
    <row r="22" spans="2:12">
      <c r="B22" s="359" t="s">
        <v>380</v>
      </c>
      <c r="C22" s="359"/>
      <c r="D22" s="359"/>
      <c r="E22" s="359"/>
      <c r="F22" s="359"/>
      <c r="G22" s="359"/>
      <c r="H22" s="359"/>
      <c r="I22" s="358"/>
      <c r="J22" s="358"/>
      <c r="K22" s="358"/>
      <c r="L22" s="358"/>
    </row>
    <row r="23" spans="2:12">
      <c r="B23" s="359" t="s">
        <v>381</v>
      </c>
      <c r="C23" s="359"/>
      <c r="D23" s="359"/>
      <c r="E23" s="359"/>
      <c r="F23" s="359"/>
      <c r="G23" s="359"/>
      <c r="H23" s="359"/>
      <c r="I23" s="358"/>
      <c r="J23" s="358"/>
      <c r="K23" s="358"/>
      <c r="L23" s="358"/>
    </row>
    <row r="24" spans="2:12">
      <c r="B24" s="358"/>
      <c r="C24" s="358"/>
      <c r="D24" s="358"/>
      <c r="E24" s="358"/>
      <c r="F24" s="358"/>
      <c r="G24" s="358"/>
      <c r="H24" s="358"/>
      <c r="I24" s="358"/>
      <c r="J24" s="358"/>
      <c r="K24" s="358"/>
      <c r="L24" s="358"/>
    </row>
    <row r="25" spans="2:12">
      <c r="B25" s="358"/>
      <c r="C25" s="358"/>
      <c r="D25" s="358"/>
      <c r="E25" s="358"/>
      <c r="F25" s="358"/>
      <c r="G25" s="358"/>
      <c r="H25" s="358"/>
      <c r="I25" s="358"/>
      <c r="J25" s="358"/>
      <c r="K25" s="358"/>
      <c r="L25" s="358"/>
    </row>
    <row r="26" spans="2:12">
      <c r="B26" s="359" t="s">
        <v>382</v>
      </c>
      <c r="C26" s="359"/>
      <c r="D26" s="359"/>
      <c r="E26" s="359"/>
      <c r="F26" s="359"/>
      <c r="G26" s="359"/>
      <c r="H26" s="359"/>
      <c r="I26" s="359"/>
      <c r="J26" s="359"/>
      <c r="K26" s="358"/>
      <c r="L26" s="358"/>
    </row>
    <row r="27" spans="2:12">
      <c r="B27" s="358"/>
      <c r="C27" s="358"/>
      <c r="D27" s="358"/>
      <c r="E27" s="358"/>
      <c r="F27" s="358"/>
      <c r="G27" s="358"/>
      <c r="H27" s="358"/>
      <c r="I27" s="358"/>
      <c r="J27" s="358"/>
      <c r="K27" s="358"/>
      <c r="L27" s="358"/>
    </row>
    <row r="28" spans="2:12">
      <c r="B28" s="360" t="s">
        <v>383</v>
      </c>
      <c r="C28" s="360"/>
      <c r="D28" s="360"/>
      <c r="E28" s="360"/>
      <c r="F28" s="360"/>
      <c r="G28" s="358"/>
      <c r="H28" s="358"/>
      <c r="I28" s="358"/>
      <c r="J28" s="358"/>
      <c r="K28" s="358"/>
      <c r="L28" s="358"/>
    </row>
    <row r="29" spans="2:12">
      <c r="B29" s="361"/>
      <c r="C29" s="361"/>
      <c r="D29" s="361"/>
      <c r="E29" s="361"/>
      <c r="F29" s="361"/>
      <c r="G29" s="358"/>
      <c r="H29" s="358"/>
      <c r="I29" s="358"/>
      <c r="J29" s="358"/>
      <c r="K29" s="358"/>
      <c r="L29" s="358"/>
    </row>
    <row r="30" spans="2:12">
      <c r="B30" s="358" t="s">
        <v>378</v>
      </c>
      <c r="C30" s="358"/>
      <c r="D30" s="358"/>
      <c r="E30" s="358"/>
      <c r="F30" s="358"/>
      <c r="G30" s="358"/>
      <c r="H30" s="358"/>
      <c r="I30" s="358"/>
      <c r="J30" s="358"/>
      <c r="K30" s="358"/>
      <c r="L30" s="358"/>
    </row>
    <row r="31" spans="2:12">
      <c r="B31" s="359" t="s">
        <v>384</v>
      </c>
      <c r="C31" s="359"/>
      <c r="D31" s="359"/>
      <c r="E31" s="359"/>
      <c r="F31" s="359"/>
      <c r="G31" s="359"/>
      <c r="H31" s="359"/>
      <c r="I31" s="358"/>
      <c r="J31" s="358"/>
      <c r="K31" s="358"/>
      <c r="L31" s="358"/>
    </row>
    <row r="32" spans="2:12">
      <c r="B32" s="359" t="s">
        <v>385</v>
      </c>
      <c r="C32" s="359"/>
      <c r="D32" s="359"/>
      <c r="E32" s="359"/>
      <c r="F32" s="359"/>
      <c r="G32" s="359"/>
      <c r="H32" s="359"/>
      <c r="I32" s="358"/>
      <c r="J32" s="358"/>
      <c r="K32" s="358"/>
      <c r="L32" s="358"/>
    </row>
    <row r="33" spans="2:21">
      <c r="B33" s="359" t="s">
        <v>386</v>
      </c>
      <c r="C33" s="359"/>
      <c r="D33" s="359"/>
      <c r="E33" s="359"/>
      <c r="F33" s="359"/>
      <c r="G33" s="359"/>
      <c r="H33" s="359"/>
      <c r="I33" s="358"/>
      <c r="J33" s="358"/>
      <c r="K33" s="358"/>
      <c r="L33" s="358"/>
    </row>
    <row r="34" spans="2:21">
      <c r="B34" s="358"/>
      <c r="C34" s="358"/>
      <c r="D34" s="358"/>
      <c r="E34" s="358"/>
      <c r="F34" s="358"/>
      <c r="G34" s="358"/>
      <c r="H34" s="358"/>
      <c r="I34" s="358"/>
      <c r="J34" s="358"/>
      <c r="K34" s="358"/>
      <c r="L34" s="358"/>
    </row>
    <row r="35" spans="2:21">
      <c r="B35" s="358"/>
      <c r="C35" s="358"/>
      <c r="D35" s="358"/>
      <c r="E35" s="358"/>
      <c r="F35" s="358"/>
      <c r="G35" s="358"/>
      <c r="H35" s="358"/>
      <c r="I35" s="358"/>
      <c r="J35" s="358"/>
      <c r="K35" s="358"/>
      <c r="L35" s="358"/>
    </row>
    <row r="36" spans="2:21">
      <c r="B36" s="280"/>
      <c r="C36" s="280"/>
      <c r="D36" s="280"/>
      <c r="E36" s="280"/>
      <c r="F36" s="280"/>
      <c r="G36" s="280"/>
      <c r="H36" s="280"/>
      <c r="I36" s="280"/>
      <c r="J36" s="280"/>
      <c r="K36" s="280"/>
      <c r="L36" s="280"/>
      <c r="M36" s="280"/>
      <c r="N36" s="280"/>
      <c r="O36" s="280"/>
      <c r="P36" s="280"/>
      <c r="Q36" s="280"/>
      <c r="R36" s="280"/>
      <c r="S36" s="280"/>
      <c r="T36" s="280"/>
    </row>
    <row r="37" spans="2:21">
      <c r="B37" s="280"/>
      <c r="C37" s="280"/>
      <c r="D37" s="280"/>
      <c r="E37" s="280"/>
      <c r="F37" s="280"/>
      <c r="G37" s="280"/>
      <c r="H37" s="280"/>
      <c r="I37" s="280"/>
      <c r="J37" s="280"/>
      <c r="K37" s="280"/>
      <c r="L37" s="280"/>
      <c r="M37" s="280"/>
      <c r="N37" s="280"/>
      <c r="O37" s="280"/>
      <c r="P37" s="280"/>
      <c r="Q37" s="280"/>
      <c r="R37" s="280"/>
      <c r="S37" s="280"/>
      <c r="T37" s="280"/>
    </row>
    <row r="38" spans="2:21" ht="18.75">
      <c r="B38" s="981" t="s">
        <v>387</v>
      </c>
      <c r="C38" s="981"/>
      <c r="D38" s="280"/>
      <c r="E38" s="280"/>
      <c r="F38" s="280"/>
      <c r="G38" s="280"/>
      <c r="H38" s="280"/>
      <c r="I38" s="280"/>
      <c r="J38" s="280"/>
      <c r="K38" s="280"/>
      <c r="L38" s="280"/>
      <c r="M38" s="280"/>
      <c r="N38" s="280"/>
      <c r="O38" s="280"/>
      <c r="P38" s="280"/>
      <c r="Q38" s="280"/>
      <c r="R38" s="280"/>
      <c r="S38" s="280"/>
      <c r="T38" s="280"/>
    </row>
    <row r="39" spans="2:21" ht="16.5" thickBot="1">
      <c r="B39" s="280"/>
      <c r="C39" s="280"/>
      <c r="D39" s="280"/>
      <c r="E39" s="280"/>
      <c r="F39" s="280"/>
      <c r="G39" s="280"/>
      <c r="H39" s="280"/>
      <c r="I39" s="280"/>
      <c r="J39" s="280"/>
      <c r="K39" s="280"/>
      <c r="L39" s="280"/>
      <c r="M39" s="280"/>
      <c r="N39" s="280"/>
      <c r="O39" s="280"/>
      <c r="P39" s="280"/>
      <c r="Q39" s="280"/>
      <c r="R39" s="280"/>
      <c r="S39" s="280"/>
      <c r="T39" s="280"/>
    </row>
    <row r="40" spans="2:21" ht="19.5" thickBot="1">
      <c r="B40" s="972" t="s">
        <v>388</v>
      </c>
      <c r="C40" s="972"/>
      <c r="D40" s="362">
        <f>'[1]Razones Financieras'!C6</f>
        <v>2017</v>
      </c>
      <c r="E40" s="362">
        <f>'[1]Razones Financieras'!D6</f>
        <v>2018</v>
      </c>
      <c r="F40" s="362">
        <f>'[1]Razones Financieras'!E6</f>
        <v>2019</v>
      </c>
      <c r="G40" s="362">
        <f>'[1]Razones Financieras'!F6</f>
        <v>2020</v>
      </c>
      <c r="H40" s="362">
        <f>'[1]Razones Financieras'!G6</f>
        <v>2021</v>
      </c>
      <c r="I40" s="280"/>
      <c r="J40" s="965" t="s">
        <v>389</v>
      </c>
      <c r="K40" s="966"/>
      <c r="L40" s="966"/>
      <c r="M40" s="966"/>
      <c r="N40" s="966"/>
      <c r="O40" s="966"/>
      <c r="P40" s="966"/>
      <c r="Q40" s="966"/>
      <c r="R40" s="966"/>
      <c r="S40" s="966"/>
      <c r="T40" s="967"/>
      <c r="U40" s="363" t="s">
        <v>390</v>
      </c>
    </row>
    <row r="41" spans="2:21">
      <c r="B41" s="953" t="s">
        <v>391</v>
      </c>
      <c r="C41" s="953"/>
      <c r="D41" s="364">
        <f>+Proyecciones!F42</f>
        <v>831765.94400000002</v>
      </c>
      <c r="E41" s="364">
        <f>+Proyecciones!G42</f>
        <v>632574.95200000005</v>
      </c>
      <c r="F41" s="364">
        <f>+Proyecciones!H42</f>
        <v>602316.99699999997</v>
      </c>
      <c r="G41" s="364">
        <f>+Proyecciones!I42</f>
        <v>708724.04</v>
      </c>
      <c r="H41" s="364">
        <f>+Proyecciones!J42</f>
        <v>705883.73600000003</v>
      </c>
      <c r="I41" s="280"/>
      <c r="J41" s="968" t="s">
        <v>392</v>
      </c>
      <c r="K41" s="969"/>
      <c r="L41" s="970" t="s">
        <v>393</v>
      </c>
      <c r="M41" s="970"/>
      <c r="N41" s="970"/>
      <c r="O41" s="970"/>
      <c r="P41" s="970"/>
      <c r="Q41" s="970"/>
      <c r="R41" s="970"/>
      <c r="S41" s="970"/>
      <c r="T41" s="971"/>
      <c r="U41" s="355" t="s">
        <v>394</v>
      </c>
    </row>
    <row r="42" spans="2:21">
      <c r="B42" s="953" t="s">
        <v>395</v>
      </c>
      <c r="C42" s="953"/>
      <c r="D42" s="364">
        <f>+Proyecciones!F47</f>
        <v>1172264.5150000001</v>
      </c>
      <c r="E42" s="364">
        <f>+Proyecciones!G47</f>
        <v>1384963.1740000001</v>
      </c>
      <c r="F42" s="364">
        <f>+Proyecciones!H47</f>
        <v>1098404.183</v>
      </c>
      <c r="G42" s="364">
        <f>+Proyecciones!I47</f>
        <v>1358052.1520000002</v>
      </c>
      <c r="H42" s="364">
        <f>+Proyecciones!J47</f>
        <v>1685927.0279999999</v>
      </c>
      <c r="I42" s="280"/>
      <c r="J42" s="961" t="s">
        <v>396</v>
      </c>
      <c r="K42" s="962"/>
      <c r="L42" s="963" t="s">
        <v>397</v>
      </c>
      <c r="M42" s="963"/>
      <c r="N42" s="963"/>
      <c r="O42" s="963"/>
      <c r="P42" s="963"/>
      <c r="Q42" s="963"/>
      <c r="R42" s="963"/>
      <c r="S42" s="963"/>
      <c r="T42" s="964"/>
      <c r="U42" s="355" t="s">
        <v>398</v>
      </c>
    </row>
    <row r="43" spans="2:21">
      <c r="B43" s="953" t="s">
        <v>399</v>
      </c>
      <c r="C43" s="953"/>
      <c r="D43" s="364">
        <f>+Proyecciones!F56</f>
        <v>919871.55900000001</v>
      </c>
      <c r="E43" s="364">
        <f>+Proyecciones!G56</f>
        <v>1009942.4749999999</v>
      </c>
      <c r="F43" s="364">
        <f>+Proyecciones!H56</f>
        <v>615196.15800000005</v>
      </c>
      <c r="G43" s="364">
        <f>+Proyecciones!I56</f>
        <v>849411.33199999994</v>
      </c>
      <c r="H43" s="364">
        <f>+Proyecciones!J56</f>
        <v>1210297.0159999998</v>
      </c>
      <c r="I43" s="280"/>
      <c r="J43" s="961" t="s">
        <v>400</v>
      </c>
      <c r="K43" s="962"/>
      <c r="L43" s="963" t="s">
        <v>401</v>
      </c>
      <c r="M43" s="963"/>
      <c r="N43" s="963"/>
      <c r="O43" s="963"/>
      <c r="P43" s="963"/>
      <c r="Q43" s="963"/>
      <c r="R43" s="963"/>
      <c r="S43" s="963"/>
      <c r="T43" s="964"/>
    </row>
    <row r="44" spans="2:21">
      <c r="B44" s="953" t="s">
        <v>12</v>
      </c>
      <c r="C44" s="953"/>
      <c r="D44" s="364">
        <f>+'Cifras Historicas'!G75</f>
        <v>252392.95600000001</v>
      </c>
      <c r="E44" s="364">
        <f>+'Cifras Historicas'!H75</f>
        <v>375020.69900000002</v>
      </c>
      <c r="F44" s="364">
        <f>+'Cifras Historicas'!I75</f>
        <v>483208.02499999997</v>
      </c>
      <c r="G44" s="364">
        <f>+'Cifras Historicas'!J75</f>
        <v>508640.81999999995</v>
      </c>
      <c r="H44" s="364">
        <f>+'Cifras Historicas'!K75</f>
        <v>475630.01199999993</v>
      </c>
      <c r="I44" s="280"/>
      <c r="J44" s="961" t="s">
        <v>402</v>
      </c>
      <c r="K44" s="962"/>
      <c r="L44" s="963" t="s">
        <v>403</v>
      </c>
      <c r="M44" s="963"/>
      <c r="N44" s="963"/>
      <c r="O44" s="963"/>
      <c r="P44" s="963"/>
      <c r="Q44" s="963"/>
      <c r="R44" s="963"/>
      <c r="S44" s="963"/>
      <c r="T44" s="964"/>
    </row>
    <row r="45" spans="2:21">
      <c r="B45" s="953" t="s">
        <v>404</v>
      </c>
      <c r="C45" s="953"/>
      <c r="D45" s="364">
        <f>+'Cifras Historicas'!G71+'Cifras Historicas'!G72+'Cifras Historicas'!G73+'Cifras Historicas'!G74</f>
        <v>252992.242</v>
      </c>
      <c r="E45" s="364">
        <f>+'Cifras Historicas'!H71+'Cifras Historicas'!H72+'Cifras Historicas'!H73+'Cifras Historicas'!H74</f>
        <v>375619.98499999999</v>
      </c>
      <c r="F45" s="364">
        <f>+'Cifras Historicas'!I71+'Cifras Historicas'!I72+'Cifras Historicas'!I73+'Cifras Historicas'!I74</f>
        <v>483807.31099999999</v>
      </c>
      <c r="G45" s="364">
        <f>+'Cifras Historicas'!J71+'Cifras Historicas'!J72+'Cifras Historicas'!J73+'Cifras Historicas'!J74</f>
        <v>509240.10600000003</v>
      </c>
      <c r="H45" s="364">
        <f>+'Cifras Historicas'!K71+'Cifras Historicas'!K72+'Cifras Historicas'!K73+'Cifras Historicas'!K74</f>
        <v>476229.29799999995</v>
      </c>
      <c r="I45" s="280"/>
      <c r="J45" s="961" t="s">
        <v>405</v>
      </c>
      <c r="K45" s="962"/>
      <c r="L45" s="963" t="s">
        <v>406</v>
      </c>
      <c r="M45" s="963"/>
      <c r="N45" s="963"/>
      <c r="O45" s="963"/>
      <c r="P45" s="963"/>
      <c r="Q45" s="963"/>
      <c r="R45" s="963"/>
      <c r="S45" s="963"/>
      <c r="T45" s="964"/>
    </row>
    <row r="46" spans="2:21">
      <c r="B46" s="953" t="s">
        <v>407</v>
      </c>
      <c r="C46" s="953"/>
      <c r="D46" s="364">
        <f>+Proyecciones!F105</f>
        <v>41144.269999999946</v>
      </c>
      <c r="E46" s="364">
        <f>+Proyecciones!G105</f>
        <v>-54624.787000000375</v>
      </c>
      <c r="F46" s="364">
        <f>+Proyecciones!H105</f>
        <v>73258.475999999268</v>
      </c>
      <c r="G46" s="364">
        <f>+Proyecciones!I105</f>
        <v>59612.795999999689</v>
      </c>
      <c r="H46" s="364">
        <f>+Proyecciones!J105</f>
        <v>150913.56400000007</v>
      </c>
      <c r="I46" s="280"/>
      <c r="J46" s="961" t="s">
        <v>408</v>
      </c>
      <c r="K46" s="962"/>
      <c r="L46" s="963" t="s">
        <v>409</v>
      </c>
      <c r="M46" s="963"/>
      <c r="N46" s="963"/>
      <c r="O46" s="963"/>
      <c r="P46" s="963"/>
      <c r="Q46" s="963"/>
      <c r="R46" s="963"/>
      <c r="S46" s="963"/>
      <c r="T46" s="964"/>
      <c r="U46" s="355" t="s">
        <v>410</v>
      </c>
    </row>
    <row r="47" spans="2:21" ht="16.5" thickBot="1">
      <c r="B47" s="953" t="s">
        <v>26</v>
      </c>
      <c r="C47" s="953"/>
      <c r="D47" s="364">
        <f>+'Cifras Historicas'!G87</f>
        <v>5437074.3200000003</v>
      </c>
      <c r="E47" s="364">
        <f>+'Cifras Historicas'!H87</f>
        <v>5760384.8439999996</v>
      </c>
      <c r="F47" s="364">
        <f>+'Cifras Historicas'!I87</f>
        <v>5973143.3619999997</v>
      </c>
      <c r="G47" s="364">
        <f>+'Cifras Historicas'!J87</f>
        <v>4665256.33</v>
      </c>
      <c r="H47" s="364">
        <f>+'Cifras Historicas'!K87</f>
        <v>6088081.801</v>
      </c>
      <c r="I47" s="280"/>
      <c r="J47" s="954" t="s">
        <v>411</v>
      </c>
      <c r="K47" s="955"/>
      <c r="L47" s="956" t="s">
        <v>412</v>
      </c>
      <c r="M47" s="956"/>
      <c r="N47" s="956"/>
      <c r="O47" s="956"/>
      <c r="P47" s="956"/>
      <c r="Q47" s="956"/>
      <c r="R47" s="956"/>
      <c r="S47" s="956"/>
      <c r="T47" s="957"/>
      <c r="U47" s="355" t="s">
        <v>413</v>
      </c>
    </row>
    <row r="48" spans="2:21">
      <c r="B48" s="365"/>
      <c r="C48" s="365"/>
      <c r="D48" s="365"/>
      <c r="E48" s="365"/>
      <c r="F48" s="365"/>
      <c r="G48" s="365"/>
      <c r="H48" s="365"/>
      <c r="I48" s="280"/>
      <c r="J48" s="366" t="s">
        <v>367</v>
      </c>
      <c r="K48" s="367" t="s">
        <v>414</v>
      </c>
      <c r="L48" s="368"/>
      <c r="M48" s="368"/>
      <c r="N48" s="368"/>
      <c r="O48" s="280"/>
      <c r="P48" s="280"/>
      <c r="Q48" s="280"/>
      <c r="R48" s="280"/>
      <c r="S48" s="280"/>
      <c r="T48" s="280"/>
    </row>
    <row r="49" spans="2:20">
      <c r="B49" s="958" t="s">
        <v>415</v>
      </c>
      <c r="C49" s="959"/>
      <c r="D49" s="369">
        <f>+$K$49*(D41/D42)</f>
        <v>0.85144531803899215</v>
      </c>
      <c r="E49" s="369">
        <f t="shared" ref="E49:H49" si="0">+$K$49*(E41/E42)</f>
        <v>0.54809395415736872</v>
      </c>
      <c r="F49" s="369">
        <f t="shared" si="0"/>
        <v>0.65802771656050763</v>
      </c>
      <c r="G49" s="369">
        <f t="shared" si="0"/>
        <v>0.62624167028307165</v>
      </c>
      <c r="H49" s="369">
        <f t="shared" si="0"/>
        <v>0.50243009877174827</v>
      </c>
      <c r="I49" s="280"/>
      <c r="J49" s="364" t="s">
        <v>368</v>
      </c>
      <c r="K49" s="370">
        <v>1.2</v>
      </c>
      <c r="L49" s="280"/>
      <c r="M49" s="280"/>
      <c r="N49" s="280"/>
      <c r="O49" s="280"/>
      <c r="P49" s="280"/>
      <c r="Q49" s="280"/>
      <c r="R49" s="280"/>
      <c r="S49" s="280"/>
      <c r="T49" s="280"/>
    </row>
    <row r="50" spans="2:20">
      <c r="B50" s="958" t="s">
        <v>416</v>
      </c>
      <c r="C50" s="959"/>
      <c r="D50" s="369">
        <f t="shared" ref="D50:H50" si="1">+$K$50*(D45/D42)</f>
        <v>0.3021409709736031</v>
      </c>
      <c r="E50" s="369">
        <f t="shared" si="1"/>
        <v>0.37969816733914108</v>
      </c>
      <c r="F50" s="369">
        <f t="shared" si="1"/>
        <v>0.61664935902743179</v>
      </c>
      <c r="G50" s="369">
        <f t="shared" si="1"/>
        <v>0.52496963931028762</v>
      </c>
      <c r="H50" s="369">
        <f t="shared" si="1"/>
        <v>0.39546255924903528</v>
      </c>
      <c r="I50" s="280"/>
      <c r="J50" s="364" t="s">
        <v>370</v>
      </c>
      <c r="K50" s="370">
        <v>1.4</v>
      </c>
      <c r="L50" s="280"/>
      <c r="M50" s="280"/>
      <c r="N50" s="280"/>
      <c r="O50" s="280"/>
      <c r="P50" s="280"/>
      <c r="Q50" s="280"/>
      <c r="R50" s="280"/>
      <c r="S50" s="280"/>
      <c r="T50" s="280"/>
    </row>
    <row r="51" spans="2:20">
      <c r="B51" s="958" t="s">
        <v>417</v>
      </c>
      <c r="C51" s="959"/>
      <c r="D51" s="369">
        <f t="shared" ref="D51:H51" si="2">+$K$51*(D46/D42)</f>
        <v>0.11582376610623567</v>
      </c>
      <c r="E51" s="369">
        <f t="shared" si="2"/>
        <v>-0.13015638284401143</v>
      </c>
      <c r="F51" s="369">
        <f t="shared" si="2"/>
        <v>0.22009472882715486</v>
      </c>
      <c r="G51" s="369">
        <f t="shared" si="2"/>
        <v>0.14485616514085015</v>
      </c>
      <c r="H51" s="369">
        <f t="shared" si="2"/>
        <v>0.29539520568146455</v>
      </c>
      <c r="I51" s="280"/>
      <c r="J51" s="364" t="s">
        <v>372</v>
      </c>
      <c r="K51" s="370">
        <v>3.3</v>
      </c>
      <c r="L51" s="280"/>
      <c r="M51" s="280"/>
      <c r="N51" s="280"/>
      <c r="O51" s="280"/>
      <c r="P51" s="280"/>
      <c r="Q51" s="280"/>
      <c r="R51" s="280"/>
      <c r="S51" s="280"/>
      <c r="T51" s="280"/>
    </row>
    <row r="52" spans="2:20">
      <c r="B52" s="958" t="s">
        <v>418</v>
      </c>
      <c r="C52" s="959"/>
      <c r="D52" s="369">
        <f t="shared" ref="D52:H52" si="3">+$K$52*(D44/D43)</f>
        <v>0.16462708529071937</v>
      </c>
      <c r="E52" s="369">
        <f t="shared" si="3"/>
        <v>0.22279726318075693</v>
      </c>
      <c r="F52" s="369">
        <f t="shared" si="3"/>
        <v>0.47127214828932651</v>
      </c>
      <c r="G52" s="369">
        <f t="shared" si="3"/>
        <v>0.35928940491224803</v>
      </c>
      <c r="H52" s="369">
        <f t="shared" si="3"/>
        <v>0.23579171346151612</v>
      </c>
      <c r="I52" s="280"/>
      <c r="J52" s="364" t="s">
        <v>374</v>
      </c>
      <c r="K52" s="370">
        <v>0.6</v>
      </c>
      <c r="L52" s="280"/>
      <c r="M52" s="280"/>
      <c r="N52" s="280"/>
      <c r="O52" s="280"/>
      <c r="P52" s="280"/>
      <c r="Q52" s="280"/>
      <c r="R52" s="280"/>
      <c r="S52" s="280"/>
      <c r="T52" s="280"/>
    </row>
    <row r="53" spans="2:20">
      <c r="B53" s="958" t="s">
        <v>419</v>
      </c>
      <c r="C53" s="959"/>
      <c r="D53" s="369">
        <f t="shared" ref="D53:H53" si="4">+$K$53*(D47/D42)</f>
        <v>4.6380951145655036</v>
      </c>
      <c r="E53" s="369">
        <f t="shared" si="4"/>
        <v>4.1592332216047785</v>
      </c>
      <c r="F53" s="369">
        <f t="shared" si="4"/>
        <v>5.4380194963259711</v>
      </c>
      <c r="G53" s="369">
        <f t="shared" si="4"/>
        <v>3.4352556513602868</v>
      </c>
      <c r="H53" s="369">
        <f t="shared" si="4"/>
        <v>3.6111182156099821</v>
      </c>
      <c r="I53" s="280"/>
      <c r="J53" s="364" t="s">
        <v>376</v>
      </c>
      <c r="K53" s="370">
        <v>1</v>
      </c>
      <c r="L53" s="280"/>
      <c r="M53" s="280"/>
      <c r="N53" s="280"/>
      <c r="O53" s="280"/>
      <c r="P53" s="280"/>
      <c r="Q53" s="280"/>
      <c r="R53" s="280"/>
      <c r="S53" s="280"/>
      <c r="T53" s="280"/>
    </row>
    <row r="54" spans="2:20">
      <c r="B54" s="280"/>
      <c r="C54" s="280"/>
      <c r="D54" s="280"/>
      <c r="E54" s="280"/>
      <c r="F54" s="280"/>
      <c r="G54" s="280"/>
      <c r="H54" s="280"/>
      <c r="I54" s="280"/>
      <c r="J54" s="280"/>
      <c r="K54" s="280"/>
      <c r="L54" s="280"/>
      <c r="M54" s="280"/>
      <c r="N54" s="280"/>
      <c r="O54" s="280"/>
      <c r="P54" s="280"/>
      <c r="Q54" s="280"/>
      <c r="R54" s="280"/>
      <c r="S54" s="280"/>
      <c r="T54" s="280"/>
    </row>
    <row r="55" spans="2:20">
      <c r="B55" s="371"/>
      <c r="C55" s="280"/>
      <c r="D55" s="372">
        <f>+SUM(D49:D53)</f>
        <v>6.0721322549750543</v>
      </c>
      <c r="E55" s="372">
        <f>+SUM(E49:E53)</f>
        <v>5.1796662234380335</v>
      </c>
      <c r="F55" s="372">
        <f t="shared" ref="F55:H55" si="5">+SUM(F49:F53)</f>
        <v>7.4040634490303923</v>
      </c>
      <c r="G55" s="372">
        <f t="shared" si="5"/>
        <v>5.0906125310067445</v>
      </c>
      <c r="H55" s="372">
        <f t="shared" si="5"/>
        <v>5.0401977927737462</v>
      </c>
      <c r="I55" s="280"/>
      <c r="J55" s="280"/>
      <c r="K55" s="280"/>
      <c r="L55" s="280"/>
      <c r="M55" s="280"/>
      <c r="N55" s="280"/>
      <c r="O55" s="280"/>
      <c r="P55" s="280"/>
      <c r="Q55" s="280"/>
      <c r="R55" s="280"/>
      <c r="S55" s="280"/>
      <c r="T55" s="280"/>
    </row>
    <row r="56" spans="2:20">
      <c r="B56" s="280"/>
      <c r="C56" s="280"/>
      <c r="D56" s="373" t="str">
        <f>LOOKUP(D55,$B$58:$B$60,$C$58:$C$60)</f>
        <v>Situación normal</v>
      </c>
      <c r="E56" s="373" t="str">
        <f t="shared" ref="E56:H56" si="6">LOOKUP(E55,$B$58:$B$60,$C$58:$C$60)</f>
        <v>Situación normal</v>
      </c>
      <c r="F56" s="373" t="str">
        <f t="shared" si="6"/>
        <v>Situación normal</v>
      </c>
      <c r="G56" s="373" t="str">
        <f t="shared" si="6"/>
        <v>Situación normal</v>
      </c>
      <c r="H56" s="373" t="str">
        <f t="shared" si="6"/>
        <v>Situación normal</v>
      </c>
      <c r="I56" s="280"/>
      <c r="J56" s="280"/>
      <c r="K56" s="280"/>
      <c r="L56" s="280"/>
      <c r="M56" s="280"/>
      <c r="N56" s="280"/>
      <c r="O56" s="280"/>
      <c r="P56" s="280"/>
      <c r="Q56" s="280"/>
      <c r="R56" s="280"/>
      <c r="S56" s="280"/>
      <c r="T56" s="280"/>
    </row>
    <row r="57" spans="2:20">
      <c r="B57" s="280"/>
      <c r="C57" s="280"/>
      <c r="D57" s="280"/>
      <c r="E57" s="280"/>
      <c r="F57" s="280"/>
      <c r="G57" s="280"/>
      <c r="H57" s="280"/>
      <c r="I57" s="280"/>
      <c r="J57" s="280"/>
      <c r="K57" s="280"/>
      <c r="L57" s="280"/>
      <c r="M57" s="280"/>
      <c r="N57" s="280"/>
      <c r="O57" s="280"/>
      <c r="P57" s="280"/>
      <c r="Q57" s="280"/>
      <c r="R57" s="280"/>
      <c r="S57" s="280"/>
      <c r="T57" s="280"/>
    </row>
    <row r="58" spans="2:20">
      <c r="B58" s="374">
        <v>0</v>
      </c>
      <c r="C58" s="375" t="s">
        <v>420</v>
      </c>
      <c r="D58" s="280"/>
      <c r="E58" s="280"/>
      <c r="F58" s="280"/>
      <c r="G58" s="280"/>
      <c r="H58" s="280"/>
      <c r="I58" s="280"/>
      <c r="J58" s="280"/>
      <c r="K58" s="280"/>
      <c r="L58" s="280"/>
      <c r="M58" s="280"/>
      <c r="N58" s="280"/>
      <c r="O58" s="280"/>
      <c r="P58" s="280"/>
      <c r="Q58" s="280"/>
      <c r="R58" s="280"/>
      <c r="S58" s="280"/>
      <c r="T58" s="280"/>
    </row>
    <row r="59" spans="2:20">
      <c r="B59" s="376">
        <v>1.81</v>
      </c>
      <c r="C59" s="377" t="s">
        <v>421</v>
      </c>
      <c r="D59" s="280"/>
      <c r="E59" s="280"/>
      <c r="F59" s="280"/>
      <c r="G59" s="280"/>
      <c r="H59" s="280"/>
      <c r="I59" s="280"/>
      <c r="J59" s="280"/>
      <c r="K59" s="280"/>
      <c r="L59" s="280"/>
      <c r="M59" s="280"/>
      <c r="N59" s="280"/>
      <c r="O59" s="280"/>
      <c r="P59" s="280"/>
      <c r="Q59" s="280"/>
      <c r="R59" s="280"/>
      <c r="S59" s="280"/>
      <c r="T59" s="280"/>
    </row>
    <row r="60" spans="2:20">
      <c r="B60" s="378">
        <v>2.99</v>
      </c>
      <c r="C60" s="379" t="s">
        <v>422</v>
      </c>
      <c r="D60" s="280"/>
      <c r="E60" s="280"/>
      <c r="F60" s="280"/>
      <c r="G60" s="280"/>
      <c r="H60" s="280"/>
      <c r="I60" s="280"/>
      <c r="J60" s="280"/>
      <c r="K60" s="280"/>
      <c r="L60" s="280"/>
      <c r="M60" s="280"/>
      <c r="N60" s="280"/>
      <c r="O60" s="280"/>
      <c r="P60" s="280"/>
      <c r="Q60" s="280"/>
      <c r="R60" s="280"/>
      <c r="S60" s="280"/>
      <c r="T60" s="280"/>
    </row>
    <row r="61" spans="2:20">
      <c r="B61" s="280"/>
      <c r="C61" s="280"/>
      <c r="D61" s="280"/>
      <c r="E61" s="280"/>
      <c r="F61" s="280"/>
      <c r="G61" s="280"/>
      <c r="H61" s="280"/>
      <c r="I61" s="280"/>
      <c r="J61" s="280"/>
      <c r="K61" s="280"/>
      <c r="L61" s="280"/>
      <c r="M61" s="280"/>
      <c r="N61" s="280"/>
      <c r="O61" s="280"/>
      <c r="P61" s="280"/>
      <c r="Q61" s="280"/>
      <c r="R61" s="280"/>
      <c r="S61" s="280"/>
      <c r="T61" s="280"/>
    </row>
    <row r="62" spans="2:20">
      <c r="B62" s="280"/>
      <c r="C62" s="280"/>
      <c r="D62" s="280"/>
      <c r="E62" s="280"/>
      <c r="F62" s="280"/>
      <c r="G62" s="280"/>
      <c r="H62" s="280"/>
      <c r="I62" s="280"/>
      <c r="J62" s="280"/>
      <c r="K62" s="280"/>
      <c r="L62" s="280"/>
      <c r="M62" s="280"/>
      <c r="N62" s="280"/>
      <c r="O62" s="280"/>
      <c r="P62" s="280"/>
      <c r="Q62" s="280"/>
      <c r="R62" s="280"/>
      <c r="S62" s="280"/>
      <c r="T62" s="280"/>
    </row>
    <row r="63" spans="2:20">
      <c r="B63" s="280"/>
      <c r="C63" s="280"/>
      <c r="D63" s="380">
        <f>+B58</f>
        <v>0</v>
      </c>
      <c r="E63" s="380">
        <f>+D63</f>
        <v>0</v>
      </c>
      <c r="F63" s="380">
        <f t="shared" ref="F63:H65" si="7">+E63</f>
        <v>0</v>
      </c>
      <c r="G63" s="380">
        <f t="shared" si="7"/>
        <v>0</v>
      </c>
      <c r="H63" s="380">
        <f t="shared" si="7"/>
        <v>0</v>
      </c>
      <c r="I63" s="280"/>
      <c r="J63" s="280"/>
      <c r="K63" s="280"/>
      <c r="L63" s="280"/>
      <c r="M63" s="280"/>
      <c r="N63" s="280"/>
      <c r="O63" s="280"/>
      <c r="P63" s="280"/>
      <c r="Q63" s="280"/>
      <c r="R63" s="280"/>
      <c r="S63" s="280"/>
      <c r="T63" s="280"/>
    </row>
    <row r="64" spans="2:20">
      <c r="B64" s="280"/>
      <c r="C64" s="280"/>
      <c r="D64" s="381">
        <f>+B59</f>
        <v>1.81</v>
      </c>
      <c r="E64" s="381">
        <f>+D64</f>
        <v>1.81</v>
      </c>
      <c r="F64" s="381">
        <f t="shared" si="7"/>
        <v>1.81</v>
      </c>
      <c r="G64" s="381">
        <f t="shared" si="7"/>
        <v>1.81</v>
      </c>
      <c r="H64" s="381">
        <f t="shared" si="7"/>
        <v>1.81</v>
      </c>
      <c r="I64" s="280"/>
      <c r="J64" s="280"/>
      <c r="K64" s="280"/>
      <c r="L64" s="280"/>
      <c r="M64" s="280"/>
      <c r="N64" s="280"/>
      <c r="O64" s="280"/>
      <c r="P64" s="280"/>
      <c r="Q64" s="280"/>
      <c r="R64" s="280"/>
      <c r="S64" s="280"/>
      <c r="T64" s="280"/>
    </row>
    <row r="65" spans="2:20">
      <c r="B65" s="280"/>
      <c r="C65" s="280"/>
      <c r="D65" s="381">
        <f>+B60</f>
        <v>2.99</v>
      </c>
      <c r="E65" s="381">
        <f>+D65</f>
        <v>2.99</v>
      </c>
      <c r="F65" s="381">
        <f t="shared" si="7"/>
        <v>2.99</v>
      </c>
      <c r="G65" s="381">
        <f t="shared" si="7"/>
        <v>2.99</v>
      </c>
      <c r="H65" s="381">
        <f t="shared" si="7"/>
        <v>2.99</v>
      </c>
      <c r="I65" s="280"/>
      <c r="J65" s="280"/>
      <c r="K65" s="280"/>
      <c r="L65" s="280"/>
      <c r="M65" s="280"/>
      <c r="N65" s="280"/>
      <c r="O65" s="280"/>
      <c r="P65" s="280"/>
      <c r="Q65" s="280"/>
      <c r="R65" s="280"/>
      <c r="S65" s="280"/>
      <c r="T65" s="280"/>
    </row>
    <row r="66" spans="2:20">
      <c r="B66" s="280"/>
      <c r="C66" s="280"/>
      <c r="D66" s="381">
        <f>+D55</f>
        <v>6.0721322549750543</v>
      </c>
      <c r="E66" s="381">
        <f t="shared" ref="E66:H66" si="8">+E55</f>
        <v>5.1796662234380335</v>
      </c>
      <c r="F66" s="381">
        <f t="shared" si="8"/>
        <v>7.4040634490303923</v>
      </c>
      <c r="G66" s="381">
        <f t="shared" si="8"/>
        <v>5.0906125310067445</v>
      </c>
      <c r="H66" s="381">
        <f t="shared" si="8"/>
        <v>5.0401977927737462</v>
      </c>
      <c r="I66" s="280"/>
      <c r="J66" s="280"/>
      <c r="K66" s="280"/>
      <c r="L66" s="280"/>
      <c r="M66" s="280"/>
      <c r="N66" s="280"/>
      <c r="O66" s="280"/>
      <c r="P66" s="280"/>
      <c r="Q66" s="280"/>
      <c r="R66" s="280"/>
      <c r="S66" s="280"/>
      <c r="T66" s="280"/>
    </row>
    <row r="67" spans="2:20">
      <c r="B67" s="280"/>
      <c r="C67" s="280"/>
      <c r="D67" s="280"/>
      <c r="E67" s="280"/>
      <c r="F67" s="280"/>
      <c r="G67" s="280"/>
      <c r="H67" s="280"/>
      <c r="I67" s="280"/>
      <c r="J67" s="280"/>
      <c r="K67" s="280"/>
      <c r="L67" s="280"/>
      <c r="M67" s="280"/>
      <c r="N67" s="280"/>
      <c r="O67" s="280"/>
      <c r="P67" s="280"/>
      <c r="Q67" s="280"/>
      <c r="R67" s="280"/>
      <c r="S67" s="280"/>
      <c r="T67" s="280"/>
    </row>
    <row r="68" spans="2:20">
      <c r="B68" s="280"/>
      <c r="C68" s="280"/>
      <c r="D68" s="280"/>
      <c r="E68" s="280"/>
      <c r="F68" s="280"/>
      <c r="G68" s="280"/>
      <c r="H68" s="280"/>
      <c r="I68" s="280"/>
      <c r="J68" s="280"/>
      <c r="K68" s="280"/>
      <c r="L68" s="280"/>
      <c r="M68" s="280"/>
      <c r="N68" s="280"/>
      <c r="O68" s="280"/>
      <c r="P68" s="280"/>
      <c r="Q68" s="280"/>
      <c r="R68" s="280"/>
      <c r="S68" s="280"/>
      <c r="T68" s="280"/>
    </row>
    <row r="69" spans="2:20">
      <c r="B69" s="280"/>
      <c r="C69" s="280"/>
      <c r="D69" s="280"/>
      <c r="E69" s="280"/>
      <c r="F69" s="280"/>
      <c r="G69" s="280"/>
      <c r="H69" s="280"/>
      <c r="I69" s="280"/>
      <c r="J69" s="280"/>
      <c r="K69" s="280"/>
      <c r="L69" s="280"/>
      <c r="M69" s="280"/>
      <c r="N69" s="280"/>
      <c r="O69" s="280"/>
      <c r="P69" s="280"/>
      <c r="Q69" s="280"/>
      <c r="R69" s="280"/>
      <c r="S69" s="280"/>
      <c r="T69" s="280"/>
    </row>
    <row r="77" spans="2:20" s="382" customFormat="1"/>
    <row r="80" spans="2:20" ht="23.25">
      <c r="B80" s="960" t="s">
        <v>423</v>
      </c>
      <c r="C80" s="960"/>
      <c r="D80" s="1"/>
      <c r="E80" s="1"/>
      <c r="F80" s="1"/>
      <c r="G80" s="1"/>
      <c r="H80" s="1"/>
      <c r="I80" s="1"/>
      <c r="J80" s="1"/>
      <c r="K80" s="1"/>
      <c r="L80" s="1"/>
    </row>
    <row r="81" spans="2:12">
      <c r="B81" s="1"/>
      <c r="C81" s="1"/>
      <c r="D81" s="1"/>
      <c r="E81" s="1"/>
      <c r="F81" s="1"/>
      <c r="G81" s="1"/>
      <c r="H81" s="1"/>
      <c r="I81" s="1"/>
      <c r="J81" s="1"/>
      <c r="K81" s="1"/>
      <c r="L81" s="1"/>
    </row>
    <row r="82" spans="2:12" ht="23.25">
      <c r="B82" s="960" t="s">
        <v>388</v>
      </c>
      <c r="C82" s="960"/>
      <c r="D82" s="383">
        <f t="shared" ref="D82:H82" si="9">D40</f>
        <v>2017</v>
      </c>
      <c r="E82" s="383">
        <f t="shared" si="9"/>
        <v>2018</v>
      </c>
      <c r="F82" s="383">
        <f t="shared" si="9"/>
        <v>2019</v>
      </c>
      <c r="G82" s="383">
        <f t="shared" si="9"/>
        <v>2020</v>
      </c>
      <c r="H82" s="383">
        <f t="shared" si="9"/>
        <v>2021</v>
      </c>
      <c r="I82" s="1"/>
      <c r="J82" s="1"/>
      <c r="K82" s="1"/>
      <c r="L82" s="1"/>
    </row>
    <row r="83" spans="2:12">
      <c r="B83" s="952" t="s">
        <v>424</v>
      </c>
      <c r="C83" s="952"/>
      <c r="D83" s="364">
        <f>+D41</f>
        <v>831765.94400000002</v>
      </c>
      <c r="E83" s="364">
        <f t="shared" ref="E83:H83" si="10">+E41</f>
        <v>632574.95200000005</v>
      </c>
      <c r="F83" s="364">
        <f t="shared" si="10"/>
        <v>602316.99699999997</v>
      </c>
      <c r="G83" s="364">
        <f t="shared" si="10"/>
        <v>708724.04</v>
      </c>
      <c r="H83" s="364">
        <f t="shared" si="10"/>
        <v>705883.73600000003</v>
      </c>
      <c r="I83" s="1"/>
      <c r="J83" s="1"/>
      <c r="K83" s="1"/>
      <c r="L83" s="1"/>
    </row>
    <row r="84" spans="2:12">
      <c r="B84" s="952" t="s">
        <v>395</v>
      </c>
      <c r="C84" s="952"/>
      <c r="D84" s="364">
        <f>+D42</f>
        <v>1172264.5150000001</v>
      </c>
      <c r="E84" s="364">
        <f t="shared" ref="E84:H84" si="11">+E42</f>
        <v>1384963.1740000001</v>
      </c>
      <c r="F84" s="364">
        <f t="shared" si="11"/>
        <v>1098404.183</v>
      </c>
      <c r="G84" s="364">
        <f t="shared" si="11"/>
        <v>1358052.1520000002</v>
      </c>
      <c r="H84" s="364">
        <f t="shared" si="11"/>
        <v>1685927.0279999999</v>
      </c>
      <c r="I84" s="1"/>
      <c r="J84" s="1"/>
      <c r="K84" s="1"/>
      <c r="L84" s="1"/>
    </row>
    <row r="85" spans="2:12">
      <c r="B85" s="952" t="s">
        <v>399</v>
      </c>
      <c r="C85" s="952"/>
      <c r="D85" s="364">
        <f>+D43</f>
        <v>919871.55900000001</v>
      </c>
      <c r="E85" s="364">
        <f t="shared" ref="E85:H85" si="12">+E43</f>
        <v>1009942.4749999999</v>
      </c>
      <c r="F85" s="364">
        <f t="shared" si="12"/>
        <v>615196.15800000005</v>
      </c>
      <c r="G85" s="364">
        <f t="shared" si="12"/>
        <v>849411.33199999994</v>
      </c>
      <c r="H85" s="364">
        <f t="shared" si="12"/>
        <v>1210297.0159999998</v>
      </c>
      <c r="I85" s="1"/>
      <c r="J85" s="1"/>
      <c r="K85" s="1"/>
      <c r="L85" s="1"/>
    </row>
    <row r="86" spans="2:12">
      <c r="B86" s="952" t="s">
        <v>12</v>
      </c>
      <c r="C86" s="952"/>
      <c r="D86" s="364">
        <f>+D44</f>
        <v>252392.95600000001</v>
      </c>
      <c r="E86" s="364">
        <f t="shared" ref="E86:H86" si="13">+E44</f>
        <v>375020.69900000002</v>
      </c>
      <c r="F86" s="364">
        <f t="shared" si="13"/>
        <v>483208.02499999997</v>
      </c>
      <c r="G86" s="364">
        <f t="shared" si="13"/>
        <v>508640.81999999995</v>
      </c>
      <c r="H86" s="364">
        <f t="shared" si="13"/>
        <v>475630.01199999993</v>
      </c>
      <c r="I86" s="1"/>
      <c r="J86" s="1"/>
      <c r="K86" s="1"/>
      <c r="L86" s="1"/>
    </row>
    <row r="87" spans="2:12">
      <c r="B87" s="952" t="s">
        <v>404</v>
      </c>
      <c r="C87" s="952"/>
      <c r="D87" s="364">
        <f>+D45</f>
        <v>252992.242</v>
      </c>
      <c r="E87" s="364">
        <f t="shared" ref="E87:H88" si="14">+E45</f>
        <v>375619.98499999999</v>
      </c>
      <c r="F87" s="364">
        <f t="shared" si="14"/>
        <v>483807.31099999999</v>
      </c>
      <c r="G87" s="364">
        <f t="shared" si="14"/>
        <v>509240.10600000003</v>
      </c>
      <c r="H87" s="364">
        <f t="shared" si="14"/>
        <v>476229.29799999995</v>
      </c>
      <c r="I87" s="1"/>
      <c r="J87" s="1"/>
      <c r="K87" s="1"/>
      <c r="L87" s="1"/>
    </row>
    <row r="88" spans="2:12">
      <c r="B88" s="952" t="s">
        <v>407</v>
      </c>
      <c r="C88" s="952"/>
      <c r="D88" s="364">
        <f t="shared" ref="D88" si="15">+D46</f>
        <v>41144.269999999946</v>
      </c>
      <c r="E88" s="364">
        <f t="shared" si="14"/>
        <v>-54624.787000000375</v>
      </c>
      <c r="F88" s="364">
        <f t="shared" si="14"/>
        <v>73258.475999999268</v>
      </c>
      <c r="G88" s="364">
        <f t="shared" si="14"/>
        <v>59612.795999999689</v>
      </c>
      <c r="H88" s="364">
        <f t="shared" si="14"/>
        <v>150913.56400000007</v>
      </c>
      <c r="I88" s="1"/>
      <c r="J88" s="1"/>
      <c r="K88" s="1"/>
      <c r="L88" s="1"/>
    </row>
    <row r="89" spans="2:12" ht="18.75">
      <c r="B89" s="384"/>
      <c r="C89" s="384"/>
      <c r="D89" s="384"/>
      <c r="E89" s="384"/>
      <c r="F89" s="384"/>
      <c r="G89" s="384"/>
      <c r="H89" s="384"/>
      <c r="I89" s="1"/>
      <c r="J89" s="385" t="s">
        <v>383</v>
      </c>
      <c r="K89" s="386" t="s">
        <v>414</v>
      </c>
      <c r="L89" s="387"/>
    </row>
    <row r="90" spans="2:12" ht="18.75">
      <c r="B90" s="950" t="s">
        <v>415</v>
      </c>
      <c r="C90" s="951"/>
      <c r="D90" s="388">
        <f>+$K$90*(D83/D84)</f>
        <v>4.6545677386131565</v>
      </c>
      <c r="E90" s="388">
        <f t="shared" ref="E90:H90" si="16">+$K$90*(E83/E84)</f>
        <v>2.9962469493936159</v>
      </c>
      <c r="F90" s="388">
        <f t="shared" si="16"/>
        <v>3.5972181838641082</v>
      </c>
      <c r="G90" s="388">
        <f t="shared" si="16"/>
        <v>3.4234544642141249</v>
      </c>
      <c r="H90" s="388">
        <f t="shared" si="16"/>
        <v>2.7466178732855573</v>
      </c>
      <c r="I90" s="1"/>
      <c r="J90" s="364" t="s">
        <v>368</v>
      </c>
      <c r="K90" s="144">
        <v>6.56</v>
      </c>
      <c r="L90" s="1"/>
    </row>
    <row r="91" spans="2:12" ht="18.75">
      <c r="B91" s="950" t="s">
        <v>416</v>
      </c>
      <c r="C91" s="951"/>
      <c r="D91" s="388">
        <f>+$K$91*(D87/D84)</f>
        <v>0.70355683240996159</v>
      </c>
      <c r="E91" s="388">
        <f t="shared" ref="E91:H91" si="17">+$K$91*(E87/E84)</f>
        <v>0.88415430394685701</v>
      </c>
      <c r="F91" s="388">
        <f t="shared" si="17"/>
        <v>1.4359120788781627</v>
      </c>
      <c r="G91" s="388">
        <f t="shared" si="17"/>
        <v>1.2224293029653841</v>
      </c>
      <c r="H91" s="388">
        <f t="shared" si="17"/>
        <v>0.92086281653703927</v>
      </c>
      <c r="I91" s="1"/>
      <c r="J91" s="364" t="s">
        <v>370</v>
      </c>
      <c r="K91" s="144">
        <v>3.26</v>
      </c>
      <c r="L91" s="1"/>
    </row>
    <row r="92" spans="2:12" ht="18.75">
      <c r="B92" s="950" t="s">
        <v>417</v>
      </c>
      <c r="C92" s="951"/>
      <c r="D92" s="388">
        <f>+$K$92*(D88/D84)</f>
        <v>0.23585930552542536</v>
      </c>
      <c r="E92" s="388">
        <f t="shared" ref="E92:H92" si="18">+$K$92*(E88/E84)</f>
        <v>-0.26504572506416874</v>
      </c>
      <c r="F92" s="388">
        <f t="shared" si="18"/>
        <v>0.44819290233893355</v>
      </c>
      <c r="G92" s="388">
        <f t="shared" si="18"/>
        <v>0.29497982719591304</v>
      </c>
      <c r="H92" s="388">
        <f t="shared" si="18"/>
        <v>0.60153205520589148</v>
      </c>
      <c r="I92" s="1"/>
      <c r="J92" s="364" t="s">
        <v>372</v>
      </c>
      <c r="K92" s="144">
        <v>6.72</v>
      </c>
      <c r="L92" s="1"/>
    </row>
    <row r="93" spans="2:12" ht="18.75">
      <c r="B93" s="950" t="s">
        <v>418</v>
      </c>
      <c r="C93" s="951"/>
      <c r="D93" s="388">
        <f>+$K$93*(D86/D85)</f>
        <v>0.28809739925875893</v>
      </c>
      <c r="E93" s="388">
        <f t="shared" ref="E93:H93" si="19">+$K$93*(E86/E85)</f>
        <v>0.38989521056632465</v>
      </c>
      <c r="F93" s="388">
        <f t="shared" si="19"/>
        <v>0.8247262595063215</v>
      </c>
      <c r="G93" s="388">
        <f t="shared" si="19"/>
        <v>0.62875645859643414</v>
      </c>
      <c r="H93" s="388">
        <f t="shared" si="19"/>
        <v>0.41263549855765325</v>
      </c>
      <c r="I93" s="1"/>
      <c r="J93" s="364" t="s">
        <v>374</v>
      </c>
      <c r="K93" s="144">
        <v>1.05</v>
      </c>
      <c r="L93" s="1"/>
    </row>
    <row r="94" spans="2:12">
      <c r="B94" s="1"/>
      <c r="C94" s="1"/>
      <c r="D94" s="1"/>
      <c r="E94" s="1"/>
      <c r="F94" s="1"/>
      <c r="G94" s="1"/>
      <c r="H94" s="1"/>
      <c r="I94" s="1"/>
      <c r="J94" s="1"/>
      <c r="K94" s="1"/>
      <c r="L94" s="1"/>
    </row>
    <row r="95" spans="2:12" ht="21">
      <c r="B95" s="389"/>
      <c r="C95" s="1"/>
      <c r="D95" s="390">
        <f>+SUM(D90:D93)</f>
        <v>5.8820812758073018</v>
      </c>
      <c r="E95" s="390">
        <f t="shared" ref="E95:H95" si="20">+SUM(E90:E93)</f>
        <v>4.0052507388426291</v>
      </c>
      <c r="F95" s="390">
        <f t="shared" si="20"/>
        <v>6.3060494245875258</v>
      </c>
      <c r="G95" s="390">
        <f t="shared" si="20"/>
        <v>5.5696200529718558</v>
      </c>
      <c r="H95" s="390">
        <f t="shared" si="20"/>
        <v>4.6816482435861406</v>
      </c>
      <c r="I95" s="1"/>
      <c r="J95" s="1"/>
      <c r="K95" s="1"/>
      <c r="L95" s="1"/>
    </row>
    <row r="96" spans="2:12">
      <c r="B96" s="1"/>
      <c r="C96" s="1"/>
      <c r="D96" s="391" t="str">
        <f t="shared" ref="D96:H96" si="21">LOOKUP(D95,$B$98:$B$100,$C$98:$C$100)</f>
        <v>Situación normal</v>
      </c>
      <c r="E96" s="391" t="str">
        <f t="shared" si="21"/>
        <v>Situación normal</v>
      </c>
      <c r="F96" s="391" t="str">
        <f t="shared" si="21"/>
        <v>Situación normal</v>
      </c>
      <c r="G96" s="391" t="str">
        <f t="shared" si="21"/>
        <v>Situación normal</v>
      </c>
      <c r="H96" s="391" t="str">
        <f t="shared" si="21"/>
        <v>Situación normal</v>
      </c>
      <c r="I96" s="1"/>
      <c r="J96" s="1"/>
      <c r="K96" s="1"/>
      <c r="L96" s="1"/>
    </row>
    <row r="97" spans="2:12">
      <c r="B97" s="1"/>
      <c r="C97" s="1"/>
      <c r="D97" s="1"/>
      <c r="E97" s="1"/>
      <c r="F97" s="1"/>
      <c r="G97" s="1"/>
      <c r="H97" s="1"/>
      <c r="I97" s="1"/>
      <c r="J97" s="1"/>
      <c r="K97" s="1"/>
      <c r="L97" s="1"/>
    </row>
    <row r="98" spans="2:12">
      <c r="B98" s="392">
        <v>0</v>
      </c>
      <c r="C98" s="393" t="s">
        <v>420</v>
      </c>
      <c r="D98" s="1"/>
      <c r="E98" s="1"/>
      <c r="F98" s="1"/>
      <c r="G98" s="1"/>
      <c r="H98" s="1"/>
      <c r="I98" s="1"/>
      <c r="J98" s="1"/>
      <c r="K98" s="1"/>
      <c r="L98" s="1"/>
    </row>
    <row r="99" spans="2:12">
      <c r="B99" s="394">
        <v>1</v>
      </c>
      <c r="C99" s="395" t="s">
        <v>421</v>
      </c>
      <c r="D99" s="1"/>
      <c r="E99" s="1"/>
      <c r="F99" s="1"/>
      <c r="G99" s="1"/>
      <c r="H99" s="1"/>
      <c r="I99" s="1"/>
      <c r="J99" s="1"/>
      <c r="K99" s="1"/>
      <c r="L99" s="1"/>
    </row>
    <row r="100" spans="2:12">
      <c r="B100" s="396">
        <v>2.6</v>
      </c>
      <c r="C100" s="397" t="s">
        <v>422</v>
      </c>
      <c r="D100" s="1"/>
      <c r="E100" s="1"/>
      <c r="F100" s="1"/>
      <c r="G100" s="1"/>
      <c r="H100" s="1"/>
      <c r="I100" s="1"/>
      <c r="J100" s="1"/>
      <c r="K100" s="1"/>
      <c r="L100" s="1"/>
    </row>
    <row r="101" spans="2:12">
      <c r="B101" s="1"/>
      <c r="C101" s="1"/>
      <c r="D101" s="1"/>
      <c r="E101" s="1"/>
      <c r="F101" s="1"/>
      <c r="G101" s="1"/>
      <c r="H101" s="1"/>
      <c r="I101" s="1"/>
      <c r="J101" s="1"/>
      <c r="K101" s="1"/>
      <c r="L101" s="1"/>
    </row>
    <row r="102" spans="2:12">
      <c r="B102" s="1"/>
      <c r="C102" s="1"/>
      <c r="D102" s="65">
        <f>+B98</f>
        <v>0</v>
      </c>
      <c r="E102" s="65">
        <f>+D102</f>
        <v>0</v>
      </c>
      <c r="F102" s="65">
        <f t="shared" ref="F102:H102" si="22">+E102</f>
        <v>0</v>
      </c>
      <c r="G102" s="65">
        <f t="shared" si="22"/>
        <v>0</v>
      </c>
      <c r="H102" s="65">
        <f t="shared" si="22"/>
        <v>0</v>
      </c>
      <c r="I102" s="1"/>
      <c r="J102" s="1"/>
      <c r="K102" s="1"/>
      <c r="L102" s="1"/>
    </row>
    <row r="103" spans="2:12">
      <c r="B103" s="1"/>
      <c r="C103" s="1"/>
      <c r="D103" s="65">
        <f>+B99</f>
        <v>1</v>
      </c>
      <c r="E103" s="65">
        <f t="shared" ref="E103:H104" si="23">+D103</f>
        <v>1</v>
      </c>
      <c r="F103" s="65">
        <f t="shared" si="23"/>
        <v>1</v>
      </c>
      <c r="G103" s="65">
        <f t="shared" si="23"/>
        <v>1</v>
      </c>
      <c r="H103" s="65">
        <f t="shared" si="23"/>
        <v>1</v>
      </c>
      <c r="I103" s="1"/>
      <c r="J103" s="1"/>
      <c r="K103" s="1"/>
      <c r="L103" s="1"/>
    </row>
    <row r="104" spans="2:12">
      <c r="B104" s="1"/>
      <c r="C104" s="1"/>
      <c r="D104" s="65">
        <f>+B100</f>
        <v>2.6</v>
      </c>
      <c r="E104" s="65">
        <f t="shared" si="23"/>
        <v>2.6</v>
      </c>
      <c r="F104" s="65">
        <f t="shared" si="23"/>
        <v>2.6</v>
      </c>
      <c r="G104" s="65">
        <f t="shared" si="23"/>
        <v>2.6</v>
      </c>
      <c r="H104" s="65">
        <f t="shared" si="23"/>
        <v>2.6</v>
      </c>
      <c r="I104" s="1"/>
      <c r="J104" s="1"/>
      <c r="K104" s="1"/>
      <c r="L104" s="1"/>
    </row>
    <row r="105" spans="2:12">
      <c r="B105" s="1"/>
      <c r="C105" s="1"/>
      <c r="D105" s="65">
        <f>+D95</f>
        <v>5.8820812758073018</v>
      </c>
      <c r="E105" s="65">
        <f t="shared" ref="E105:H105" si="24">+E95</f>
        <v>4.0052507388426291</v>
      </c>
      <c r="F105" s="65">
        <f t="shared" si="24"/>
        <v>6.3060494245875258</v>
      </c>
      <c r="G105" s="65">
        <f t="shared" si="24"/>
        <v>5.5696200529718558</v>
      </c>
      <c r="H105" s="65">
        <f t="shared" si="24"/>
        <v>4.6816482435861406</v>
      </c>
      <c r="I105" s="1"/>
      <c r="J105" s="1"/>
      <c r="K105" s="1"/>
      <c r="L105" s="1"/>
    </row>
    <row r="106" spans="2:12">
      <c r="B106" s="1"/>
      <c r="C106" s="1"/>
      <c r="D106" s="67"/>
      <c r="E106" s="67"/>
      <c r="F106" s="67"/>
      <c r="G106" s="67"/>
      <c r="H106" s="67"/>
      <c r="I106" s="1"/>
      <c r="J106" s="1"/>
      <c r="K106" s="1"/>
      <c r="L106" s="1"/>
    </row>
    <row r="107" spans="2:12">
      <c r="B107" s="1"/>
      <c r="C107" s="1"/>
      <c r="D107" s="1"/>
      <c r="E107" s="1"/>
      <c r="F107" s="1"/>
      <c r="G107" s="1"/>
      <c r="H107" s="1"/>
      <c r="I107" s="1"/>
      <c r="J107" s="1"/>
      <c r="K107" s="1"/>
      <c r="L107" s="1"/>
    </row>
    <row r="108" spans="2:12">
      <c r="B108" s="1"/>
      <c r="C108" s="1"/>
      <c r="D108" s="1"/>
      <c r="E108" s="1"/>
      <c r="F108" s="1"/>
      <c r="G108" s="1"/>
      <c r="H108" s="1"/>
      <c r="I108" s="1"/>
      <c r="J108" s="1"/>
      <c r="K108" s="1"/>
      <c r="L108" s="1"/>
    </row>
    <row r="109" spans="2:12">
      <c r="B109" s="1"/>
      <c r="C109" s="1"/>
      <c r="D109" s="1"/>
      <c r="E109" s="1"/>
      <c r="F109" s="1"/>
      <c r="G109" s="1"/>
      <c r="H109" s="1"/>
      <c r="I109" s="1"/>
      <c r="J109" s="1"/>
      <c r="K109" s="1"/>
      <c r="L109" s="1"/>
    </row>
    <row r="110" spans="2:12">
      <c r="B110" s="1"/>
      <c r="C110" s="1"/>
      <c r="D110" s="1"/>
      <c r="E110" s="1"/>
      <c r="F110" s="1"/>
      <c r="G110" s="1"/>
      <c r="H110" s="1"/>
      <c r="I110" s="1"/>
      <c r="J110" s="1"/>
      <c r="K110" s="1"/>
      <c r="L110" s="1"/>
    </row>
    <row r="111" spans="2:12">
      <c r="B111" s="1"/>
      <c r="C111" s="1"/>
      <c r="D111" s="1"/>
      <c r="E111" s="1"/>
      <c r="F111" s="1"/>
      <c r="G111" s="1"/>
      <c r="H111" s="1"/>
      <c r="I111" s="1"/>
      <c r="J111" s="1"/>
      <c r="K111" s="1"/>
      <c r="L111" s="1"/>
    </row>
    <row r="112" spans="2:12">
      <c r="B112" s="1"/>
      <c r="C112" s="1"/>
      <c r="D112" s="1"/>
      <c r="E112" s="1"/>
      <c r="F112" s="1"/>
      <c r="G112" s="1"/>
      <c r="H112" s="1"/>
      <c r="I112" s="1"/>
      <c r="J112" s="1"/>
      <c r="K112" s="1"/>
      <c r="L112" s="1"/>
    </row>
    <row r="113" spans="2:12">
      <c r="B113" s="1"/>
      <c r="C113" s="1"/>
      <c r="D113" s="1"/>
      <c r="E113" s="1"/>
      <c r="F113" s="1"/>
      <c r="G113" s="1"/>
      <c r="H113" s="1"/>
      <c r="I113" s="1"/>
      <c r="J113" s="1"/>
      <c r="K113" s="1"/>
      <c r="L113" s="1"/>
    </row>
    <row r="114" spans="2:12">
      <c r="B114" s="1"/>
      <c r="C114" s="1"/>
      <c r="D114" s="1"/>
      <c r="E114" s="1"/>
      <c r="F114" s="1"/>
      <c r="G114" s="1"/>
      <c r="H114" s="1"/>
      <c r="I114" s="1"/>
      <c r="J114" s="1"/>
      <c r="K114" s="1"/>
      <c r="L114" s="1"/>
    </row>
  </sheetData>
  <mergeCells count="51">
    <mergeCell ref="B13:F13"/>
    <mergeCell ref="G13:I13"/>
    <mergeCell ref="B14:F14"/>
    <mergeCell ref="G14:I14"/>
    <mergeCell ref="B15:F15"/>
    <mergeCell ref="G15:I15"/>
    <mergeCell ref="B16:F16"/>
    <mergeCell ref="G16:I16"/>
    <mergeCell ref="B17:F17"/>
    <mergeCell ref="G17:I17"/>
    <mergeCell ref="B38:C38"/>
    <mergeCell ref="J40:T40"/>
    <mergeCell ref="B41:C41"/>
    <mergeCell ref="J41:K41"/>
    <mergeCell ref="L41:T41"/>
    <mergeCell ref="B42:C42"/>
    <mergeCell ref="J42:K42"/>
    <mergeCell ref="L42:T42"/>
    <mergeCell ref="B40:C40"/>
    <mergeCell ref="B43:C43"/>
    <mergeCell ref="J43:K43"/>
    <mergeCell ref="L43:T43"/>
    <mergeCell ref="B44:C44"/>
    <mergeCell ref="J44:K44"/>
    <mergeCell ref="L44:T44"/>
    <mergeCell ref="B45:C45"/>
    <mergeCell ref="J45:K45"/>
    <mergeCell ref="L45:T45"/>
    <mergeCell ref="B46:C46"/>
    <mergeCell ref="J46:K46"/>
    <mergeCell ref="L46:T46"/>
    <mergeCell ref="B84:C84"/>
    <mergeCell ref="B47:C47"/>
    <mergeCell ref="J47:K47"/>
    <mergeCell ref="L47:T47"/>
    <mergeCell ref="B49:C49"/>
    <mergeCell ref="B50:C50"/>
    <mergeCell ref="B51:C51"/>
    <mergeCell ref="B52:C52"/>
    <mergeCell ref="B53:C53"/>
    <mergeCell ref="B80:C80"/>
    <mergeCell ref="B82:C82"/>
    <mergeCell ref="B83:C83"/>
    <mergeCell ref="B92:C92"/>
    <mergeCell ref="B93:C93"/>
    <mergeCell ref="B85:C85"/>
    <mergeCell ref="B86:C86"/>
    <mergeCell ref="B87:C87"/>
    <mergeCell ref="B88:C88"/>
    <mergeCell ref="B90:C90"/>
    <mergeCell ref="B91:C91"/>
  </mergeCells>
  <conditionalFormatting sqref="D56:H56">
    <cfRule type="cellIs" dxfId="5" priority="7" operator="equal">
      <formula>"Peligro de quiebra"</formula>
    </cfRule>
    <cfRule type="cellIs" dxfId="4" priority="8" operator="equal">
      <formula>"Zona Gris"</formula>
    </cfRule>
    <cfRule type="cellIs" dxfId="3" priority="9" operator="equal">
      <formula>"Situación Normal"</formula>
    </cfRule>
  </conditionalFormatting>
  <conditionalFormatting sqref="D96:H96">
    <cfRule type="cellIs" dxfId="2" priority="1" operator="equal">
      <formula>"Peligro de quiebra"</formula>
    </cfRule>
    <cfRule type="cellIs" dxfId="1" priority="2" operator="equal">
      <formula>"Zona Gris"</formula>
    </cfRule>
    <cfRule type="cellIs" dxfId="0" priority="3" operator="equal">
      <formula>"Situación Normal"</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6D3D2-CB5A-4665-9276-89CA29C1AF4E}">
  <dimension ref="A1:P106"/>
  <sheetViews>
    <sheetView topLeftCell="A43" workbookViewId="0">
      <selection activeCell="F66" sqref="F66"/>
    </sheetView>
  </sheetViews>
  <sheetFormatPr baseColWidth="10" defaultRowHeight="15.75"/>
  <cols>
    <col min="1" max="1" width="37.5703125" style="432" customWidth="1"/>
    <col min="2" max="2" width="20.140625" style="402" customWidth="1"/>
    <col min="3" max="3" width="12.7109375" style="402" customWidth="1"/>
    <col min="4" max="4" width="15.85546875" style="402" customWidth="1"/>
    <col min="5" max="5" width="12.5703125" style="402" customWidth="1"/>
    <col min="6" max="6" width="19" style="402" customWidth="1"/>
    <col min="7" max="7" width="20.140625" style="402" customWidth="1"/>
    <col min="8" max="8" width="37.140625" style="402" customWidth="1"/>
    <col min="9" max="9" width="13.28515625" style="402" customWidth="1"/>
    <col min="10" max="10" width="31.85546875" style="402" customWidth="1"/>
    <col min="11" max="11" width="54.42578125" style="402" customWidth="1"/>
    <col min="12" max="256" width="11.42578125" style="402"/>
    <col min="257" max="257" width="37.5703125" style="402" customWidth="1"/>
    <col min="258" max="258" width="20.140625" style="402" customWidth="1"/>
    <col min="259" max="259" width="12.7109375" style="402" customWidth="1"/>
    <col min="260" max="260" width="15.85546875" style="402" customWidth="1"/>
    <col min="261" max="261" width="12.5703125" style="402" customWidth="1"/>
    <col min="262" max="262" width="19" style="402" customWidth="1"/>
    <col min="263" max="263" width="20.140625" style="402" customWidth="1"/>
    <col min="264" max="264" width="37.140625" style="402" customWidth="1"/>
    <col min="265" max="265" width="13.28515625" style="402" customWidth="1"/>
    <col min="266" max="266" width="31.85546875" style="402" customWidth="1"/>
    <col min="267" max="267" width="54.42578125" style="402" customWidth="1"/>
    <col min="268" max="512" width="11.42578125" style="402"/>
    <col min="513" max="513" width="37.5703125" style="402" customWidth="1"/>
    <col min="514" max="514" width="20.140625" style="402" customWidth="1"/>
    <col min="515" max="515" width="12.7109375" style="402" customWidth="1"/>
    <col min="516" max="516" width="15.85546875" style="402" customWidth="1"/>
    <col min="517" max="517" width="12.5703125" style="402" customWidth="1"/>
    <col min="518" max="518" width="19" style="402" customWidth="1"/>
    <col min="519" max="519" width="20.140625" style="402" customWidth="1"/>
    <col min="520" max="520" width="37.140625" style="402" customWidth="1"/>
    <col min="521" max="521" width="13.28515625" style="402" customWidth="1"/>
    <col min="522" max="522" width="31.85546875" style="402" customWidth="1"/>
    <col min="523" max="523" width="54.42578125" style="402" customWidth="1"/>
    <col min="524" max="768" width="11.42578125" style="402"/>
    <col min="769" max="769" width="37.5703125" style="402" customWidth="1"/>
    <col min="770" max="770" width="20.140625" style="402" customWidth="1"/>
    <col min="771" max="771" width="12.7109375" style="402" customWidth="1"/>
    <col min="772" max="772" width="15.85546875" style="402" customWidth="1"/>
    <col min="773" max="773" width="12.5703125" style="402" customWidth="1"/>
    <col min="774" max="774" width="19" style="402" customWidth="1"/>
    <col min="775" max="775" width="20.140625" style="402" customWidth="1"/>
    <col min="776" max="776" width="37.140625" style="402" customWidth="1"/>
    <col min="777" max="777" width="13.28515625" style="402" customWidth="1"/>
    <col min="778" max="778" width="31.85546875" style="402" customWidth="1"/>
    <col min="779" max="779" width="54.42578125" style="402" customWidth="1"/>
    <col min="780" max="1024" width="11.42578125" style="402"/>
    <col min="1025" max="1025" width="37.5703125" style="402" customWidth="1"/>
    <col min="1026" max="1026" width="20.140625" style="402" customWidth="1"/>
    <col min="1027" max="1027" width="12.7109375" style="402" customWidth="1"/>
    <col min="1028" max="1028" width="15.85546875" style="402" customWidth="1"/>
    <col min="1029" max="1029" width="12.5703125" style="402" customWidth="1"/>
    <col min="1030" max="1030" width="19" style="402" customWidth="1"/>
    <col min="1031" max="1031" width="20.140625" style="402" customWidth="1"/>
    <col min="1032" max="1032" width="37.140625" style="402" customWidth="1"/>
    <col min="1033" max="1033" width="13.28515625" style="402" customWidth="1"/>
    <col min="1034" max="1034" width="31.85546875" style="402" customWidth="1"/>
    <col min="1035" max="1035" width="54.42578125" style="402" customWidth="1"/>
    <col min="1036" max="1280" width="11.42578125" style="402"/>
    <col min="1281" max="1281" width="37.5703125" style="402" customWidth="1"/>
    <col min="1282" max="1282" width="20.140625" style="402" customWidth="1"/>
    <col min="1283" max="1283" width="12.7109375" style="402" customWidth="1"/>
    <col min="1284" max="1284" width="15.85546875" style="402" customWidth="1"/>
    <col min="1285" max="1285" width="12.5703125" style="402" customWidth="1"/>
    <col min="1286" max="1286" width="19" style="402" customWidth="1"/>
    <col min="1287" max="1287" width="20.140625" style="402" customWidth="1"/>
    <col min="1288" max="1288" width="37.140625" style="402" customWidth="1"/>
    <col min="1289" max="1289" width="13.28515625" style="402" customWidth="1"/>
    <col min="1290" max="1290" width="31.85546875" style="402" customWidth="1"/>
    <col min="1291" max="1291" width="54.42578125" style="402" customWidth="1"/>
    <col min="1292" max="1536" width="11.42578125" style="402"/>
    <col min="1537" max="1537" width="37.5703125" style="402" customWidth="1"/>
    <col min="1538" max="1538" width="20.140625" style="402" customWidth="1"/>
    <col min="1539" max="1539" width="12.7109375" style="402" customWidth="1"/>
    <col min="1540" max="1540" width="15.85546875" style="402" customWidth="1"/>
    <col min="1541" max="1541" width="12.5703125" style="402" customWidth="1"/>
    <col min="1542" max="1542" width="19" style="402" customWidth="1"/>
    <col min="1543" max="1543" width="20.140625" style="402" customWidth="1"/>
    <col min="1544" max="1544" width="37.140625" style="402" customWidth="1"/>
    <col min="1545" max="1545" width="13.28515625" style="402" customWidth="1"/>
    <col min="1546" max="1546" width="31.85546875" style="402" customWidth="1"/>
    <col min="1547" max="1547" width="54.42578125" style="402" customWidth="1"/>
    <col min="1548" max="1792" width="11.42578125" style="402"/>
    <col min="1793" max="1793" width="37.5703125" style="402" customWidth="1"/>
    <col min="1794" max="1794" width="20.140625" style="402" customWidth="1"/>
    <col min="1795" max="1795" width="12.7109375" style="402" customWidth="1"/>
    <col min="1796" max="1796" width="15.85546875" style="402" customWidth="1"/>
    <col min="1797" max="1797" width="12.5703125" style="402" customWidth="1"/>
    <col min="1798" max="1798" width="19" style="402" customWidth="1"/>
    <col min="1799" max="1799" width="20.140625" style="402" customWidth="1"/>
    <col min="1800" max="1800" width="37.140625" style="402" customWidth="1"/>
    <col min="1801" max="1801" width="13.28515625" style="402" customWidth="1"/>
    <col min="1802" max="1802" width="31.85546875" style="402" customWidth="1"/>
    <col min="1803" max="1803" width="54.42578125" style="402" customWidth="1"/>
    <col min="1804" max="2048" width="11.42578125" style="402"/>
    <col min="2049" max="2049" width="37.5703125" style="402" customWidth="1"/>
    <col min="2050" max="2050" width="20.140625" style="402" customWidth="1"/>
    <col min="2051" max="2051" width="12.7109375" style="402" customWidth="1"/>
    <col min="2052" max="2052" width="15.85546875" style="402" customWidth="1"/>
    <col min="2053" max="2053" width="12.5703125" style="402" customWidth="1"/>
    <col min="2054" max="2054" width="19" style="402" customWidth="1"/>
    <col min="2055" max="2055" width="20.140625" style="402" customWidth="1"/>
    <col min="2056" max="2056" width="37.140625" style="402" customWidth="1"/>
    <col min="2057" max="2057" width="13.28515625" style="402" customWidth="1"/>
    <col min="2058" max="2058" width="31.85546875" style="402" customWidth="1"/>
    <col min="2059" max="2059" width="54.42578125" style="402" customWidth="1"/>
    <col min="2060" max="2304" width="11.42578125" style="402"/>
    <col min="2305" max="2305" width="37.5703125" style="402" customWidth="1"/>
    <col min="2306" max="2306" width="20.140625" style="402" customWidth="1"/>
    <col min="2307" max="2307" width="12.7109375" style="402" customWidth="1"/>
    <col min="2308" max="2308" width="15.85546875" style="402" customWidth="1"/>
    <col min="2309" max="2309" width="12.5703125" style="402" customWidth="1"/>
    <col min="2310" max="2310" width="19" style="402" customWidth="1"/>
    <col min="2311" max="2311" width="20.140625" style="402" customWidth="1"/>
    <col min="2312" max="2312" width="37.140625" style="402" customWidth="1"/>
    <col min="2313" max="2313" width="13.28515625" style="402" customWidth="1"/>
    <col min="2314" max="2314" width="31.85546875" style="402" customWidth="1"/>
    <col min="2315" max="2315" width="54.42578125" style="402" customWidth="1"/>
    <col min="2316" max="2560" width="11.42578125" style="402"/>
    <col min="2561" max="2561" width="37.5703125" style="402" customWidth="1"/>
    <col min="2562" max="2562" width="20.140625" style="402" customWidth="1"/>
    <col min="2563" max="2563" width="12.7109375" style="402" customWidth="1"/>
    <col min="2564" max="2564" width="15.85546875" style="402" customWidth="1"/>
    <col min="2565" max="2565" width="12.5703125" style="402" customWidth="1"/>
    <col min="2566" max="2566" width="19" style="402" customWidth="1"/>
    <col min="2567" max="2567" width="20.140625" style="402" customWidth="1"/>
    <col min="2568" max="2568" width="37.140625" style="402" customWidth="1"/>
    <col min="2569" max="2569" width="13.28515625" style="402" customWidth="1"/>
    <col min="2570" max="2570" width="31.85546875" style="402" customWidth="1"/>
    <col min="2571" max="2571" width="54.42578125" style="402" customWidth="1"/>
    <col min="2572" max="2816" width="11.42578125" style="402"/>
    <col min="2817" max="2817" width="37.5703125" style="402" customWidth="1"/>
    <col min="2818" max="2818" width="20.140625" style="402" customWidth="1"/>
    <col min="2819" max="2819" width="12.7109375" style="402" customWidth="1"/>
    <col min="2820" max="2820" width="15.85546875" style="402" customWidth="1"/>
    <col min="2821" max="2821" width="12.5703125" style="402" customWidth="1"/>
    <col min="2822" max="2822" width="19" style="402" customWidth="1"/>
    <col min="2823" max="2823" width="20.140625" style="402" customWidth="1"/>
    <col min="2824" max="2824" width="37.140625" style="402" customWidth="1"/>
    <col min="2825" max="2825" width="13.28515625" style="402" customWidth="1"/>
    <col min="2826" max="2826" width="31.85546875" style="402" customWidth="1"/>
    <col min="2827" max="2827" width="54.42578125" style="402" customWidth="1"/>
    <col min="2828" max="3072" width="11.42578125" style="402"/>
    <col min="3073" max="3073" width="37.5703125" style="402" customWidth="1"/>
    <col min="3074" max="3074" width="20.140625" style="402" customWidth="1"/>
    <col min="3075" max="3075" width="12.7109375" style="402" customWidth="1"/>
    <col min="3076" max="3076" width="15.85546875" style="402" customWidth="1"/>
    <col min="3077" max="3077" width="12.5703125" style="402" customWidth="1"/>
    <col min="3078" max="3078" width="19" style="402" customWidth="1"/>
    <col min="3079" max="3079" width="20.140625" style="402" customWidth="1"/>
    <col min="3080" max="3080" width="37.140625" style="402" customWidth="1"/>
    <col min="3081" max="3081" width="13.28515625" style="402" customWidth="1"/>
    <col min="3082" max="3082" width="31.85546875" style="402" customWidth="1"/>
    <col min="3083" max="3083" width="54.42578125" style="402" customWidth="1"/>
    <col min="3084" max="3328" width="11.42578125" style="402"/>
    <col min="3329" max="3329" width="37.5703125" style="402" customWidth="1"/>
    <col min="3330" max="3330" width="20.140625" style="402" customWidth="1"/>
    <col min="3331" max="3331" width="12.7109375" style="402" customWidth="1"/>
    <col min="3332" max="3332" width="15.85546875" style="402" customWidth="1"/>
    <col min="3333" max="3333" width="12.5703125" style="402" customWidth="1"/>
    <col min="3334" max="3334" width="19" style="402" customWidth="1"/>
    <col min="3335" max="3335" width="20.140625" style="402" customWidth="1"/>
    <col min="3336" max="3336" width="37.140625" style="402" customWidth="1"/>
    <col min="3337" max="3337" width="13.28515625" style="402" customWidth="1"/>
    <col min="3338" max="3338" width="31.85546875" style="402" customWidth="1"/>
    <col min="3339" max="3339" width="54.42578125" style="402" customWidth="1"/>
    <col min="3340" max="3584" width="11.42578125" style="402"/>
    <col min="3585" max="3585" width="37.5703125" style="402" customWidth="1"/>
    <col min="3586" max="3586" width="20.140625" style="402" customWidth="1"/>
    <col min="3587" max="3587" width="12.7109375" style="402" customWidth="1"/>
    <col min="3588" max="3588" width="15.85546875" style="402" customWidth="1"/>
    <col min="3589" max="3589" width="12.5703125" style="402" customWidth="1"/>
    <col min="3590" max="3590" width="19" style="402" customWidth="1"/>
    <col min="3591" max="3591" width="20.140625" style="402" customWidth="1"/>
    <col min="3592" max="3592" width="37.140625" style="402" customWidth="1"/>
    <col min="3593" max="3593" width="13.28515625" style="402" customWidth="1"/>
    <col min="3594" max="3594" width="31.85546875" style="402" customWidth="1"/>
    <col min="3595" max="3595" width="54.42578125" style="402" customWidth="1"/>
    <col min="3596" max="3840" width="11.42578125" style="402"/>
    <col min="3841" max="3841" width="37.5703125" style="402" customWidth="1"/>
    <col min="3842" max="3842" width="20.140625" style="402" customWidth="1"/>
    <col min="3843" max="3843" width="12.7109375" style="402" customWidth="1"/>
    <col min="3844" max="3844" width="15.85546875" style="402" customWidth="1"/>
    <col min="3845" max="3845" width="12.5703125" style="402" customWidth="1"/>
    <col min="3846" max="3846" width="19" style="402" customWidth="1"/>
    <col min="3847" max="3847" width="20.140625" style="402" customWidth="1"/>
    <col min="3848" max="3848" width="37.140625" style="402" customWidth="1"/>
    <col min="3849" max="3849" width="13.28515625" style="402" customWidth="1"/>
    <col min="3850" max="3850" width="31.85546875" style="402" customWidth="1"/>
    <col min="3851" max="3851" width="54.42578125" style="402" customWidth="1"/>
    <col min="3852" max="4096" width="11.42578125" style="402"/>
    <col min="4097" max="4097" width="37.5703125" style="402" customWidth="1"/>
    <col min="4098" max="4098" width="20.140625" style="402" customWidth="1"/>
    <col min="4099" max="4099" width="12.7109375" style="402" customWidth="1"/>
    <col min="4100" max="4100" width="15.85546875" style="402" customWidth="1"/>
    <col min="4101" max="4101" width="12.5703125" style="402" customWidth="1"/>
    <col min="4102" max="4102" width="19" style="402" customWidth="1"/>
    <col min="4103" max="4103" width="20.140625" style="402" customWidth="1"/>
    <col min="4104" max="4104" width="37.140625" style="402" customWidth="1"/>
    <col min="4105" max="4105" width="13.28515625" style="402" customWidth="1"/>
    <col min="4106" max="4106" width="31.85546875" style="402" customWidth="1"/>
    <col min="4107" max="4107" width="54.42578125" style="402" customWidth="1"/>
    <col min="4108" max="4352" width="11.42578125" style="402"/>
    <col min="4353" max="4353" width="37.5703125" style="402" customWidth="1"/>
    <col min="4354" max="4354" width="20.140625" style="402" customWidth="1"/>
    <col min="4355" max="4355" width="12.7109375" style="402" customWidth="1"/>
    <col min="4356" max="4356" width="15.85546875" style="402" customWidth="1"/>
    <col min="4357" max="4357" width="12.5703125" style="402" customWidth="1"/>
    <col min="4358" max="4358" width="19" style="402" customWidth="1"/>
    <col min="4359" max="4359" width="20.140625" style="402" customWidth="1"/>
    <col min="4360" max="4360" width="37.140625" style="402" customWidth="1"/>
    <col min="4361" max="4361" width="13.28515625" style="402" customWidth="1"/>
    <col min="4362" max="4362" width="31.85546875" style="402" customWidth="1"/>
    <col min="4363" max="4363" width="54.42578125" style="402" customWidth="1"/>
    <col min="4364" max="4608" width="11.42578125" style="402"/>
    <col min="4609" max="4609" width="37.5703125" style="402" customWidth="1"/>
    <col min="4610" max="4610" width="20.140625" style="402" customWidth="1"/>
    <col min="4611" max="4611" width="12.7109375" style="402" customWidth="1"/>
    <col min="4612" max="4612" width="15.85546875" style="402" customWidth="1"/>
    <col min="4613" max="4613" width="12.5703125" style="402" customWidth="1"/>
    <col min="4614" max="4614" width="19" style="402" customWidth="1"/>
    <col min="4615" max="4615" width="20.140625" style="402" customWidth="1"/>
    <col min="4616" max="4616" width="37.140625" style="402" customWidth="1"/>
    <col min="4617" max="4617" width="13.28515625" style="402" customWidth="1"/>
    <col min="4618" max="4618" width="31.85546875" style="402" customWidth="1"/>
    <col min="4619" max="4619" width="54.42578125" style="402" customWidth="1"/>
    <col min="4620" max="4864" width="11.42578125" style="402"/>
    <col min="4865" max="4865" width="37.5703125" style="402" customWidth="1"/>
    <col min="4866" max="4866" width="20.140625" style="402" customWidth="1"/>
    <col min="4867" max="4867" width="12.7109375" style="402" customWidth="1"/>
    <col min="4868" max="4868" width="15.85546875" style="402" customWidth="1"/>
    <col min="4869" max="4869" width="12.5703125" style="402" customWidth="1"/>
    <col min="4870" max="4870" width="19" style="402" customWidth="1"/>
    <col min="4871" max="4871" width="20.140625" style="402" customWidth="1"/>
    <col min="4872" max="4872" width="37.140625" style="402" customWidth="1"/>
    <col min="4873" max="4873" width="13.28515625" style="402" customWidth="1"/>
    <col min="4874" max="4874" width="31.85546875" style="402" customWidth="1"/>
    <col min="4875" max="4875" width="54.42578125" style="402" customWidth="1"/>
    <col min="4876" max="5120" width="11.42578125" style="402"/>
    <col min="5121" max="5121" width="37.5703125" style="402" customWidth="1"/>
    <col min="5122" max="5122" width="20.140625" style="402" customWidth="1"/>
    <col min="5123" max="5123" width="12.7109375" style="402" customWidth="1"/>
    <col min="5124" max="5124" width="15.85546875" style="402" customWidth="1"/>
    <col min="5125" max="5125" width="12.5703125" style="402" customWidth="1"/>
    <col min="5126" max="5126" width="19" style="402" customWidth="1"/>
    <col min="5127" max="5127" width="20.140625" style="402" customWidth="1"/>
    <col min="5128" max="5128" width="37.140625" style="402" customWidth="1"/>
    <col min="5129" max="5129" width="13.28515625" style="402" customWidth="1"/>
    <col min="5130" max="5130" width="31.85546875" style="402" customWidth="1"/>
    <col min="5131" max="5131" width="54.42578125" style="402" customWidth="1"/>
    <col min="5132" max="5376" width="11.42578125" style="402"/>
    <col min="5377" max="5377" width="37.5703125" style="402" customWidth="1"/>
    <col min="5378" max="5378" width="20.140625" style="402" customWidth="1"/>
    <col min="5379" max="5379" width="12.7109375" style="402" customWidth="1"/>
    <col min="5380" max="5380" width="15.85546875" style="402" customWidth="1"/>
    <col min="5381" max="5381" width="12.5703125" style="402" customWidth="1"/>
    <col min="5382" max="5382" width="19" style="402" customWidth="1"/>
    <col min="5383" max="5383" width="20.140625" style="402" customWidth="1"/>
    <col min="5384" max="5384" width="37.140625" style="402" customWidth="1"/>
    <col min="5385" max="5385" width="13.28515625" style="402" customWidth="1"/>
    <col min="5386" max="5386" width="31.85546875" style="402" customWidth="1"/>
    <col min="5387" max="5387" width="54.42578125" style="402" customWidth="1"/>
    <col min="5388" max="5632" width="11.42578125" style="402"/>
    <col min="5633" max="5633" width="37.5703125" style="402" customWidth="1"/>
    <col min="5634" max="5634" width="20.140625" style="402" customWidth="1"/>
    <col min="5635" max="5635" width="12.7109375" style="402" customWidth="1"/>
    <col min="5636" max="5636" width="15.85546875" style="402" customWidth="1"/>
    <col min="5637" max="5637" width="12.5703125" style="402" customWidth="1"/>
    <col min="5638" max="5638" width="19" style="402" customWidth="1"/>
    <col min="5639" max="5639" width="20.140625" style="402" customWidth="1"/>
    <col min="5640" max="5640" width="37.140625" style="402" customWidth="1"/>
    <col min="5641" max="5641" width="13.28515625" style="402" customWidth="1"/>
    <col min="5642" max="5642" width="31.85546875" style="402" customWidth="1"/>
    <col min="5643" max="5643" width="54.42578125" style="402" customWidth="1"/>
    <col min="5644" max="5888" width="11.42578125" style="402"/>
    <col min="5889" max="5889" width="37.5703125" style="402" customWidth="1"/>
    <col min="5890" max="5890" width="20.140625" style="402" customWidth="1"/>
    <col min="5891" max="5891" width="12.7109375" style="402" customWidth="1"/>
    <col min="5892" max="5892" width="15.85546875" style="402" customWidth="1"/>
    <col min="5893" max="5893" width="12.5703125" style="402" customWidth="1"/>
    <col min="5894" max="5894" width="19" style="402" customWidth="1"/>
    <col min="5895" max="5895" width="20.140625" style="402" customWidth="1"/>
    <col min="5896" max="5896" width="37.140625" style="402" customWidth="1"/>
    <col min="5897" max="5897" width="13.28515625" style="402" customWidth="1"/>
    <col min="5898" max="5898" width="31.85546875" style="402" customWidth="1"/>
    <col min="5899" max="5899" width="54.42578125" style="402" customWidth="1"/>
    <col min="5900" max="6144" width="11.42578125" style="402"/>
    <col min="6145" max="6145" width="37.5703125" style="402" customWidth="1"/>
    <col min="6146" max="6146" width="20.140625" style="402" customWidth="1"/>
    <col min="6147" max="6147" width="12.7109375" style="402" customWidth="1"/>
    <col min="6148" max="6148" width="15.85546875" style="402" customWidth="1"/>
    <col min="6149" max="6149" width="12.5703125" style="402" customWidth="1"/>
    <col min="6150" max="6150" width="19" style="402" customWidth="1"/>
    <col min="6151" max="6151" width="20.140625" style="402" customWidth="1"/>
    <col min="6152" max="6152" width="37.140625" style="402" customWidth="1"/>
    <col min="6153" max="6153" width="13.28515625" style="402" customWidth="1"/>
    <col min="6154" max="6154" width="31.85546875" style="402" customWidth="1"/>
    <col min="6155" max="6155" width="54.42578125" style="402" customWidth="1"/>
    <col min="6156" max="6400" width="11.42578125" style="402"/>
    <col min="6401" max="6401" width="37.5703125" style="402" customWidth="1"/>
    <col min="6402" max="6402" width="20.140625" style="402" customWidth="1"/>
    <col min="6403" max="6403" width="12.7109375" style="402" customWidth="1"/>
    <col min="6404" max="6404" width="15.85546875" style="402" customWidth="1"/>
    <col min="6405" max="6405" width="12.5703125" style="402" customWidth="1"/>
    <col min="6406" max="6406" width="19" style="402" customWidth="1"/>
    <col min="6407" max="6407" width="20.140625" style="402" customWidth="1"/>
    <col min="6408" max="6408" width="37.140625" style="402" customWidth="1"/>
    <col min="6409" max="6409" width="13.28515625" style="402" customWidth="1"/>
    <col min="6410" max="6410" width="31.85546875" style="402" customWidth="1"/>
    <col min="6411" max="6411" width="54.42578125" style="402" customWidth="1"/>
    <col min="6412" max="6656" width="11.42578125" style="402"/>
    <col min="6657" max="6657" width="37.5703125" style="402" customWidth="1"/>
    <col min="6658" max="6658" width="20.140625" style="402" customWidth="1"/>
    <col min="6659" max="6659" width="12.7109375" style="402" customWidth="1"/>
    <col min="6660" max="6660" width="15.85546875" style="402" customWidth="1"/>
    <col min="6661" max="6661" width="12.5703125" style="402" customWidth="1"/>
    <col min="6662" max="6662" width="19" style="402" customWidth="1"/>
    <col min="6663" max="6663" width="20.140625" style="402" customWidth="1"/>
    <col min="6664" max="6664" width="37.140625" style="402" customWidth="1"/>
    <col min="6665" max="6665" width="13.28515625" style="402" customWidth="1"/>
    <col min="6666" max="6666" width="31.85546875" style="402" customWidth="1"/>
    <col min="6667" max="6667" width="54.42578125" style="402" customWidth="1"/>
    <col min="6668" max="6912" width="11.42578125" style="402"/>
    <col min="6913" max="6913" width="37.5703125" style="402" customWidth="1"/>
    <col min="6914" max="6914" width="20.140625" style="402" customWidth="1"/>
    <col min="6915" max="6915" width="12.7109375" style="402" customWidth="1"/>
    <col min="6916" max="6916" width="15.85546875" style="402" customWidth="1"/>
    <col min="6917" max="6917" width="12.5703125" style="402" customWidth="1"/>
    <col min="6918" max="6918" width="19" style="402" customWidth="1"/>
    <col min="6919" max="6919" width="20.140625" style="402" customWidth="1"/>
    <col min="6920" max="6920" width="37.140625" style="402" customWidth="1"/>
    <col min="6921" max="6921" width="13.28515625" style="402" customWidth="1"/>
    <col min="6922" max="6922" width="31.85546875" style="402" customWidth="1"/>
    <col min="6923" max="6923" width="54.42578125" style="402" customWidth="1"/>
    <col min="6924" max="7168" width="11.42578125" style="402"/>
    <col min="7169" max="7169" width="37.5703125" style="402" customWidth="1"/>
    <col min="7170" max="7170" width="20.140625" style="402" customWidth="1"/>
    <col min="7171" max="7171" width="12.7109375" style="402" customWidth="1"/>
    <col min="7172" max="7172" width="15.85546875" style="402" customWidth="1"/>
    <col min="7173" max="7173" width="12.5703125" style="402" customWidth="1"/>
    <col min="7174" max="7174" width="19" style="402" customWidth="1"/>
    <col min="7175" max="7175" width="20.140625" style="402" customWidth="1"/>
    <col min="7176" max="7176" width="37.140625" style="402" customWidth="1"/>
    <col min="7177" max="7177" width="13.28515625" style="402" customWidth="1"/>
    <col min="7178" max="7178" width="31.85546875" style="402" customWidth="1"/>
    <col min="7179" max="7179" width="54.42578125" style="402" customWidth="1"/>
    <col min="7180" max="7424" width="11.42578125" style="402"/>
    <col min="7425" max="7425" width="37.5703125" style="402" customWidth="1"/>
    <col min="7426" max="7426" width="20.140625" style="402" customWidth="1"/>
    <col min="7427" max="7427" width="12.7109375" style="402" customWidth="1"/>
    <col min="7428" max="7428" width="15.85546875" style="402" customWidth="1"/>
    <col min="7429" max="7429" width="12.5703125" style="402" customWidth="1"/>
    <col min="7430" max="7430" width="19" style="402" customWidth="1"/>
    <col min="7431" max="7431" width="20.140625" style="402" customWidth="1"/>
    <col min="7432" max="7432" width="37.140625" style="402" customWidth="1"/>
    <col min="7433" max="7433" width="13.28515625" style="402" customWidth="1"/>
    <col min="7434" max="7434" width="31.85546875" style="402" customWidth="1"/>
    <col min="7435" max="7435" width="54.42578125" style="402" customWidth="1"/>
    <col min="7436" max="7680" width="11.42578125" style="402"/>
    <col min="7681" max="7681" width="37.5703125" style="402" customWidth="1"/>
    <col min="7682" max="7682" width="20.140625" style="402" customWidth="1"/>
    <col min="7683" max="7683" width="12.7109375" style="402" customWidth="1"/>
    <col min="7684" max="7684" width="15.85546875" style="402" customWidth="1"/>
    <col min="7685" max="7685" width="12.5703125" style="402" customWidth="1"/>
    <col min="7686" max="7686" width="19" style="402" customWidth="1"/>
    <col min="7687" max="7687" width="20.140625" style="402" customWidth="1"/>
    <col min="7688" max="7688" width="37.140625" style="402" customWidth="1"/>
    <col min="7689" max="7689" width="13.28515625" style="402" customWidth="1"/>
    <col min="7690" max="7690" width="31.85546875" style="402" customWidth="1"/>
    <col min="7691" max="7691" width="54.42578125" style="402" customWidth="1"/>
    <col min="7692" max="7936" width="11.42578125" style="402"/>
    <col min="7937" max="7937" width="37.5703125" style="402" customWidth="1"/>
    <col min="7938" max="7938" width="20.140625" style="402" customWidth="1"/>
    <col min="7939" max="7939" width="12.7109375" style="402" customWidth="1"/>
    <col min="7940" max="7940" width="15.85546875" style="402" customWidth="1"/>
    <col min="7941" max="7941" width="12.5703125" style="402" customWidth="1"/>
    <col min="7942" max="7942" width="19" style="402" customWidth="1"/>
    <col min="7943" max="7943" width="20.140625" style="402" customWidth="1"/>
    <col min="7944" max="7944" width="37.140625" style="402" customWidth="1"/>
    <col min="7945" max="7945" width="13.28515625" style="402" customWidth="1"/>
    <col min="7946" max="7946" width="31.85546875" style="402" customWidth="1"/>
    <col min="7947" max="7947" width="54.42578125" style="402" customWidth="1"/>
    <col min="7948" max="8192" width="11.42578125" style="402"/>
    <col min="8193" max="8193" width="37.5703125" style="402" customWidth="1"/>
    <col min="8194" max="8194" width="20.140625" style="402" customWidth="1"/>
    <col min="8195" max="8195" width="12.7109375" style="402" customWidth="1"/>
    <col min="8196" max="8196" width="15.85546875" style="402" customWidth="1"/>
    <col min="8197" max="8197" width="12.5703125" style="402" customWidth="1"/>
    <col min="8198" max="8198" width="19" style="402" customWidth="1"/>
    <col min="8199" max="8199" width="20.140625" style="402" customWidth="1"/>
    <col min="8200" max="8200" width="37.140625" style="402" customWidth="1"/>
    <col min="8201" max="8201" width="13.28515625" style="402" customWidth="1"/>
    <col min="8202" max="8202" width="31.85546875" style="402" customWidth="1"/>
    <col min="8203" max="8203" width="54.42578125" style="402" customWidth="1"/>
    <col min="8204" max="8448" width="11.42578125" style="402"/>
    <col min="8449" max="8449" width="37.5703125" style="402" customWidth="1"/>
    <col min="8450" max="8450" width="20.140625" style="402" customWidth="1"/>
    <col min="8451" max="8451" width="12.7109375" style="402" customWidth="1"/>
    <col min="8452" max="8452" width="15.85546875" style="402" customWidth="1"/>
    <col min="8453" max="8453" width="12.5703125" style="402" customWidth="1"/>
    <col min="8454" max="8454" width="19" style="402" customWidth="1"/>
    <col min="8455" max="8455" width="20.140625" style="402" customWidth="1"/>
    <col min="8456" max="8456" width="37.140625" style="402" customWidth="1"/>
    <col min="8457" max="8457" width="13.28515625" style="402" customWidth="1"/>
    <col min="8458" max="8458" width="31.85546875" style="402" customWidth="1"/>
    <col min="8459" max="8459" width="54.42578125" style="402" customWidth="1"/>
    <col min="8460" max="8704" width="11.42578125" style="402"/>
    <col min="8705" max="8705" width="37.5703125" style="402" customWidth="1"/>
    <col min="8706" max="8706" width="20.140625" style="402" customWidth="1"/>
    <col min="8707" max="8707" width="12.7109375" style="402" customWidth="1"/>
    <col min="8708" max="8708" width="15.85546875" style="402" customWidth="1"/>
    <col min="8709" max="8709" width="12.5703125" style="402" customWidth="1"/>
    <col min="8710" max="8710" width="19" style="402" customWidth="1"/>
    <col min="8711" max="8711" width="20.140625" style="402" customWidth="1"/>
    <col min="8712" max="8712" width="37.140625" style="402" customWidth="1"/>
    <col min="8713" max="8713" width="13.28515625" style="402" customWidth="1"/>
    <col min="8714" max="8714" width="31.85546875" style="402" customWidth="1"/>
    <col min="8715" max="8715" width="54.42578125" style="402" customWidth="1"/>
    <col min="8716" max="8960" width="11.42578125" style="402"/>
    <col min="8961" max="8961" width="37.5703125" style="402" customWidth="1"/>
    <col min="8962" max="8962" width="20.140625" style="402" customWidth="1"/>
    <col min="8963" max="8963" width="12.7109375" style="402" customWidth="1"/>
    <col min="8964" max="8964" width="15.85546875" style="402" customWidth="1"/>
    <col min="8965" max="8965" width="12.5703125" style="402" customWidth="1"/>
    <col min="8966" max="8966" width="19" style="402" customWidth="1"/>
    <col min="8967" max="8967" width="20.140625" style="402" customWidth="1"/>
    <col min="8968" max="8968" width="37.140625" style="402" customWidth="1"/>
    <col min="8969" max="8969" width="13.28515625" style="402" customWidth="1"/>
    <col min="8970" max="8970" width="31.85546875" style="402" customWidth="1"/>
    <col min="8971" max="8971" width="54.42578125" style="402" customWidth="1"/>
    <col min="8972" max="9216" width="11.42578125" style="402"/>
    <col min="9217" max="9217" width="37.5703125" style="402" customWidth="1"/>
    <col min="9218" max="9218" width="20.140625" style="402" customWidth="1"/>
    <col min="9219" max="9219" width="12.7109375" style="402" customWidth="1"/>
    <col min="9220" max="9220" width="15.85546875" style="402" customWidth="1"/>
    <col min="9221" max="9221" width="12.5703125" style="402" customWidth="1"/>
    <col min="9222" max="9222" width="19" style="402" customWidth="1"/>
    <col min="9223" max="9223" width="20.140625" style="402" customWidth="1"/>
    <col min="9224" max="9224" width="37.140625" style="402" customWidth="1"/>
    <col min="9225" max="9225" width="13.28515625" style="402" customWidth="1"/>
    <col min="9226" max="9226" width="31.85546875" style="402" customWidth="1"/>
    <col min="9227" max="9227" width="54.42578125" style="402" customWidth="1"/>
    <col min="9228" max="9472" width="11.42578125" style="402"/>
    <col min="9473" max="9473" width="37.5703125" style="402" customWidth="1"/>
    <col min="9474" max="9474" width="20.140625" style="402" customWidth="1"/>
    <col min="9475" max="9475" width="12.7109375" style="402" customWidth="1"/>
    <col min="9476" max="9476" width="15.85546875" style="402" customWidth="1"/>
    <col min="9477" max="9477" width="12.5703125" style="402" customWidth="1"/>
    <col min="9478" max="9478" width="19" style="402" customWidth="1"/>
    <col min="9479" max="9479" width="20.140625" style="402" customWidth="1"/>
    <col min="9480" max="9480" width="37.140625" style="402" customWidth="1"/>
    <col min="9481" max="9481" width="13.28515625" style="402" customWidth="1"/>
    <col min="9482" max="9482" width="31.85546875" style="402" customWidth="1"/>
    <col min="9483" max="9483" width="54.42578125" style="402" customWidth="1"/>
    <col min="9484" max="9728" width="11.42578125" style="402"/>
    <col min="9729" max="9729" width="37.5703125" style="402" customWidth="1"/>
    <col min="9730" max="9730" width="20.140625" style="402" customWidth="1"/>
    <col min="9731" max="9731" width="12.7109375" style="402" customWidth="1"/>
    <col min="9732" max="9732" width="15.85546875" style="402" customWidth="1"/>
    <col min="9733" max="9733" width="12.5703125" style="402" customWidth="1"/>
    <col min="9734" max="9734" width="19" style="402" customWidth="1"/>
    <col min="9735" max="9735" width="20.140625" style="402" customWidth="1"/>
    <col min="9736" max="9736" width="37.140625" style="402" customWidth="1"/>
    <col min="9737" max="9737" width="13.28515625" style="402" customWidth="1"/>
    <col min="9738" max="9738" width="31.85546875" style="402" customWidth="1"/>
    <col min="9739" max="9739" width="54.42578125" style="402" customWidth="1"/>
    <col min="9740" max="9984" width="11.42578125" style="402"/>
    <col min="9985" max="9985" width="37.5703125" style="402" customWidth="1"/>
    <col min="9986" max="9986" width="20.140625" style="402" customWidth="1"/>
    <col min="9987" max="9987" width="12.7109375" style="402" customWidth="1"/>
    <col min="9988" max="9988" width="15.85546875" style="402" customWidth="1"/>
    <col min="9989" max="9989" width="12.5703125" style="402" customWidth="1"/>
    <col min="9990" max="9990" width="19" style="402" customWidth="1"/>
    <col min="9991" max="9991" width="20.140625" style="402" customWidth="1"/>
    <col min="9992" max="9992" width="37.140625" style="402" customWidth="1"/>
    <col min="9993" max="9993" width="13.28515625" style="402" customWidth="1"/>
    <col min="9994" max="9994" width="31.85546875" style="402" customWidth="1"/>
    <col min="9995" max="9995" width="54.42578125" style="402" customWidth="1"/>
    <col min="9996" max="10240" width="11.42578125" style="402"/>
    <col min="10241" max="10241" width="37.5703125" style="402" customWidth="1"/>
    <col min="10242" max="10242" width="20.140625" style="402" customWidth="1"/>
    <col min="10243" max="10243" width="12.7109375" style="402" customWidth="1"/>
    <col min="10244" max="10244" width="15.85546875" style="402" customWidth="1"/>
    <col min="10245" max="10245" width="12.5703125" style="402" customWidth="1"/>
    <col min="10246" max="10246" width="19" style="402" customWidth="1"/>
    <col min="10247" max="10247" width="20.140625" style="402" customWidth="1"/>
    <col min="10248" max="10248" width="37.140625" style="402" customWidth="1"/>
    <col min="10249" max="10249" width="13.28515625" style="402" customWidth="1"/>
    <col min="10250" max="10250" width="31.85546875" style="402" customWidth="1"/>
    <col min="10251" max="10251" width="54.42578125" style="402" customWidth="1"/>
    <col min="10252" max="10496" width="11.42578125" style="402"/>
    <col min="10497" max="10497" width="37.5703125" style="402" customWidth="1"/>
    <col min="10498" max="10498" width="20.140625" style="402" customWidth="1"/>
    <col min="10499" max="10499" width="12.7109375" style="402" customWidth="1"/>
    <col min="10500" max="10500" width="15.85546875" style="402" customWidth="1"/>
    <col min="10501" max="10501" width="12.5703125" style="402" customWidth="1"/>
    <col min="10502" max="10502" width="19" style="402" customWidth="1"/>
    <col min="10503" max="10503" width="20.140625" style="402" customWidth="1"/>
    <col min="10504" max="10504" width="37.140625" style="402" customWidth="1"/>
    <col min="10505" max="10505" width="13.28515625" style="402" customWidth="1"/>
    <col min="10506" max="10506" width="31.85546875" style="402" customWidth="1"/>
    <col min="10507" max="10507" width="54.42578125" style="402" customWidth="1"/>
    <col min="10508" max="10752" width="11.42578125" style="402"/>
    <col min="10753" max="10753" width="37.5703125" style="402" customWidth="1"/>
    <col min="10754" max="10754" width="20.140625" style="402" customWidth="1"/>
    <col min="10755" max="10755" width="12.7109375" style="402" customWidth="1"/>
    <col min="10756" max="10756" width="15.85546875" style="402" customWidth="1"/>
    <col min="10757" max="10757" width="12.5703125" style="402" customWidth="1"/>
    <col min="10758" max="10758" width="19" style="402" customWidth="1"/>
    <col min="10759" max="10759" width="20.140625" style="402" customWidth="1"/>
    <col min="10760" max="10760" width="37.140625" style="402" customWidth="1"/>
    <col min="10761" max="10761" width="13.28515625" style="402" customWidth="1"/>
    <col min="10762" max="10762" width="31.85546875" style="402" customWidth="1"/>
    <col min="10763" max="10763" width="54.42578125" style="402" customWidth="1"/>
    <col min="10764" max="11008" width="11.42578125" style="402"/>
    <col min="11009" max="11009" width="37.5703125" style="402" customWidth="1"/>
    <col min="11010" max="11010" width="20.140625" style="402" customWidth="1"/>
    <col min="11011" max="11011" width="12.7109375" style="402" customWidth="1"/>
    <col min="11012" max="11012" width="15.85546875" style="402" customWidth="1"/>
    <col min="11013" max="11013" width="12.5703125" style="402" customWidth="1"/>
    <col min="11014" max="11014" width="19" style="402" customWidth="1"/>
    <col min="11015" max="11015" width="20.140625" style="402" customWidth="1"/>
    <col min="11016" max="11016" width="37.140625" style="402" customWidth="1"/>
    <col min="11017" max="11017" width="13.28515625" style="402" customWidth="1"/>
    <col min="11018" max="11018" width="31.85546875" style="402" customWidth="1"/>
    <col min="11019" max="11019" width="54.42578125" style="402" customWidth="1"/>
    <col min="11020" max="11264" width="11.42578125" style="402"/>
    <col min="11265" max="11265" width="37.5703125" style="402" customWidth="1"/>
    <col min="11266" max="11266" width="20.140625" style="402" customWidth="1"/>
    <col min="11267" max="11267" width="12.7109375" style="402" customWidth="1"/>
    <col min="11268" max="11268" width="15.85546875" style="402" customWidth="1"/>
    <col min="11269" max="11269" width="12.5703125" style="402" customWidth="1"/>
    <col min="11270" max="11270" width="19" style="402" customWidth="1"/>
    <col min="11271" max="11271" width="20.140625" style="402" customWidth="1"/>
    <col min="11272" max="11272" width="37.140625" style="402" customWidth="1"/>
    <col min="11273" max="11273" width="13.28515625" style="402" customWidth="1"/>
    <col min="11274" max="11274" width="31.85546875" style="402" customWidth="1"/>
    <col min="11275" max="11275" width="54.42578125" style="402" customWidth="1"/>
    <col min="11276" max="11520" width="11.42578125" style="402"/>
    <col min="11521" max="11521" width="37.5703125" style="402" customWidth="1"/>
    <col min="11522" max="11522" width="20.140625" style="402" customWidth="1"/>
    <col min="11523" max="11523" width="12.7109375" style="402" customWidth="1"/>
    <col min="11524" max="11524" width="15.85546875" style="402" customWidth="1"/>
    <col min="11525" max="11525" width="12.5703125" style="402" customWidth="1"/>
    <col min="11526" max="11526" width="19" style="402" customWidth="1"/>
    <col min="11527" max="11527" width="20.140625" style="402" customWidth="1"/>
    <col min="11528" max="11528" width="37.140625" style="402" customWidth="1"/>
    <col min="11529" max="11529" width="13.28515625" style="402" customWidth="1"/>
    <col min="11530" max="11530" width="31.85546875" style="402" customWidth="1"/>
    <col min="11531" max="11531" width="54.42578125" style="402" customWidth="1"/>
    <col min="11532" max="11776" width="11.42578125" style="402"/>
    <col min="11777" max="11777" width="37.5703125" style="402" customWidth="1"/>
    <col min="11778" max="11778" width="20.140625" style="402" customWidth="1"/>
    <col min="11779" max="11779" width="12.7109375" style="402" customWidth="1"/>
    <col min="11780" max="11780" width="15.85546875" style="402" customWidth="1"/>
    <col min="11781" max="11781" width="12.5703125" style="402" customWidth="1"/>
    <col min="11782" max="11782" width="19" style="402" customWidth="1"/>
    <col min="11783" max="11783" width="20.140625" style="402" customWidth="1"/>
    <col min="11784" max="11784" width="37.140625" style="402" customWidth="1"/>
    <col min="11785" max="11785" width="13.28515625" style="402" customWidth="1"/>
    <col min="11786" max="11786" width="31.85546875" style="402" customWidth="1"/>
    <col min="11787" max="11787" width="54.42578125" style="402" customWidth="1"/>
    <col min="11788" max="12032" width="11.42578125" style="402"/>
    <col min="12033" max="12033" width="37.5703125" style="402" customWidth="1"/>
    <col min="12034" max="12034" width="20.140625" style="402" customWidth="1"/>
    <col min="12035" max="12035" width="12.7109375" style="402" customWidth="1"/>
    <col min="12036" max="12036" width="15.85546875" style="402" customWidth="1"/>
    <col min="12037" max="12037" width="12.5703125" style="402" customWidth="1"/>
    <col min="12038" max="12038" width="19" style="402" customWidth="1"/>
    <col min="12039" max="12039" width="20.140625" style="402" customWidth="1"/>
    <col min="12040" max="12040" width="37.140625" style="402" customWidth="1"/>
    <col min="12041" max="12041" width="13.28515625" style="402" customWidth="1"/>
    <col min="12042" max="12042" width="31.85546875" style="402" customWidth="1"/>
    <col min="12043" max="12043" width="54.42578125" style="402" customWidth="1"/>
    <col min="12044" max="12288" width="11.42578125" style="402"/>
    <col min="12289" max="12289" width="37.5703125" style="402" customWidth="1"/>
    <col min="12290" max="12290" width="20.140625" style="402" customWidth="1"/>
    <col min="12291" max="12291" width="12.7109375" style="402" customWidth="1"/>
    <col min="12292" max="12292" width="15.85546875" style="402" customWidth="1"/>
    <col min="12293" max="12293" width="12.5703125" style="402" customWidth="1"/>
    <col min="12294" max="12294" width="19" style="402" customWidth="1"/>
    <col min="12295" max="12295" width="20.140625" style="402" customWidth="1"/>
    <col min="12296" max="12296" width="37.140625" style="402" customWidth="1"/>
    <col min="12297" max="12297" width="13.28515625" style="402" customWidth="1"/>
    <col min="12298" max="12298" width="31.85546875" style="402" customWidth="1"/>
    <col min="12299" max="12299" width="54.42578125" style="402" customWidth="1"/>
    <col min="12300" max="12544" width="11.42578125" style="402"/>
    <col min="12545" max="12545" width="37.5703125" style="402" customWidth="1"/>
    <col min="12546" max="12546" width="20.140625" style="402" customWidth="1"/>
    <col min="12547" max="12547" width="12.7109375" style="402" customWidth="1"/>
    <col min="12548" max="12548" width="15.85546875" style="402" customWidth="1"/>
    <col min="12549" max="12549" width="12.5703125" style="402" customWidth="1"/>
    <col min="12550" max="12550" width="19" style="402" customWidth="1"/>
    <col min="12551" max="12551" width="20.140625" style="402" customWidth="1"/>
    <col min="12552" max="12552" width="37.140625" style="402" customWidth="1"/>
    <col min="12553" max="12553" width="13.28515625" style="402" customWidth="1"/>
    <col min="12554" max="12554" width="31.85546875" style="402" customWidth="1"/>
    <col min="12555" max="12555" width="54.42578125" style="402" customWidth="1"/>
    <col min="12556" max="12800" width="11.42578125" style="402"/>
    <col min="12801" max="12801" width="37.5703125" style="402" customWidth="1"/>
    <col min="12802" max="12802" width="20.140625" style="402" customWidth="1"/>
    <col min="12803" max="12803" width="12.7109375" style="402" customWidth="1"/>
    <col min="12804" max="12804" width="15.85546875" style="402" customWidth="1"/>
    <col min="12805" max="12805" width="12.5703125" style="402" customWidth="1"/>
    <col min="12806" max="12806" width="19" style="402" customWidth="1"/>
    <col min="12807" max="12807" width="20.140625" style="402" customWidth="1"/>
    <col min="12808" max="12808" width="37.140625" style="402" customWidth="1"/>
    <col min="12809" max="12809" width="13.28515625" style="402" customWidth="1"/>
    <col min="12810" max="12810" width="31.85546875" style="402" customWidth="1"/>
    <col min="12811" max="12811" width="54.42578125" style="402" customWidth="1"/>
    <col min="12812" max="13056" width="11.42578125" style="402"/>
    <col min="13057" max="13057" width="37.5703125" style="402" customWidth="1"/>
    <col min="13058" max="13058" width="20.140625" style="402" customWidth="1"/>
    <col min="13059" max="13059" width="12.7109375" style="402" customWidth="1"/>
    <col min="13060" max="13060" width="15.85546875" style="402" customWidth="1"/>
    <col min="13061" max="13061" width="12.5703125" style="402" customWidth="1"/>
    <col min="13062" max="13062" width="19" style="402" customWidth="1"/>
    <col min="13063" max="13063" width="20.140625" style="402" customWidth="1"/>
    <col min="13064" max="13064" width="37.140625" style="402" customWidth="1"/>
    <col min="13065" max="13065" width="13.28515625" style="402" customWidth="1"/>
    <col min="13066" max="13066" width="31.85546875" style="402" customWidth="1"/>
    <col min="13067" max="13067" width="54.42578125" style="402" customWidth="1"/>
    <col min="13068" max="13312" width="11.42578125" style="402"/>
    <col min="13313" max="13313" width="37.5703125" style="402" customWidth="1"/>
    <col min="13314" max="13314" width="20.140625" style="402" customWidth="1"/>
    <col min="13315" max="13315" width="12.7109375" style="402" customWidth="1"/>
    <col min="13316" max="13316" width="15.85546875" style="402" customWidth="1"/>
    <col min="13317" max="13317" width="12.5703125" style="402" customWidth="1"/>
    <col min="13318" max="13318" width="19" style="402" customWidth="1"/>
    <col min="13319" max="13319" width="20.140625" style="402" customWidth="1"/>
    <col min="13320" max="13320" width="37.140625" style="402" customWidth="1"/>
    <col min="13321" max="13321" width="13.28515625" style="402" customWidth="1"/>
    <col min="13322" max="13322" width="31.85546875" style="402" customWidth="1"/>
    <col min="13323" max="13323" width="54.42578125" style="402" customWidth="1"/>
    <col min="13324" max="13568" width="11.42578125" style="402"/>
    <col min="13569" max="13569" width="37.5703125" style="402" customWidth="1"/>
    <col min="13570" max="13570" width="20.140625" style="402" customWidth="1"/>
    <col min="13571" max="13571" width="12.7109375" style="402" customWidth="1"/>
    <col min="13572" max="13572" width="15.85546875" style="402" customWidth="1"/>
    <col min="13573" max="13573" width="12.5703125" style="402" customWidth="1"/>
    <col min="13574" max="13574" width="19" style="402" customWidth="1"/>
    <col min="13575" max="13575" width="20.140625" style="402" customWidth="1"/>
    <col min="13576" max="13576" width="37.140625" style="402" customWidth="1"/>
    <col min="13577" max="13577" width="13.28515625" style="402" customWidth="1"/>
    <col min="13578" max="13578" width="31.85546875" style="402" customWidth="1"/>
    <col min="13579" max="13579" width="54.42578125" style="402" customWidth="1"/>
    <col min="13580" max="13824" width="11.42578125" style="402"/>
    <col min="13825" max="13825" width="37.5703125" style="402" customWidth="1"/>
    <col min="13826" max="13826" width="20.140625" style="402" customWidth="1"/>
    <col min="13827" max="13827" width="12.7109375" style="402" customWidth="1"/>
    <col min="13828" max="13828" width="15.85546875" style="402" customWidth="1"/>
    <col min="13829" max="13829" width="12.5703125" style="402" customWidth="1"/>
    <col min="13830" max="13830" width="19" style="402" customWidth="1"/>
    <col min="13831" max="13831" width="20.140625" style="402" customWidth="1"/>
    <col min="13832" max="13832" width="37.140625" style="402" customWidth="1"/>
    <col min="13833" max="13833" width="13.28515625" style="402" customWidth="1"/>
    <col min="13834" max="13834" width="31.85546875" style="402" customWidth="1"/>
    <col min="13835" max="13835" width="54.42578125" style="402" customWidth="1"/>
    <col min="13836" max="14080" width="11.42578125" style="402"/>
    <col min="14081" max="14081" width="37.5703125" style="402" customWidth="1"/>
    <col min="14082" max="14082" width="20.140625" style="402" customWidth="1"/>
    <col min="14083" max="14083" width="12.7109375" style="402" customWidth="1"/>
    <col min="14084" max="14084" width="15.85546875" style="402" customWidth="1"/>
    <col min="14085" max="14085" width="12.5703125" style="402" customWidth="1"/>
    <col min="14086" max="14086" width="19" style="402" customWidth="1"/>
    <col min="14087" max="14087" width="20.140625" style="402" customWidth="1"/>
    <col min="14088" max="14088" width="37.140625" style="402" customWidth="1"/>
    <col min="14089" max="14089" width="13.28515625" style="402" customWidth="1"/>
    <col min="14090" max="14090" width="31.85546875" style="402" customWidth="1"/>
    <col min="14091" max="14091" width="54.42578125" style="402" customWidth="1"/>
    <col min="14092" max="14336" width="11.42578125" style="402"/>
    <col min="14337" max="14337" width="37.5703125" style="402" customWidth="1"/>
    <col min="14338" max="14338" width="20.140625" style="402" customWidth="1"/>
    <col min="14339" max="14339" width="12.7109375" style="402" customWidth="1"/>
    <col min="14340" max="14340" width="15.85546875" style="402" customWidth="1"/>
    <col min="14341" max="14341" width="12.5703125" style="402" customWidth="1"/>
    <col min="14342" max="14342" width="19" style="402" customWidth="1"/>
    <col min="14343" max="14343" width="20.140625" style="402" customWidth="1"/>
    <col min="14344" max="14344" width="37.140625" style="402" customWidth="1"/>
    <col min="14345" max="14345" width="13.28515625" style="402" customWidth="1"/>
    <col min="14346" max="14346" width="31.85546875" style="402" customWidth="1"/>
    <col min="14347" max="14347" width="54.42578125" style="402" customWidth="1"/>
    <col min="14348" max="14592" width="11.42578125" style="402"/>
    <col min="14593" max="14593" width="37.5703125" style="402" customWidth="1"/>
    <col min="14594" max="14594" width="20.140625" style="402" customWidth="1"/>
    <col min="14595" max="14595" width="12.7109375" style="402" customWidth="1"/>
    <col min="14596" max="14596" width="15.85546875" style="402" customWidth="1"/>
    <col min="14597" max="14597" width="12.5703125" style="402" customWidth="1"/>
    <col min="14598" max="14598" width="19" style="402" customWidth="1"/>
    <col min="14599" max="14599" width="20.140625" style="402" customWidth="1"/>
    <col min="14600" max="14600" width="37.140625" style="402" customWidth="1"/>
    <col min="14601" max="14601" width="13.28515625" style="402" customWidth="1"/>
    <col min="14602" max="14602" width="31.85546875" style="402" customWidth="1"/>
    <col min="14603" max="14603" width="54.42578125" style="402" customWidth="1"/>
    <col min="14604" max="14848" width="11.42578125" style="402"/>
    <col min="14849" max="14849" width="37.5703125" style="402" customWidth="1"/>
    <col min="14850" max="14850" width="20.140625" style="402" customWidth="1"/>
    <col min="14851" max="14851" width="12.7109375" style="402" customWidth="1"/>
    <col min="14852" max="14852" width="15.85546875" style="402" customWidth="1"/>
    <col min="14853" max="14853" width="12.5703125" style="402" customWidth="1"/>
    <col min="14854" max="14854" width="19" style="402" customWidth="1"/>
    <col min="14855" max="14855" width="20.140625" style="402" customWidth="1"/>
    <col min="14856" max="14856" width="37.140625" style="402" customWidth="1"/>
    <col min="14857" max="14857" width="13.28515625" style="402" customWidth="1"/>
    <col min="14858" max="14858" width="31.85546875" style="402" customWidth="1"/>
    <col min="14859" max="14859" width="54.42578125" style="402" customWidth="1"/>
    <col min="14860" max="15104" width="11.42578125" style="402"/>
    <col min="15105" max="15105" width="37.5703125" style="402" customWidth="1"/>
    <col min="15106" max="15106" width="20.140625" style="402" customWidth="1"/>
    <col min="15107" max="15107" width="12.7109375" style="402" customWidth="1"/>
    <col min="15108" max="15108" width="15.85546875" style="402" customWidth="1"/>
    <col min="15109" max="15109" width="12.5703125" style="402" customWidth="1"/>
    <col min="15110" max="15110" width="19" style="402" customWidth="1"/>
    <col min="15111" max="15111" width="20.140625" style="402" customWidth="1"/>
    <col min="15112" max="15112" width="37.140625" style="402" customWidth="1"/>
    <col min="15113" max="15113" width="13.28515625" style="402" customWidth="1"/>
    <col min="15114" max="15114" width="31.85546875" style="402" customWidth="1"/>
    <col min="15115" max="15115" width="54.42578125" style="402" customWidth="1"/>
    <col min="15116" max="15360" width="11.42578125" style="402"/>
    <col min="15361" max="15361" width="37.5703125" style="402" customWidth="1"/>
    <col min="15362" max="15362" width="20.140625" style="402" customWidth="1"/>
    <col min="15363" max="15363" width="12.7109375" style="402" customWidth="1"/>
    <col min="15364" max="15364" width="15.85546875" style="402" customWidth="1"/>
    <col min="15365" max="15365" width="12.5703125" style="402" customWidth="1"/>
    <col min="15366" max="15366" width="19" style="402" customWidth="1"/>
    <col min="15367" max="15367" width="20.140625" style="402" customWidth="1"/>
    <col min="15368" max="15368" width="37.140625" style="402" customWidth="1"/>
    <col min="15369" max="15369" width="13.28515625" style="402" customWidth="1"/>
    <col min="15370" max="15370" width="31.85546875" style="402" customWidth="1"/>
    <col min="15371" max="15371" width="54.42578125" style="402" customWidth="1"/>
    <col min="15372" max="15616" width="11.42578125" style="402"/>
    <col min="15617" max="15617" width="37.5703125" style="402" customWidth="1"/>
    <col min="15618" max="15618" width="20.140625" style="402" customWidth="1"/>
    <col min="15619" max="15619" width="12.7109375" style="402" customWidth="1"/>
    <col min="15620" max="15620" width="15.85546875" style="402" customWidth="1"/>
    <col min="15621" max="15621" width="12.5703125" style="402" customWidth="1"/>
    <col min="15622" max="15622" width="19" style="402" customWidth="1"/>
    <col min="15623" max="15623" width="20.140625" style="402" customWidth="1"/>
    <col min="15624" max="15624" width="37.140625" style="402" customWidth="1"/>
    <col min="15625" max="15625" width="13.28515625" style="402" customWidth="1"/>
    <col min="15626" max="15626" width="31.85546875" style="402" customWidth="1"/>
    <col min="15627" max="15627" width="54.42578125" style="402" customWidth="1"/>
    <col min="15628" max="15872" width="11.42578125" style="402"/>
    <col min="15873" max="15873" width="37.5703125" style="402" customWidth="1"/>
    <col min="15874" max="15874" width="20.140625" style="402" customWidth="1"/>
    <col min="15875" max="15875" width="12.7109375" style="402" customWidth="1"/>
    <col min="15876" max="15876" width="15.85546875" style="402" customWidth="1"/>
    <col min="15877" max="15877" width="12.5703125" style="402" customWidth="1"/>
    <col min="15878" max="15878" width="19" style="402" customWidth="1"/>
    <col min="15879" max="15879" width="20.140625" style="402" customWidth="1"/>
    <col min="15880" max="15880" width="37.140625" style="402" customWidth="1"/>
    <col min="15881" max="15881" width="13.28515625" style="402" customWidth="1"/>
    <col min="15882" max="15882" width="31.85546875" style="402" customWidth="1"/>
    <col min="15883" max="15883" width="54.42578125" style="402" customWidth="1"/>
    <col min="15884" max="16128" width="11.42578125" style="402"/>
    <col min="16129" max="16129" width="37.5703125" style="402" customWidth="1"/>
    <col min="16130" max="16130" width="20.140625" style="402" customWidth="1"/>
    <col min="16131" max="16131" width="12.7109375" style="402" customWidth="1"/>
    <col min="16132" max="16132" width="15.85546875" style="402" customWidth="1"/>
    <col min="16133" max="16133" width="12.5703125" style="402" customWidth="1"/>
    <col min="16134" max="16134" width="19" style="402" customWidth="1"/>
    <col min="16135" max="16135" width="20.140625" style="402" customWidth="1"/>
    <col min="16136" max="16136" width="37.140625" style="402" customWidth="1"/>
    <col min="16137" max="16137" width="13.28515625" style="402" customWidth="1"/>
    <col min="16138" max="16138" width="31.85546875" style="402" customWidth="1"/>
    <col min="16139" max="16139" width="54.42578125" style="402" customWidth="1"/>
    <col min="16140" max="16384" width="11.42578125" style="402"/>
  </cols>
  <sheetData>
    <row r="1" spans="1:16" ht="15.95" customHeight="1">
      <c r="A1" s="401" t="s">
        <v>524</v>
      </c>
      <c r="B1" s="989">
        <v>44931</v>
      </c>
      <c r="C1" s="990"/>
      <c r="D1" s="990"/>
      <c r="E1" s="990"/>
      <c r="F1" s="990"/>
      <c r="G1" s="991"/>
      <c r="H1" s="992" t="s">
        <v>525</v>
      </c>
    </row>
    <row r="2" spans="1:16">
      <c r="A2" s="403" t="s">
        <v>526</v>
      </c>
      <c r="B2" s="995" t="s">
        <v>527</v>
      </c>
      <c r="C2" s="996"/>
      <c r="D2" s="996"/>
      <c r="E2" s="996"/>
      <c r="F2" s="996"/>
      <c r="G2" s="997"/>
      <c r="H2" s="993"/>
    </row>
    <row r="3" spans="1:16">
      <c r="A3" s="403" t="s">
        <v>528</v>
      </c>
      <c r="B3" s="998" t="s">
        <v>529</v>
      </c>
      <c r="C3" s="999"/>
      <c r="D3" s="999"/>
      <c r="E3" s="1000"/>
      <c r="F3" s="998" t="s">
        <v>530</v>
      </c>
      <c r="G3" s="1001"/>
      <c r="H3" s="993"/>
      <c r="I3" s="404"/>
      <c r="J3" s="404"/>
    </row>
    <row r="4" spans="1:16">
      <c r="A4" s="403" t="s">
        <v>531</v>
      </c>
      <c r="B4" s="1002" t="s">
        <v>532</v>
      </c>
      <c r="C4" s="1003"/>
      <c r="D4" s="1003"/>
      <c r="E4" s="1003"/>
      <c r="F4" s="1003"/>
      <c r="G4" s="1004"/>
      <c r="H4" s="993"/>
    </row>
    <row r="5" spans="1:16">
      <c r="A5" s="403" t="s">
        <v>533</v>
      </c>
      <c r="B5" s="1005" t="s">
        <v>534</v>
      </c>
      <c r="C5" s="1006"/>
      <c r="D5" s="1006"/>
      <c r="E5" s="1006"/>
      <c r="F5" s="1006"/>
      <c r="G5" s="1007"/>
      <c r="H5" s="993"/>
    </row>
    <row r="6" spans="1:16" s="405" customFormat="1">
      <c r="A6" s="403" t="s">
        <v>535</v>
      </c>
      <c r="B6" s="995" t="s">
        <v>536</v>
      </c>
      <c r="C6" s="996"/>
      <c r="D6" s="996"/>
      <c r="E6" s="996"/>
      <c r="F6" s="996"/>
      <c r="G6" s="997"/>
      <c r="H6" s="993"/>
    </row>
    <row r="7" spans="1:16">
      <c r="A7" s="406" t="s">
        <v>537</v>
      </c>
      <c r="B7" s="1008" t="s">
        <v>538</v>
      </c>
      <c r="C7" s="1009"/>
      <c r="D7" s="1009"/>
      <c r="E7" s="1009"/>
      <c r="F7" s="1009"/>
      <c r="G7" s="1010"/>
      <c r="H7" s="994"/>
    </row>
    <row r="8" spans="1:16" ht="16.5" thickBot="1">
      <c r="A8" s="402" t="s">
        <v>539</v>
      </c>
      <c r="B8" s="407"/>
      <c r="C8" s="408"/>
      <c r="D8" s="407"/>
      <c r="E8" s="407"/>
      <c r="F8" s="409" t="s">
        <v>540</v>
      </c>
      <c r="G8" s="407"/>
      <c r="H8" s="407"/>
      <c r="K8" s="410"/>
    </row>
    <row r="9" spans="1:16">
      <c r="A9" s="402" t="s">
        <v>541</v>
      </c>
      <c r="B9" s="407"/>
      <c r="C9" s="408"/>
      <c r="D9" s="407"/>
      <c r="E9" s="407"/>
      <c r="F9" s="411">
        <v>0.24229999999999999</v>
      </c>
      <c r="G9" s="407"/>
      <c r="H9" s="407"/>
      <c r="K9" s="410"/>
      <c r="L9" s="986" t="s">
        <v>542</v>
      </c>
      <c r="M9" s="987"/>
      <c r="N9" s="987"/>
      <c r="O9" s="987"/>
      <c r="P9" s="988"/>
    </row>
    <row r="10" spans="1:16" ht="26.25">
      <c r="A10" s="412" t="s">
        <v>425</v>
      </c>
      <c r="B10" s="413" t="s">
        <v>426</v>
      </c>
      <c r="C10" s="414" t="s">
        <v>543</v>
      </c>
      <c r="D10" s="413" t="s">
        <v>544</v>
      </c>
      <c r="E10" s="413" t="s">
        <v>545</v>
      </c>
      <c r="F10" s="413" t="s">
        <v>546</v>
      </c>
      <c r="G10" s="413" t="s">
        <v>547</v>
      </c>
      <c r="H10" s="413" t="s">
        <v>548</v>
      </c>
      <c r="I10" s="413" t="s">
        <v>549</v>
      </c>
      <c r="J10" s="413" t="s">
        <v>550</v>
      </c>
      <c r="K10" s="415" t="s">
        <v>551</v>
      </c>
      <c r="L10" s="416" t="s">
        <v>552</v>
      </c>
      <c r="M10" s="416" t="s">
        <v>553</v>
      </c>
      <c r="N10" s="416" t="s">
        <v>554</v>
      </c>
      <c r="O10" s="416" t="s">
        <v>555</v>
      </c>
      <c r="P10" s="416" t="s">
        <v>556</v>
      </c>
    </row>
    <row r="11" spans="1:16">
      <c r="A11" s="417" t="s">
        <v>427</v>
      </c>
      <c r="B11" s="418">
        <v>135</v>
      </c>
      <c r="C11" s="419">
        <v>1.2547879636128125</v>
      </c>
      <c r="D11" s="420">
        <v>0.10524673835796082</v>
      </c>
      <c r="E11" s="420">
        <v>0.127194604424157</v>
      </c>
      <c r="F11" s="419">
        <f>IF($F$8="Effective",C11/(1+(1-E11)*D11),C11/(1+(1-$F$9)*D11))</f>
        <v>1.1621146070739607</v>
      </c>
      <c r="G11" s="420">
        <v>0.11169911736245143</v>
      </c>
      <c r="H11" s="419">
        <f>F11/(1-G11)</f>
        <v>1.308244345793514</v>
      </c>
      <c r="I11" s="421">
        <v>0.43754969169758179</v>
      </c>
      <c r="J11" s="420">
        <v>0.40023555271842232</v>
      </c>
      <c r="K11" s="422">
        <v>0.2362577529293535</v>
      </c>
      <c r="L11" s="419">
        <v>1.3873451591464141</v>
      </c>
      <c r="M11" s="419">
        <v>1.4638800012975379</v>
      </c>
      <c r="N11" s="419">
        <v>1.3</v>
      </c>
      <c r="O11" s="419">
        <v>1.2972520086633736</v>
      </c>
      <c r="P11" s="423">
        <f t="shared" ref="P11:P74" si="0">AVERAGE(H11,L11:O11)</f>
        <v>1.3513443029801677</v>
      </c>
    </row>
    <row r="12" spans="1:16">
      <c r="A12" s="417" t="s">
        <v>428</v>
      </c>
      <c r="B12" s="418">
        <v>121</v>
      </c>
      <c r="C12" s="419">
        <v>1.1123296263061822</v>
      </c>
      <c r="D12" s="420">
        <v>0.12262337391441812</v>
      </c>
      <c r="E12" s="420">
        <v>0.11277188422392796</v>
      </c>
      <c r="F12" s="419">
        <f t="shared" ref="F12:F75" si="1">IF($F$8="Effective",C12/(1+(1-E12)*D12),C12/(1+(1-$F$9)*D12))</f>
        <v>1.0177671218551703</v>
      </c>
      <c r="G12" s="420">
        <v>0.11653318826881143</v>
      </c>
      <c r="H12" s="419">
        <f t="shared" ref="H12:H75" si="2">F12/(1-G12)</f>
        <v>1.1520151162903502</v>
      </c>
      <c r="I12" s="421">
        <v>0.32720568407568845</v>
      </c>
      <c r="J12" s="420">
        <v>0.31393640851117977</v>
      </c>
      <c r="K12" s="422">
        <v>0.25750012312690546</v>
      </c>
      <c r="L12" s="419">
        <v>1.136943384036615</v>
      </c>
      <c r="M12" s="419">
        <v>1.0995783241953678</v>
      </c>
      <c r="N12" s="419">
        <v>1.24</v>
      </c>
      <c r="O12" s="419">
        <v>1.2318967251861455</v>
      </c>
      <c r="P12" s="423">
        <f t="shared" si="0"/>
        <v>1.1720867099416958</v>
      </c>
    </row>
    <row r="13" spans="1:16">
      <c r="A13" s="417" t="s">
        <v>429</v>
      </c>
      <c r="B13" s="418">
        <v>79</v>
      </c>
      <c r="C13" s="419">
        <v>1.2233884460533799</v>
      </c>
      <c r="D13" s="420">
        <v>0.87883463654481841</v>
      </c>
      <c r="E13" s="420">
        <v>6.709338193446035E-2</v>
      </c>
      <c r="F13" s="419">
        <f t="shared" si="1"/>
        <v>0.73437396221431772</v>
      </c>
      <c r="G13" s="420">
        <v>8.1086271981780991E-2</v>
      </c>
      <c r="H13" s="419">
        <f t="shared" si="2"/>
        <v>0.79917617924602113</v>
      </c>
      <c r="I13" s="421">
        <v>0.28623553933285173</v>
      </c>
      <c r="J13" s="420">
        <v>0.28647552976759216</v>
      </c>
      <c r="K13" s="422">
        <v>1.9825234336645539</v>
      </c>
      <c r="L13" s="419">
        <v>0.57445066738801764</v>
      </c>
      <c r="M13" s="419">
        <v>0.59028344666868737</v>
      </c>
      <c r="N13" s="419">
        <v>0.92</v>
      </c>
      <c r="O13" s="419">
        <v>0.91236026665036729</v>
      </c>
      <c r="P13" s="423">
        <f t="shared" si="0"/>
        <v>0.75925411199061865</v>
      </c>
    </row>
    <row r="14" spans="1:16">
      <c r="A14" s="417" t="s">
        <v>431</v>
      </c>
      <c r="B14" s="418">
        <v>919</v>
      </c>
      <c r="C14" s="419">
        <v>0.86660992379781421</v>
      </c>
      <c r="D14" s="420">
        <v>0.23140845936278756</v>
      </c>
      <c r="E14" s="420">
        <v>0.14804160122210552</v>
      </c>
      <c r="F14" s="419">
        <f t="shared" si="1"/>
        <v>0.73732814216570919</v>
      </c>
      <c r="G14" s="420">
        <v>8.7892918604212791E-2</v>
      </c>
      <c r="H14" s="419">
        <f t="shared" si="2"/>
        <v>0.80837892524349686</v>
      </c>
      <c r="I14" s="421">
        <v>0.36538890874103136</v>
      </c>
      <c r="J14" s="420">
        <v>0.36060128693424526</v>
      </c>
      <c r="K14" s="422">
        <v>0.24291242291381951</v>
      </c>
      <c r="L14" s="419">
        <v>0.72490893765132425</v>
      </c>
      <c r="M14" s="419">
        <v>0.63505363686549221</v>
      </c>
      <c r="N14" s="419">
        <v>0.85</v>
      </c>
      <c r="O14" s="419">
        <v>0.85120410268225599</v>
      </c>
      <c r="P14" s="423">
        <f t="shared" si="0"/>
        <v>0.77390912048851379</v>
      </c>
    </row>
    <row r="15" spans="1:16">
      <c r="A15" s="417" t="s">
        <v>432</v>
      </c>
      <c r="B15" s="418">
        <v>78</v>
      </c>
      <c r="C15" s="419">
        <v>1.2789712789022192</v>
      </c>
      <c r="D15" s="420">
        <v>0.45118525150470884</v>
      </c>
      <c r="E15" s="420">
        <v>0.13070032900243647</v>
      </c>
      <c r="F15" s="419">
        <f t="shared" si="1"/>
        <v>0.95313099540462665</v>
      </c>
      <c r="G15" s="420">
        <v>0.20356790633709784</v>
      </c>
      <c r="H15" s="419">
        <f t="shared" si="2"/>
        <v>1.1967511141107392</v>
      </c>
      <c r="I15" s="421">
        <v>0.34181885897055542</v>
      </c>
      <c r="J15" s="420">
        <v>0.29067297300871758</v>
      </c>
      <c r="K15" s="422">
        <v>0.16210650498579027</v>
      </c>
      <c r="L15" s="419">
        <v>1.2763941992571965</v>
      </c>
      <c r="M15" s="419">
        <v>1.1274851293160135</v>
      </c>
      <c r="N15" s="419">
        <v>1.27</v>
      </c>
      <c r="O15" s="419">
        <v>1.2578641918255029</v>
      </c>
      <c r="P15" s="423">
        <f t="shared" si="0"/>
        <v>1.2256989269018903</v>
      </c>
    </row>
    <row r="16" spans="1:16">
      <c r="A16" s="417" t="s">
        <v>433</v>
      </c>
      <c r="B16" s="418">
        <v>527</v>
      </c>
      <c r="C16" s="419">
        <v>1.4173247670951763</v>
      </c>
      <c r="D16" s="420">
        <v>0.21560977611929377</v>
      </c>
      <c r="E16" s="420">
        <v>0.15257403759395338</v>
      </c>
      <c r="F16" s="419">
        <f t="shared" si="1"/>
        <v>1.2182949358270863</v>
      </c>
      <c r="G16" s="420">
        <v>0.10694855948742626</v>
      </c>
      <c r="H16" s="419">
        <f t="shared" si="2"/>
        <v>1.3641934613843032</v>
      </c>
      <c r="I16" s="421">
        <v>0.33690522401582595</v>
      </c>
      <c r="J16" s="420">
        <v>0.32579303548975225</v>
      </c>
      <c r="K16" s="422">
        <v>9.7092101786603047E-2</v>
      </c>
      <c r="L16" s="419">
        <v>1.1593816365009328</v>
      </c>
      <c r="M16" s="419">
        <v>1.1106623878291921</v>
      </c>
      <c r="N16" s="419">
        <v>1.51</v>
      </c>
      <c r="O16" s="419">
        <v>1.5049792155244837</v>
      </c>
      <c r="P16" s="423">
        <f t="shared" si="0"/>
        <v>1.3298433402477823</v>
      </c>
    </row>
    <row r="17" spans="1:16">
      <c r="A17" s="417" t="s">
        <v>434</v>
      </c>
      <c r="B17" s="418">
        <v>459</v>
      </c>
      <c r="C17" s="419">
        <v>0.79535182530933479</v>
      </c>
      <c r="D17" s="420">
        <v>1.9732846403923556</v>
      </c>
      <c r="E17" s="420">
        <v>0.20868192176542699</v>
      </c>
      <c r="F17" s="419">
        <f t="shared" si="1"/>
        <v>0.31875812993731367</v>
      </c>
      <c r="G17" s="420">
        <v>0.23639137074514552</v>
      </c>
      <c r="H17" s="419">
        <f t="shared" si="2"/>
        <v>0.41743652143947696</v>
      </c>
      <c r="I17" s="421">
        <v>0.22218024972236783</v>
      </c>
      <c r="J17" s="420">
        <v>0.20863170601303069</v>
      </c>
      <c r="K17" s="422">
        <v>0.4191951459171902</v>
      </c>
      <c r="L17" s="419">
        <v>0.41950535885096946</v>
      </c>
      <c r="M17" s="419">
        <v>0.42903081733037929</v>
      </c>
      <c r="N17" s="419">
        <v>0.56000000000000005</v>
      </c>
      <c r="O17" s="419">
        <v>0.55519435246404414</v>
      </c>
      <c r="P17" s="423">
        <f t="shared" si="0"/>
        <v>0.476233410016974</v>
      </c>
    </row>
    <row r="18" spans="1:16">
      <c r="A18" s="417" t="s">
        <v>435</v>
      </c>
      <c r="B18" s="418">
        <v>91</v>
      </c>
      <c r="C18" s="419">
        <v>0.80121147478324095</v>
      </c>
      <c r="D18" s="420">
        <v>4.9955517310330722</v>
      </c>
      <c r="E18" s="420">
        <v>0.16118694622192645</v>
      </c>
      <c r="F18" s="419">
        <f t="shared" si="1"/>
        <v>0.16743778135576287</v>
      </c>
      <c r="G18" s="420">
        <v>0.11201072661008989</v>
      </c>
      <c r="H18" s="419">
        <f t="shared" si="2"/>
        <v>0.18855833777875161</v>
      </c>
      <c r="I18" s="421">
        <v>0.24314617749048067</v>
      </c>
      <c r="J18" s="420">
        <v>0.27187092793238393</v>
      </c>
      <c r="K18" s="422" t="s">
        <v>430</v>
      </c>
      <c r="L18" s="419">
        <v>0.3547086609754177</v>
      </c>
      <c r="M18" s="419">
        <v>0.26424790140443499</v>
      </c>
      <c r="N18" s="419">
        <v>0.23</v>
      </c>
      <c r="O18" s="419">
        <v>0.22359549270322193</v>
      </c>
      <c r="P18" s="423">
        <f t="shared" si="0"/>
        <v>0.25222207857236528</v>
      </c>
    </row>
    <row r="19" spans="1:16">
      <c r="A19" s="417" t="s">
        <v>436</v>
      </c>
      <c r="B19" s="418">
        <v>123</v>
      </c>
      <c r="C19" s="419">
        <v>1.0021898985010138</v>
      </c>
      <c r="D19" s="420">
        <v>2.0795120881295533E-2</v>
      </c>
      <c r="E19" s="420">
        <v>0.18212958937393456</v>
      </c>
      <c r="F19" s="419">
        <f t="shared" si="1"/>
        <v>0.98664388061145092</v>
      </c>
      <c r="G19" s="420">
        <v>5.4075267952493761E-2</v>
      </c>
      <c r="H19" s="419">
        <f t="shared" si="2"/>
        <v>1.043046922428813</v>
      </c>
      <c r="I19" s="421">
        <v>0.25716708846595016</v>
      </c>
      <c r="J19" s="420">
        <v>0.28324904040872662</v>
      </c>
      <c r="K19" s="422">
        <v>0.25189085009157841</v>
      </c>
      <c r="L19" s="419">
        <v>1.0542828976677521</v>
      </c>
      <c r="M19" s="419">
        <v>1.0566088487737693</v>
      </c>
      <c r="N19" s="419">
        <v>1.1000000000000001</v>
      </c>
      <c r="O19" s="419">
        <v>1.0987116610940375</v>
      </c>
      <c r="P19" s="423">
        <f t="shared" si="0"/>
        <v>1.0705300659928745</v>
      </c>
    </row>
    <row r="20" spans="1:16">
      <c r="A20" s="417" t="s">
        <v>437</v>
      </c>
      <c r="B20" s="418">
        <v>40</v>
      </c>
      <c r="C20" s="419">
        <v>0.51345457370936376</v>
      </c>
      <c r="D20" s="420">
        <v>4.9155839961194346E-2</v>
      </c>
      <c r="E20" s="420">
        <v>0.15832029926749444</v>
      </c>
      <c r="F20" s="419">
        <f t="shared" si="1"/>
        <v>0.49501746032338012</v>
      </c>
      <c r="G20" s="420">
        <v>4.9224355177402458E-2</v>
      </c>
      <c r="H20" s="419">
        <f t="shared" si="2"/>
        <v>0.52064592001170162</v>
      </c>
      <c r="I20" s="421">
        <v>0.29508587416756532</v>
      </c>
      <c r="J20" s="420">
        <v>0.26673936572016282</v>
      </c>
      <c r="K20" s="422">
        <v>0.45821519454119986</v>
      </c>
      <c r="L20" s="419">
        <v>0.53027054829754128</v>
      </c>
      <c r="M20" s="419">
        <v>0.36161564789843148</v>
      </c>
      <c r="N20" s="419">
        <v>0.7</v>
      </c>
      <c r="O20" s="419">
        <v>0.69642702814752144</v>
      </c>
      <c r="P20" s="423">
        <f t="shared" si="0"/>
        <v>0.56179182887103918</v>
      </c>
    </row>
    <row r="21" spans="1:16">
      <c r="A21" s="417" t="s">
        <v>438</v>
      </c>
      <c r="B21" s="418">
        <v>60</v>
      </c>
      <c r="C21" s="419">
        <v>1.1093422508494308</v>
      </c>
      <c r="D21" s="420">
        <v>0.25639309185872555</v>
      </c>
      <c r="E21" s="420">
        <v>0.14611104286060103</v>
      </c>
      <c r="F21" s="419">
        <f t="shared" si="1"/>
        <v>0.92888805486702486</v>
      </c>
      <c r="G21" s="420">
        <v>0.11396280606016505</v>
      </c>
      <c r="H21" s="419">
        <f t="shared" si="2"/>
        <v>1.0483623726185243</v>
      </c>
      <c r="I21" s="421">
        <v>0.35770852921106122</v>
      </c>
      <c r="J21" s="420">
        <v>0.36021435634007959</v>
      </c>
      <c r="K21" s="422">
        <v>0.22409693046908025</v>
      </c>
      <c r="L21" s="419">
        <v>0.78458542517097107</v>
      </c>
      <c r="M21" s="419">
        <v>0.69628231241441851</v>
      </c>
      <c r="N21" s="419">
        <v>1.06</v>
      </c>
      <c r="O21" s="419">
        <v>1.060586926905688</v>
      </c>
      <c r="P21" s="423">
        <f t="shared" si="0"/>
        <v>0.9299634074219203</v>
      </c>
    </row>
    <row r="22" spans="1:16">
      <c r="A22" s="417" t="s">
        <v>439</v>
      </c>
      <c r="B22" s="418">
        <v>434</v>
      </c>
      <c r="C22" s="419">
        <v>0.99253385390980198</v>
      </c>
      <c r="D22" s="420">
        <v>2.3401300620117147</v>
      </c>
      <c r="E22" s="420">
        <v>0.13779973863057404</v>
      </c>
      <c r="F22" s="419">
        <f t="shared" si="1"/>
        <v>0.35791278034474944</v>
      </c>
      <c r="G22" s="420">
        <v>0.11139428048091518</v>
      </c>
      <c r="H22" s="419">
        <f t="shared" si="2"/>
        <v>0.40278018977691538</v>
      </c>
      <c r="I22" s="421">
        <v>0.38130387010099809</v>
      </c>
      <c r="J22" s="420">
        <v>0.36678760876347843</v>
      </c>
      <c r="K22" s="422">
        <v>0.83472724254473118</v>
      </c>
      <c r="L22" s="419">
        <v>0.50890740871520435</v>
      </c>
      <c r="M22" s="419">
        <v>0.54074099549696242</v>
      </c>
      <c r="N22" s="419">
        <v>0.42</v>
      </c>
      <c r="O22" s="419">
        <v>0.41483021144999843</v>
      </c>
      <c r="P22" s="423">
        <f t="shared" si="0"/>
        <v>0.45745176108781604</v>
      </c>
    </row>
    <row r="23" spans="1:16">
      <c r="A23" s="417" t="s">
        <v>440</v>
      </c>
      <c r="B23" s="418">
        <v>250</v>
      </c>
      <c r="C23" s="419">
        <v>1.1459577381297767</v>
      </c>
      <c r="D23" s="420">
        <v>0.23711110470279068</v>
      </c>
      <c r="E23" s="420">
        <v>0.16533151763699711</v>
      </c>
      <c r="F23" s="419">
        <f t="shared" si="1"/>
        <v>0.97143128352955888</v>
      </c>
      <c r="G23" s="420">
        <v>8.1610589885036347E-2</v>
      </c>
      <c r="H23" s="419">
        <f t="shared" si="2"/>
        <v>1.0577553190731537</v>
      </c>
      <c r="I23" s="421">
        <v>0.34048134375152334</v>
      </c>
      <c r="J23" s="420">
        <v>0.33883265327838469</v>
      </c>
      <c r="K23" s="422">
        <v>0.36481710473915674</v>
      </c>
      <c r="L23" s="419">
        <v>0.81804539554375577</v>
      </c>
      <c r="M23" s="419">
        <v>0.79260962015588798</v>
      </c>
      <c r="N23" s="419">
        <v>1.1100000000000001</v>
      </c>
      <c r="O23" s="419">
        <v>1.1050168953408688</v>
      </c>
      <c r="P23" s="423">
        <f t="shared" si="0"/>
        <v>0.97668544602273344</v>
      </c>
    </row>
    <row r="24" spans="1:16">
      <c r="A24" s="417" t="s">
        <v>441</v>
      </c>
      <c r="B24" s="418">
        <v>313</v>
      </c>
      <c r="C24" s="419">
        <v>0.96971792976662508</v>
      </c>
      <c r="D24" s="420">
        <v>0.12487325134357853</v>
      </c>
      <c r="E24" s="420">
        <v>0.11708824353932412</v>
      </c>
      <c r="F24" s="419">
        <f t="shared" si="1"/>
        <v>0.88589744714213581</v>
      </c>
      <c r="G24" s="420">
        <v>0.11659477113329714</v>
      </c>
      <c r="H24" s="419">
        <f t="shared" si="2"/>
        <v>1.0028211495630721</v>
      </c>
      <c r="I24" s="421">
        <v>0.3895944953966316</v>
      </c>
      <c r="J24" s="420">
        <v>0.37651519777209974</v>
      </c>
      <c r="K24" s="422">
        <v>0.23915089770829656</v>
      </c>
      <c r="L24" s="419">
        <v>1.175825453795329</v>
      </c>
      <c r="M24" s="419">
        <v>0.94061487915841047</v>
      </c>
      <c r="N24" s="419">
        <v>0.89</v>
      </c>
      <c r="O24" s="419">
        <v>0.89249454496497771</v>
      </c>
      <c r="P24" s="423">
        <f t="shared" si="0"/>
        <v>0.98035120549635801</v>
      </c>
    </row>
    <row r="25" spans="1:16">
      <c r="A25" s="417" t="s">
        <v>442</v>
      </c>
      <c r="B25" s="418">
        <v>33</v>
      </c>
      <c r="C25" s="419">
        <v>1.1116591106928237</v>
      </c>
      <c r="D25" s="420">
        <v>0.36976028704878983</v>
      </c>
      <c r="E25" s="420">
        <v>9.3067838664881178E-2</v>
      </c>
      <c r="F25" s="419">
        <f t="shared" si="1"/>
        <v>0.86837013439088706</v>
      </c>
      <c r="G25" s="420">
        <v>0.14844805034281844</v>
      </c>
      <c r="H25" s="419">
        <f t="shared" si="2"/>
        <v>1.0197500396076555</v>
      </c>
      <c r="I25" s="421">
        <v>0.34659431614366104</v>
      </c>
      <c r="J25" s="420">
        <v>0.28911382320393403</v>
      </c>
      <c r="K25" s="422">
        <v>0.36960616023107151</v>
      </c>
      <c r="L25" s="419">
        <v>1.0582156054998635</v>
      </c>
      <c r="M25" s="419">
        <v>1.2068977920661514</v>
      </c>
      <c r="N25" s="419">
        <v>1.05</v>
      </c>
      <c r="O25" s="419">
        <v>1.0396241397270267</v>
      </c>
      <c r="P25" s="423">
        <f t="shared" si="0"/>
        <v>1.0748975153801397</v>
      </c>
    </row>
    <row r="26" spans="1:16">
      <c r="A26" s="417" t="s">
        <v>443</v>
      </c>
      <c r="B26" s="418">
        <v>691</v>
      </c>
      <c r="C26" s="419">
        <v>1.1398696931998886</v>
      </c>
      <c r="D26" s="420">
        <v>0.33979238014113222</v>
      </c>
      <c r="E26" s="420">
        <v>0.15624620762814606</v>
      </c>
      <c r="F26" s="419">
        <f t="shared" si="1"/>
        <v>0.90648535218494986</v>
      </c>
      <c r="G26" s="420">
        <v>0.10192860870864495</v>
      </c>
      <c r="H26" s="419">
        <f t="shared" si="2"/>
        <v>1.009368922087025</v>
      </c>
      <c r="I26" s="421">
        <v>0.33242005338035641</v>
      </c>
      <c r="J26" s="420">
        <v>0.32420851391027694</v>
      </c>
      <c r="K26" s="422">
        <v>0.45671575621195931</v>
      </c>
      <c r="L26" s="419">
        <v>0.95597230744037309</v>
      </c>
      <c r="M26" s="419">
        <v>0.92019332630870299</v>
      </c>
      <c r="N26" s="419">
        <v>1.03</v>
      </c>
      <c r="O26" s="419">
        <v>1.0269885227456215</v>
      </c>
      <c r="P26" s="423">
        <f t="shared" si="0"/>
        <v>0.9885046157163444</v>
      </c>
    </row>
    <row r="27" spans="1:16">
      <c r="A27" s="417" t="s">
        <v>444</v>
      </c>
      <c r="B27" s="418">
        <v>34</v>
      </c>
      <c r="C27" s="419">
        <v>1.1618351344221871</v>
      </c>
      <c r="D27" s="420">
        <v>0.27062291943144268</v>
      </c>
      <c r="E27" s="420">
        <v>0.19579129459359629</v>
      </c>
      <c r="F27" s="419">
        <f t="shared" si="1"/>
        <v>0.96413774011956288</v>
      </c>
      <c r="G27" s="420">
        <v>8.5380668126192383E-2</v>
      </c>
      <c r="H27" s="419">
        <f t="shared" si="2"/>
        <v>1.0541410032787142</v>
      </c>
      <c r="I27" s="421">
        <v>0.2759860090240559</v>
      </c>
      <c r="J27" s="420">
        <v>0.28391941260446357</v>
      </c>
      <c r="K27" s="422">
        <v>0.22989681330765277</v>
      </c>
      <c r="L27" s="419">
        <v>0.86305102066897976</v>
      </c>
      <c r="M27" s="419">
        <v>0.7347177270227101</v>
      </c>
      <c r="N27" s="419">
        <v>1.28</v>
      </c>
      <c r="O27" s="419">
        <v>1.2745170768768976</v>
      </c>
      <c r="P27" s="423">
        <f t="shared" si="0"/>
        <v>1.0412853655694605</v>
      </c>
    </row>
    <row r="28" spans="1:16">
      <c r="A28" s="417" t="s">
        <v>445</v>
      </c>
      <c r="B28" s="418">
        <v>625</v>
      </c>
      <c r="C28" s="419">
        <v>1.0642213307709947</v>
      </c>
      <c r="D28" s="420">
        <v>0.17525574037870773</v>
      </c>
      <c r="E28" s="420">
        <v>0.1643211100069138</v>
      </c>
      <c r="F28" s="419">
        <f t="shared" si="1"/>
        <v>0.93946815688077279</v>
      </c>
      <c r="G28" s="420">
        <v>8.5703691972694854E-2</v>
      </c>
      <c r="H28" s="419">
        <f t="shared" si="2"/>
        <v>1.0275313906798758</v>
      </c>
      <c r="I28" s="421">
        <v>0.33961490586738258</v>
      </c>
      <c r="J28" s="420">
        <v>0.32871841733199164</v>
      </c>
      <c r="K28" s="422">
        <v>0.47298509611312001</v>
      </c>
      <c r="L28" s="419">
        <v>1.0333367527002595</v>
      </c>
      <c r="M28" s="419">
        <v>0.93445156923508244</v>
      </c>
      <c r="N28" s="419">
        <v>1.08</v>
      </c>
      <c r="O28" s="419">
        <v>1.0811399505572796</v>
      </c>
      <c r="P28" s="423">
        <f t="shared" si="0"/>
        <v>1.0312919326344994</v>
      </c>
    </row>
    <row r="29" spans="1:16">
      <c r="A29" s="417" t="s">
        <v>446</v>
      </c>
      <c r="B29" s="418">
        <v>93</v>
      </c>
      <c r="C29" s="419">
        <v>0.86339721637075073</v>
      </c>
      <c r="D29" s="420">
        <v>0.26078527024298337</v>
      </c>
      <c r="E29" s="420">
        <v>0.16735224114793509</v>
      </c>
      <c r="F29" s="419">
        <f t="shared" si="1"/>
        <v>0.72094136583675994</v>
      </c>
      <c r="G29" s="420">
        <v>0.26366178406832902</v>
      </c>
      <c r="H29" s="419">
        <f t="shared" si="2"/>
        <v>0.97908997555501076</v>
      </c>
      <c r="I29" s="421">
        <v>0.40884158148679794</v>
      </c>
      <c r="J29" s="420">
        <v>0.41318238093137843</v>
      </c>
      <c r="K29" s="422">
        <v>0.47821975953701046</v>
      </c>
      <c r="L29" s="419">
        <v>1.1346070241413708</v>
      </c>
      <c r="M29" s="419">
        <v>1.3930787758601335</v>
      </c>
      <c r="N29" s="419">
        <v>1.06</v>
      </c>
      <c r="O29" s="419">
        <v>1.0502600688545261</v>
      </c>
      <c r="P29" s="423">
        <f t="shared" si="0"/>
        <v>1.1234071688822083</v>
      </c>
    </row>
    <row r="30" spans="1:16">
      <c r="A30" s="417" t="s">
        <v>447</v>
      </c>
      <c r="B30" s="418">
        <v>548</v>
      </c>
      <c r="C30" s="419">
        <v>1.0493029605957931</v>
      </c>
      <c r="D30" s="420">
        <v>9.845318856345206E-2</v>
      </c>
      <c r="E30" s="420">
        <v>0.13557720392880895</v>
      </c>
      <c r="F30" s="419">
        <f t="shared" si="1"/>
        <v>0.9764609455567792</v>
      </c>
      <c r="G30" s="420">
        <v>5.3351451182068826E-2</v>
      </c>
      <c r="H30" s="419">
        <f t="shared" si="2"/>
        <v>1.031492571108966</v>
      </c>
      <c r="I30" s="421">
        <v>0.37054255668655556</v>
      </c>
      <c r="J30" s="420">
        <v>0.36002989584654765</v>
      </c>
      <c r="K30" s="422">
        <v>0.25920210159096413</v>
      </c>
      <c r="L30" s="419">
        <v>1.0643198923601052</v>
      </c>
      <c r="M30" s="419">
        <v>1.0389022641869152</v>
      </c>
      <c r="N30" s="419">
        <v>1.05</v>
      </c>
      <c r="O30" s="419">
        <v>1.0534169381388234</v>
      </c>
      <c r="P30" s="423">
        <f t="shared" si="0"/>
        <v>1.0476263331589621</v>
      </c>
    </row>
    <row r="31" spans="1:16">
      <c r="A31" s="417" t="s">
        <v>448</v>
      </c>
      <c r="B31" s="418">
        <v>220</v>
      </c>
      <c r="C31" s="419">
        <v>1.2798842768636391</v>
      </c>
      <c r="D31" s="420">
        <v>0.1921489067801295</v>
      </c>
      <c r="E31" s="420">
        <v>0.14733906468781949</v>
      </c>
      <c r="F31" s="419">
        <f t="shared" si="1"/>
        <v>1.1172259764829149</v>
      </c>
      <c r="G31" s="420">
        <v>0.16403398142307307</v>
      </c>
      <c r="H31" s="419">
        <f t="shared" si="2"/>
        <v>1.3364490322044185</v>
      </c>
      <c r="I31" s="421">
        <v>0.33950876399867519</v>
      </c>
      <c r="J31" s="420">
        <v>0.30759855283943305</v>
      </c>
      <c r="K31" s="422">
        <v>0.31892103217692402</v>
      </c>
      <c r="L31" s="419">
        <v>1.5343000614774445</v>
      </c>
      <c r="M31" s="419">
        <v>1.4002211476501358</v>
      </c>
      <c r="N31" s="419">
        <v>1.45</v>
      </c>
      <c r="O31" s="419">
        <v>1.44744605859632</v>
      </c>
      <c r="P31" s="423">
        <f t="shared" si="0"/>
        <v>1.4336832599856639</v>
      </c>
    </row>
    <row r="32" spans="1:16">
      <c r="A32" s="417" t="s">
        <v>449</v>
      </c>
      <c r="B32" s="418">
        <v>546</v>
      </c>
      <c r="C32" s="419">
        <v>1.0919994363561338</v>
      </c>
      <c r="D32" s="420">
        <v>0.45548743986724011</v>
      </c>
      <c r="E32" s="420">
        <v>0.14329427979751941</v>
      </c>
      <c r="F32" s="419">
        <f t="shared" si="1"/>
        <v>0.81182135148841983</v>
      </c>
      <c r="G32" s="420">
        <v>0.14497187336027839</v>
      </c>
      <c r="H32" s="419">
        <f t="shared" si="2"/>
        <v>0.94946742240971027</v>
      </c>
      <c r="I32" s="421">
        <v>0.3207339676156718</v>
      </c>
      <c r="J32" s="420">
        <v>0.29818857928992504</v>
      </c>
      <c r="K32" s="422">
        <v>0.35867366055792566</v>
      </c>
      <c r="L32" s="419">
        <v>0.95916561035682901</v>
      </c>
      <c r="M32" s="419">
        <v>0.96815501418784278</v>
      </c>
      <c r="N32" s="419">
        <v>1.04</v>
      </c>
      <c r="O32" s="419">
        <v>1.0326397092280337</v>
      </c>
      <c r="P32" s="423">
        <f t="shared" si="0"/>
        <v>0.98988555123648325</v>
      </c>
    </row>
    <row r="33" spans="1:16">
      <c r="A33" s="417" t="s">
        <v>450</v>
      </c>
      <c r="B33" s="418">
        <v>204</v>
      </c>
      <c r="C33" s="419">
        <v>0.89025268085378773</v>
      </c>
      <c r="D33" s="420">
        <v>1.1018019748250607</v>
      </c>
      <c r="E33" s="420">
        <v>0.13525845851433821</v>
      </c>
      <c r="F33" s="419">
        <f t="shared" si="1"/>
        <v>0.48519485837514259</v>
      </c>
      <c r="G33" s="420">
        <v>9.532313673451448E-2</v>
      </c>
      <c r="H33" s="419">
        <f t="shared" si="2"/>
        <v>0.53631841166336736</v>
      </c>
      <c r="I33" s="421">
        <v>0.28093859995911863</v>
      </c>
      <c r="J33" s="420">
        <v>0.2567368687265647</v>
      </c>
      <c r="K33" s="422">
        <v>0.24358246740140774</v>
      </c>
      <c r="L33" s="419">
        <v>0.46716743312841608</v>
      </c>
      <c r="M33" s="419">
        <v>0.41108022322493432</v>
      </c>
      <c r="N33" s="419">
        <v>0.56000000000000005</v>
      </c>
      <c r="O33" s="419">
        <v>0.55112019293317693</v>
      </c>
      <c r="P33" s="423">
        <f t="shared" si="0"/>
        <v>0.50513725218997896</v>
      </c>
    </row>
    <row r="34" spans="1:16">
      <c r="A34" s="417" t="s">
        <v>451</v>
      </c>
      <c r="B34" s="418">
        <v>304</v>
      </c>
      <c r="C34" s="419">
        <v>1.4369095867810762</v>
      </c>
      <c r="D34" s="420">
        <v>4.099487065638889E-2</v>
      </c>
      <c r="E34" s="420">
        <v>6.448525279624602E-2</v>
      </c>
      <c r="F34" s="419">
        <f t="shared" si="1"/>
        <v>1.3936211854345517</v>
      </c>
      <c r="G34" s="420">
        <v>8.230094582431581E-2</v>
      </c>
      <c r="H34" s="419">
        <f t="shared" si="2"/>
        <v>1.5186037068397773</v>
      </c>
      <c r="I34" s="421">
        <v>0.42316309994356266</v>
      </c>
      <c r="J34" s="420">
        <v>0.39039658406461963</v>
      </c>
      <c r="K34" s="422">
        <v>0.80455006294216469</v>
      </c>
      <c r="L34" s="419">
        <v>1.4467480605117209</v>
      </c>
      <c r="M34" s="419">
        <v>1.4991411566765112</v>
      </c>
      <c r="N34" s="419">
        <v>1.5</v>
      </c>
      <c r="O34" s="419">
        <v>1.499293195536507</v>
      </c>
      <c r="P34" s="423">
        <f t="shared" si="0"/>
        <v>1.4927572239129032</v>
      </c>
    </row>
    <row r="35" spans="1:16">
      <c r="A35" s="417" t="s">
        <v>452</v>
      </c>
      <c r="B35" s="418">
        <v>701</v>
      </c>
      <c r="C35" s="419">
        <v>0.94188893840474441</v>
      </c>
      <c r="D35" s="420">
        <v>0.12655180299768976</v>
      </c>
      <c r="E35" s="420">
        <v>0.14942222967356877</v>
      </c>
      <c r="F35" s="419">
        <f t="shared" si="1"/>
        <v>0.85947531097136209</v>
      </c>
      <c r="G35" s="420">
        <v>8.6182529831019108E-2</v>
      </c>
      <c r="H35" s="419">
        <f t="shared" si="2"/>
        <v>0.94053280773066206</v>
      </c>
      <c r="I35" s="421">
        <v>0.33962107208616016</v>
      </c>
      <c r="J35" s="420">
        <v>0.31327981990324427</v>
      </c>
      <c r="K35" s="422">
        <v>0.19736882722430121</v>
      </c>
      <c r="L35" s="419">
        <v>1.1371098069299392</v>
      </c>
      <c r="M35" s="419">
        <v>1.1286029087957032</v>
      </c>
      <c r="N35" s="419">
        <v>1.07</v>
      </c>
      <c r="O35" s="419">
        <v>1.0653263802635891</v>
      </c>
      <c r="P35" s="423">
        <f t="shared" si="0"/>
        <v>1.068314380743979</v>
      </c>
    </row>
    <row r="36" spans="1:16">
      <c r="A36" s="417" t="s">
        <v>453</v>
      </c>
      <c r="B36" s="418">
        <v>151</v>
      </c>
      <c r="C36" s="419">
        <v>0.88345657702584712</v>
      </c>
      <c r="D36" s="420">
        <v>0.34537955314527291</v>
      </c>
      <c r="E36" s="420">
        <v>0.11181535380692163</v>
      </c>
      <c r="F36" s="419">
        <f t="shared" si="1"/>
        <v>0.70021456534973536</v>
      </c>
      <c r="G36" s="420">
        <v>0.1083471952205393</v>
      </c>
      <c r="H36" s="419">
        <f t="shared" si="2"/>
        <v>0.78529957130895223</v>
      </c>
      <c r="I36" s="421">
        <v>0.40204181763753633</v>
      </c>
      <c r="J36" s="420">
        <v>0.35544646966148985</v>
      </c>
      <c r="K36" s="422">
        <v>0.37107400915120092</v>
      </c>
      <c r="L36" s="419">
        <v>1.3218076172967503</v>
      </c>
      <c r="M36" s="419">
        <v>1.1374455200060063</v>
      </c>
      <c r="N36" s="419">
        <v>1.01</v>
      </c>
      <c r="O36" s="419">
        <v>1.0071440634072593</v>
      </c>
      <c r="P36" s="423">
        <f t="shared" si="0"/>
        <v>1.0523393544037938</v>
      </c>
    </row>
    <row r="37" spans="1:16">
      <c r="A37" s="417" t="s">
        <v>454</v>
      </c>
      <c r="B37" s="418">
        <v>694</v>
      </c>
      <c r="C37" s="419">
        <v>1.0049343979183731</v>
      </c>
      <c r="D37" s="420">
        <v>0.14901103131143084</v>
      </c>
      <c r="E37" s="420">
        <v>0.12197056329237574</v>
      </c>
      <c r="F37" s="419">
        <f t="shared" si="1"/>
        <v>0.90298255769574176</v>
      </c>
      <c r="G37" s="420">
        <v>9.9001598053726034E-2</v>
      </c>
      <c r="H37" s="419">
        <f t="shared" si="2"/>
        <v>1.0022021745490133</v>
      </c>
      <c r="I37" s="421">
        <v>0.35617558347924305</v>
      </c>
      <c r="J37" s="420">
        <v>0.34205032302131899</v>
      </c>
      <c r="K37" s="422">
        <v>0.34348346354916631</v>
      </c>
      <c r="L37" s="419">
        <v>1.0614274288215162</v>
      </c>
      <c r="M37" s="419">
        <v>1.0820444856860594</v>
      </c>
      <c r="N37" s="419">
        <v>1</v>
      </c>
      <c r="O37" s="419">
        <v>1.0023385172350134</v>
      </c>
      <c r="P37" s="423">
        <f t="shared" si="0"/>
        <v>1.0296025212583202</v>
      </c>
    </row>
    <row r="38" spans="1:16">
      <c r="A38" s="417" t="s">
        <v>455</v>
      </c>
      <c r="B38" s="418">
        <v>81</v>
      </c>
      <c r="C38" s="419">
        <v>1.285462842089373</v>
      </c>
      <c r="D38" s="420">
        <v>0.88399949316969217</v>
      </c>
      <c r="E38" s="420">
        <v>0.14350949362995555</v>
      </c>
      <c r="F38" s="419">
        <f t="shared" si="1"/>
        <v>0.76982746610123709</v>
      </c>
      <c r="G38" s="420">
        <v>0.20493299581875576</v>
      </c>
      <c r="H38" s="419">
        <f t="shared" si="2"/>
        <v>0.96825482890464221</v>
      </c>
      <c r="I38" s="421">
        <v>0.34934279784622352</v>
      </c>
      <c r="J38" s="420">
        <v>0.31850778962468418</v>
      </c>
      <c r="K38" s="422">
        <v>0.47251954661736151</v>
      </c>
      <c r="L38" s="419">
        <v>1.1520763475762492</v>
      </c>
      <c r="M38" s="419">
        <v>1.3065570200451491</v>
      </c>
      <c r="N38" s="419">
        <v>1.1100000000000001</v>
      </c>
      <c r="O38" s="419">
        <v>1.105971910181053</v>
      </c>
      <c r="P38" s="423">
        <f t="shared" si="0"/>
        <v>1.1285720213414188</v>
      </c>
    </row>
    <row r="39" spans="1:16">
      <c r="A39" s="417" t="s">
        <v>456</v>
      </c>
      <c r="B39" s="418">
        <v>976</v>
      </c>
      <c r="C39" s="419">
        <v>1.3092515609997015</v>
      </c>
      <c r="D39" s="420">
        <v>0.23076022134974541</v>
      </c>
      <c r="E39" s="420">
        <v>0.11909507131731716</v>
      </c>
      <c r="F39" s="419">
        <f t="shared" si="1"/>
        <v>1.1144017382921985</v>
      </c>
      <c r="G39" s="420">
        <v>0.15181846765327373</v>
      </c>
      <c r="H39" s="419">
        <f t="shared" si="2"/>
        <v>1.3138717312187889</v>
      </c>
      <c r="I39" s="421">
        <v>0.34363266116050978</v>
      </c>
      <c r="J39" s="420">
        <v>0.31303180434126693</v>
      </c>
      <c r="K39" s="422">
        <v>0.43214191070019087</v>
      </c>
      <c r="L39" s="419">
        <v>1.4857542706314864</v>
      </c>
      <c r="M39" s="419">
        <v>1.4718243360857546</v>
      </c>
      <c r="N39" s="419">
        <v>1.36</v>
      </c>
      <c r="O39" s="419">
        <v>1.3594369778858766</v>
      </c>
      <c r="P39" s="423">
        <f t="shared" si="0"/>
        <v>1.3981774631643815</v>
      </c>
    </row>
    <row r="40" spans="1:16">
      <c r="A40" s="417" t="s">
        <v>457</v>
      </c>
      <c r="B40" s="418">
        <v>876</v>
      </c>
      <c r="C40" s="419">
        <v>1.1000606706009237</v>
      </c>
      <c r="D40" s="420">
        <v>1.5484871329793766</v>
      </c>
      <c r="E40" s="420">
        <v>0.13283585018145844</v>
      </c>
      <c r="F40" s="419">
        <f t="shared" si="1"/>
        <v>0.50617328027685504</v>
      </c>
      <c r="G40" s="420">
        <v>0.24214442600582614</v>
      </c>
      <c r="H40" s="419">
        <f t="shared" si="2"/>
        <v>0.6679020352243874</v>
      </c>
      <c r="I40" s="421">
        <v>0.37999834306519248</v>
      </c>
      <c r="J40" s="420">
        <v>0.35796246898136291</v>
      </c>
      <c r="K40" s="422">
        <v>0.32652511450486854</v>
      </c>
      <c r="L40" s="419">
        <v>0.88881310000671321</v>
      </c>
      <c r="M40" s="419">
        <v>0.72074547184173599</v>
      </c>
      <c r="N40" s="419">
        <v>0.76</v>
      </c>
      <c r="O40" s="419">
        <v>0.75222906791929156</v>
      </c>
      <c r="P40" s="423">
        <f t="shared" si="0"/>
        <v>0.75793793499842566</v>
      </c>
    </row>
    <row r="41" spans="1:16">
      <c r="A41" s="417" t="s">
        <v>458</v>
      </c>
      <c r="B41" s="418">
        <v>329</v>
      </c>
      <c r="C41" s="419">
        <v>1.2778391915154916</v>
      </c>
      <c r="D41" s="420">
        <v>0.17389701107721925</v>
      </c>
      <c r="E41" s="420">
        <v>8.9887442731720502E-2</v>
      </c>
      <c r="F41" s="419">
        <f t="shared" si="1"/>
        <v>1.1290708263010085</v>
      </c>
      <c r="G41" s="420">
        <v>0.11130320129041987</v>
      </c>
      <c r="H41" s="419">
        <f t="shared" si="2"/>
        <v>1.2704792319950517</v>
      </c>
      <c r="I41" s="421">
        <v>0.4205949592228625</v>
      </c>
      <c r="J41" s="420">
        <v>0.40857805377639683</v>
      </c>
      <c r="K41" s="422">
        <v>0.3333050830566654</v>
      </c>
      <c r="L41" s="419">
        <v>1.4049425952991137</v>
      </c>
      <c r="M41" s="419">
        <v>1.262504652106285</v>
      </c>
      <c r="N41" s="419">
        <v>1.19</v>
      </c>
      <c r="O41" s="419">
        <v>1.1902121938589882</v>
      </c>
      <c r="P41" s="423">
        <f t="shared" si="0"/>
        <v>1.2636277346518878</v>
      </c>
    </row>
    <row r="42" spans="1:16">
      <c r="A42" s="417" t="s">
        <v>459</v>
      </c>
      <c r="B42" s="418">
        <v>183</v>
      </c>
      <c r="C42" s="419">
        <v>1.0898983946338689</v>
      </c>
      <c r="D42" s="420">
        <v>0.69681437306188276</v>
      </c>
      <c r="E42" s="420">
        <v>0.13866337895304398</v>
      </c>
      <c r="F42" s="419">
        <f t="shared" si="1"/>
        <v>0.71329537635113216</v>
      </c>
      <c r="G42" s="420">
        <v>9.6884550445631823E-2</v>
      </c>
      <c r="H42" s="419">
        <f t="shared" si="2"/>
        <v>0.7898163813974165</v>
      </c>
      <c r="I42" s="421">
        <v>0.35749406992970351</v>
      </c>
      <c r="J42" s="420">
        <v>0.3484648643090531</v>
      </c>
      <c r="K42" s="422">
        <v>0.49251865991949711</v>
      </c>
      <c r="L42" s="419">
        <v>1.0560042675543022</v>
      </c>
      <c r="M42" s="419">
        <v>1.1031975132642153</v>
      </c>
      <c r="N42" s="419">
        <v>0.7</v>
      </c>
      <c r="O42" s="419">
        <v>0.69513895841068662</v>
      </c>
      <c r="P42" s="423">
        <f t="shared" si="0"/>
        <v>0.8688314241253241</v>
      </c>
    </row>
    <row r="43" spans="1:16">
      <c r="A43" s="417" t="s">
        <v>460</v>
      </c>
      <c r="B43" s="418">
        <v>296</v>
      </c>
      <c r="C43" s="419">
        <v>0.82414787698819414</v>
      </c>
      <c r="D43" s="420">
        <v>0.56349128296196271</v>
      </c>
      <c r="E43" s="420">
        <v>0.12795117364479541</v>
      </c>
      <c r="F43" s="419">
        <f t="shared" si="1"/>
        <v>0.57755607048666002</v>
      </c>
      <c r="G43" s="420">
        <v>8.6782291273504814E-2</v>
      </c>
      <c r="H43" s="419">
        <f t="shared" si="2"/>
        <v>0.63244072576305632</v>
      </c>
      <c r="I43" s="421">
        <v>0.36194749218394212</v>
      </c>
      <c r="J43" s="420">
        <v>0.32436129669865438</v>
      </c>
      <c r="K43" s="422">
        <v>0.21938219443916107</v>
      </c>
      <c r="L43" s="419">
        <v>0.63221162496723948</v>
      </c>
      <c r="M43" s="419">
        <v>0.63773293893506489</v>
      </c>
      <c r="N43" s="419">
        <v>0.79</v>
      </c>
      <c r="O43" s="419">
        <v>0.78424241046773346</v>
      </c>
      <c r="P43" s="423">
        <f t="shared" si="0"/>
        <v>0.69532554002661884</v>
      </c>
    </row>
    <row r="44" spans="1:16">
      <c r="A44" s="417" t="s">
        <v>461</v>
      </c>
      <c r="B44" s="418">
        <v>609</v>
      </c>
      <c r="C44" s="419">
        <v>0.82735424153823467</v>
      </c>
      <c r="D44" s="420">
        <v>1.6283875894570645</v>
      </c>
      <c r="E44" s="420">
        <v>0.16148026526834255</v>
      </c>
      <c r="F44" s="419">
        <f t="shared" si="1"/>
        <v>0.37037487610639441</v>
      </c>
      <c r="G44" s="420">
        <v>8.7631009879283073E-2</v>
      </c>
      <c r="H44" s="419">
        <f t="shared" si="2"/>
        <v>0.40594855822246823</v>
      </c>
      <c r="I44" s="421">
        <v>0.3643362579166381</v>
      </c>
      <c r="J44" s="420">
        <v>0.35369579943781182</v>
      </c>
      <c r="K44" s="422">
        <v>0.39164958956871293</v>
      </c>
      <c r="L44" s="419">
        <v>0.4227718204430197</v>
      </c>
      <c r="M44" s="419">
        <v>0.3439011461262077</v>
      </c>
      <c r="N44" s="419">
        <v>0.45</v>
      </c>
      <c r="O44" s="419">
        <v>0.44727276171637598</v>
      </c>
      <c r="P44" s="423">
        <f t="shared" si="0"/>
        <v>0.41397885730161432</v>
      </c>
    </row>
    <row r="45" spans="1:16">
      <c r="A45" s="417" t="s">
        <v>462</v>
      </c>
      <c r="B45" s="418">
        <v>946</v>
      </c>
      <c r="C45" s="419">
        <v>0.85111507463415348</v>
      </c>
      <c r="D45" s="420">
        <v>0.33142411184888526</v>
      </c>
      <c r="E45" s="420">
        <v>0.15556235877062569</v>
      </c>
      <c r="F45" s="419">
        <f t="shared" si="1"/>
        <v>0.68028249962240561</v>
      </c>
      <c r="G45" s="420">
        <v>8.4791801019606552E-2</v>
      </c>
      <c r="H45" s="419">
        <f t="shared" si="2"/>
        <v>0.74330900922903487</v>
      </c>
      <c r="I45" s="421">
        <v>0.32314632454687808</v>
      </c>
      <c r="J45" s="420">
        <v>0.29910661136638944</v>
      </c>
      <c r="K45" s="422">
        <v>0.29888890352340841</v>
      </c>
      <c r="L45" s="419">
        <v>0.7256132516902345</v>
      </c>
      <c r="M45" s="419">
        <v>0.68526232861476177</v>
      </c>
      <c r="N45" s="419">
        <v>0.85</v>
      </c>
      <c r="O45" s="419">
        <v>0.84332046617149892</v>
      </c>
      <c r="P45" s="423">
        <f t="shared" si="0"/>
        <v>0.76950101114110603</v>
      </c>
    </row>
    <row r="46" spans="1:16">
      <c r="A46" s="417" t="s">
        <v>463</v>
      </c>
      <c r="B46" s="418">
        <v>98</v>
      </c>
      <c r="C46" s="419">
        <v>0.64171469712892659</v>
      </c>
      <c r="D46" s="420">
        <v>0.53231241886633163</v>
      </c>
      <c r="E46" s="420">
        <v>0.133464137223266</v>
      </c>
      <c r="F46" s="419">
        <f t="shared" si="1"/>
        <v>0.45727895115295603</v>
      </c>
      <c r="G46" s="420">
        <v>0.1013481645103143</v>
      </c>
      <c r="H46" s="419">
        <f t="shared" si="2"/>
        <v>0.50884996067890909</v>
      </c>
      <c r="I46" s="421">
        <v>0.36813780149026631</v>
      </c>
      <c r="J46" s="420">
        <v>0.35615106650646311</v>
      </c>
      <c r="K46" s="422">
        <v>0.28607669686444254</v>
      </c>
      <c r="L46" s="419">
        <v>0.66988366438408942</v>
      </c>
      <c r="M46" s="419">
        <v>0.60875989388789231</v>
      </c>
      <c r="N46" s="419">
        <v>0.61</v>
      </c>
      <c r="O46" s="419">
        <v>0.60347158750495189</v>
      </c>
      <c r="P46" s="423">
        <f t="shared" si="0"/>
        <v>0.60019302129116847</v>
      </c>
    </row>
    <row r="47" spans="1:16">
      <c r="A47" s="417" t="s">
        <v>464</v>
      </c>
      <c r="B47" s="418">
        <v>254</v>
      </c>
      <c r="C47" s="419">
        <v>1.075111341557748</v>
      </c>
      <c r="D47" s="420">
        <v>0.1838572320416704</v>
      </c>
      <c r="E47" s="420">
        <v>0.14202345598456181</v>
      </c>
      <c r="F47" s="419">
        <f t="shared" si="1"/>
        <v>0.94365242062824106</v>
      </c>
      <c r="G47" s="420">
        <v>0.19133090927937066</v>
      </c>
      <c r="H47" s="419">
        <f t="shared" si="2"/>
        <v>1.166920352782773</v>
      </c>
      <c r="I47" s="421">
        <v>0.33178845922553185</v>
      </c>
      <c r="J47" s="420">
        <v>0.29671298811489205</v>
      </c>
      <c r="K47" s="422">
        <v>0.38616407784669932</v>
      </c>
      <c r="L47" s="419">
        <v>1.1086649770297277</v>
      </c>
      <c r="M47" s="419">
        <v>1.0674557479022384</v>
      </c>
      <c r="N47" s="419">
        <v>1.21</v>
      </c>
      <c r="O47" s="419">
        <v>1.2029341379223717</v>
      </c>
      <c r="P47" s="423">
        <f t="shared" si="0"/>
        <v>1.1511950431274223</v>
      </c>
    </row>
    <row r="48" spans="1:16">
      <c r="A48" s="417" t="s">
        <v>465</v>
      </c>
      <c r="B48" s="418">
        <v>131</v>
      </c>
      <c r="C48" s="419">
        <v>1.0045231368785612</v>
      </c>
      <c r="D48" s="420">
        <v>0.58162370725996826</v>
      </c>
      <c r="E48" s="420">
        <v>9.8482369115364565E-2</v>
      </c>
      <c r="F48" s="419">
        <f t="shared" si="1"/>
        <v>0.69724837131749684</v>
      </c>
      <c r="G48" s="420">
        <v>3.8352991539846178E-2</v>
      </c>
      <c r="H48" s="419">
        <f t="shared" si="2"/>
        <v>0.72505645541805641</v>
      </c>
      <c r="I48" s="421">
        <v>0.32188207188456902</v>
      </c>
      <c r="J48" s="420">
        <v>0.32731972164768303</v>
      </c>
      <c r="K48" s="422">
        <v>0.35220544310682173</v>
      </c>
      <c r="L48" s="419">
        <v>0.67962381220940982</v>
      </c>
      <c r="M48" s="419">
        <v>0.58784703307623587</v>
      </c>
      <c r="N48" s="419">
        <v>0.7</v>
      </c>
      <c r="O48" s="419">
        <v>0.6919262718250383</v>
      </c>
      <c r="P48" s="423">
        <f t="shared" si="0"/>
        <v>0.67689071450574811</v>
      </c>
    </row>
    <row r="49" spans="1:16">
      <c r="A49" s="417" t="s">
        <v>466</v>
      </c>
      <c r="B49" s="418">
        <v>340</v>
      </c>
      <c r="C49" s="419">
        <v>1.1273169192040779</v>
      </c>
      <c r="D49" s="420">
        <v>3.9860987435802561E-2</v>
      </c>
      <c r="E49" s="420">
        <v>0.10124085855207247</v>
      </c>
      <c r="F49" s="419">
        <f t="shared" si="1"/>
        <v>1.0942671299881139</v>
      </c>
      <c r="G49" s="420">
        <v>9.9423679698784267E-2</v>
      </c>
      <c r="H49" s="419">
        <f t="shared" si="2"/>
        <v>1.2150742866769075</v>
      </c>
      <c r="I49" s="421">
        <v>0.38290646577533233</v>
      </c>
      <c r="J49" s="420">
        <v>0.3721555277615492</v>
      </c>
      <c r="K49" s="422">
        <v>1.1211198063940837</v>
      </c>
      <c r="L49" s="419">
        <v>1.3435782182742115</v>
      </c>
      <c r="M49" s="419">
        <v>1.4240771205796954</v>
      </c>
      <c r="N49" s="419">
        <v>1.25</v>
      </c>
      <c r="O49" s="419">
        <v>1.2479549901032494</v>
      </c>
      <c r="P49" s="423">
        <f t="shared" si="0"/>
        <v>1.2961369231268127</v>
      </c>
    </row>
    <row r="50" spans="1:16">
      <c r="A50" s="417" t="s">
        <v>467</v>
      </c>
      <c r="B50" s="418">
        <v>195</v>
      </c>
      <c r="C50" s="419">
        <v>0.94855102060864704</v>
      </c>
      <c r="D50" s="420">
        <v>0.37423313472880332</v>
      </c>
      <c r="E50" s="420">
        <v>0.16023805203639199</v>
      </c>
      <c r="F50" s="419">
        <f t="shared" si="1"/>
        <v>0.73900218679799301</v>
      </c>
      <c r="G50" s="420">
        <v>0.14238417665794514</v>
      </c>
      <c r="H50" s="419">
        <f t="shared" si="2"/>
        <v>0.86169374058207704</v>
      </c>
      <c r="I50" s="421">
        <v>0.37023085049826088</v>
      </c>
      <c r="J50" s="420">
        <v>0.31661672142265335</v>
      </c>
      <c r="K50" s="422">
        <v>0.44053297463778535</v>
      </c>
      <c r="L50" s="419">
        <v>1.0378967621167954</v>
      </c>
      <c r="M50" s="419">
        <v>0.89615962935378235</v>
      </c>
      <c r="N50" s="419">
        <v>0.86</v>
      </c>
      <c r="O50" s="419">
        <v>0.85594931215773562</v>
      </c>
      <c r="P50" s="423">
        <f t="shared" si="0"/>
        <v>0.90233988884207805</v>
      </c>
    </row>
    <row r="51" spans="1:16">
      <c r="A51" s="417" t="s">
        <v>468</v>
      </c>
      <c r="B51" s="418">
        <v>117</v>
      </c>
      <c r="C51" s="419">
        <v>1.4810412614330186</v>
      </c>
      <c r="D51" s="420">
        <v>3.90414654543964E-2</v>
      </c>
      <c r="E51" s="420">
        <v>8.8210311004828595E-2</v>
      </c>
      <c r="F51" s="419">
        <f t="shared" si="1"/>
        <v>1.4384883054944442</v>
      </c>
      <c r="G51" s="420">
        <v>5.0762394087172875E-2</v>
      </c>
      <c r="H51" s="419">
        <f t="shared" si="2"/>
        <v>1.5154143667866307</v>
      </c>
      <c r="I51" s="421">
        <v>0.41285828652147732</v>
      </c>
      <c r="J51" s="420">
        <v>0.37646554331157367</v>
      </c>
      <c r="K51" s="422">
        <v>1.1008594570432955</v>
      </c>
      <c r="L51" s="419">
        <v>1.7988074162531253</v>
      </c>
      <c r="M51" s="419">
        <v>1.6547483283987632</v>
      </c>
      <c r="N51" s="419">
        <v>1.51</v>
      </c>
      <c r="O51" s="419">
        <v>1.5092108211557376</v>
      </c>
      <c r="P51" s="423">
        <f t="shared" si="0"/>
        <v>1.5976361865188513</v>
      </c>
    </row>
    <row r="52" spans="1:16">
      <c r="A52" s="417" t="s">
        <v>469</v>
      </c>
      <c r="B52" s="418">
        <v>42</v>
      </c>
      <c r="C52" s="419">
        <v>1.0465065675031995</v>
      </c>
      <c r="D52" s="420">
        <v>0.97195420773696839</v>
      </c>
      <c r="E52" s="420">
        <v>0.13081408177340331</v>
      </c>
      <c r="F52" s="419">
        <f t="shared" si="1"/>
        <v>0.60267024467985908</v>
      </c>
      <c r="G52" s="420">
        <v>8.9510605319406383E-2</v>
      </c>
      <c r="H52" s="419">
        <f t="shared" si="2"/>
        <v>0.66191901652108776</v>
      </c>
      <c r="I52" s="421">
        <v>0.3756837373538075</v>
      </c>
      <c r="J52" s="420">
        <v>0.37822500062766806</v>
      </c>
      <c r="K52" s="422">
        <v>0.8943814104649358</v>
      </c>
      <c r="L52" s="419">
        <v>0.76319273687898015</v>
      </c>
      <c r="M52" s="419">
        <v>0.57053028129548855</v>
      </c>
      <c r="N52" s="419">
        <v>1.52</v>
      </c>
      <c r="O52" s="419">
        <v>1.5093429301939607</v>
      </c>
      <c r="P52" s="423">
        <f t="shared" si="0"/>
        <v>1.0049969929779035</v>
      </c>
    </row>
    <row r="53" spans="1:16">
      <c r="A53" s="417" t="s">
        <v>470</v>
      </c>
      <c r="B53" s="418">
        <v>139</v>
      </c>
      <c r="C53" s="419">
        <v>0.65552309504745199</v>
      </c>
      <c r="D53" s="420">
        <v>0.14843944330148903</v>
      </c>
      <c r="E53" s="420">
        <v>0.17406382862186523</v>
      </c>
      <c r="F53" s="419">
        <f t="shared" si="1"/>
        <v>0.58924877338122761</v>
      </c>
      <c r="G53" s="420">
        <v>3.6652956029601294E-2</v>
      </c>
      <c r="H53" s="419">
        <f t="shared" si="2"/>
        <v>0.61166822182031189</v>
      </c>
      <c r="I53" s="421">
        <v>0.29704038542083933</v>
      </c>
      <c r="J53" s="420">
        <v>0.27335832678053279</v>
      </c>
      <c r="K53" s="422">
        <v>0.28969604039180336</v>
      </c>
      <c r="L53" s="419">
        <v>0.77899157203385638</v>
      </c>
      <c r="M53" s="419">
        <v>0.58483915708390577</v>
      </c>
      <c r="N53" s="419">
        <v>0.81</v>
      </c>
      <c r="O53" s="419">
        <v>0.80881924711274922</v>
      </c>
      <c r="P53" s="423">
        <f t="shared" si="0"/>
        <v>0.71886363961016464</v>
      </c>
    </row>
    <row r="54" spans="1:16">
      <c r="A54" s="417" t="s">
        <v>471</v>
      </c>
      <c r="B54" s="418">
        <v>412</v>
      </c>
      <c r="C54" s="419">
        <v>0.82935386942814415</v>
      </c>
      <c r="D54" s="420">
        <v>0.51413442269010268</v>
      </c>
      <c r="E54" s="420">
        <v>8.0780611717472139E-2</v>
      </c>
      <c r="F54" s="419">
        <f t="shared" si="1"/>
        <v>0.59684653925529896</v>
      </c>
      <c r="G54" s="420">
        <v>8.8523078959828583E-2</v>
      </c>
      <c r="H54" s="419">
        <f t="shared" si="2"/>
        <v>0.65481256351963546</v>
      </c>
      <c r="I54" s="421">
        <v>0.32886822370471497</v>
      </c>
      <c r="J54" s="420">
        <v>0.33021246668383758</v>
      </c>
      <c r="K54" s="422">
        <v>0.9611221713824184</v>
      </c>
      <c r="L54" s="419">
        <v>0.82152577601965482</v>
      </c>
      <c r="M54" s="419">
        <v>0.67153504256779384</v>
      </c>
      <c r="N54" s="419">
        <v>0.77</v>
      </c>
      <c r="O54" s="419">
        <v>0.76342541591719937</v>
      </c>
      <c r="P54" s="423">
        <f t="shared" si="0"/>
        <v>0.73625975960485657</v>
      </c>
    </row>
    <row r="55" spans="1:16">
      <c r="A55" s="417" t="s">
        <v>472</v>
      </c>
      <c r="B55" s="418">
        <v>300</v>
      </c>
      <c r="C55" s="419">
        <v>1.0281190324619993</v>
      </c>
      <c r="D55" s="420">
        <v>7.1429178206633748E-2</v>
      </c>
      <c r="E55" s="420">
        <v>0.1316728734105162</v>
      </c>
      <c r="F55" s="419">
        <f t="shared" si="1"/>
        <v>0.97533221143293769</v>
      </c>
      <c r="G55" s="420">
        <v>6.5471387123773164E-2</v>
      </c>
      <c r="H55" s="419">
        <f t="shared" si="2"/>
        <v>1.0436622249918368</v>
      </c>
      <c r="I55" s="421">
        <v>0.35297197050838092</v>
      </c>
      <c r="J55" s="420">
        <v>0.3112177251485157</v>
      </c>
      <c r="K55" s="422">
        <v>0.2103240792815379</v>
      </c>
      <c r="L55" s="419">
        <v>0.98014143089808414</v>
      </c>
      <c r="M55" s="419">
        <v>1.0428620318814188</v>
      </c>
      <c r="N55" s="419">
        <v>1.1200000000000001</v>
      </c>
      <c r="O55" s="419">
        <v>1.1208967387008009</v>
      </c>
      <c r="P55" s="423">
        <f t="shared" si="0"/>
        <v>1.0615124852944282</v>
      </c>
    </row>
    <row r="56" spans="1:16">
      <c r="A56" s="417" t="s">
        <v>473</v>
      </c>
      <c r="B56" s="418">
        <v>90</v>
      </c>
      <c r="C56" s="419">
        <v>1.5436031819264355</v>
      </c>
      <c r="D56" s="420">
        <v>0.12302782608612328</v>
      </c>
      <c r="E56" s="420">
        <v>0.18357002119216986</v>
      </c>
      <c r="F56" s="419">
        <f t="shared" si="1"/>
        <v>1.4119808879550151</v>
      </c>
      <c r="G56" s="420">
        <v>0.11902470736074093</v>
      </c>
      <c r="H56" s="419">
        <f t="shared" si="2"/>
        <v>1.6027474320249655</v>
      </c>
      <c r="I56" s="421">
        <v>0.39198810732424016</v>
      </c>
      <c r="J56" s="420">
        <v>0.36074095541306056</v>
      </c>
      <c r="K56" s="422">
        <v>0.18453741128488249</v>
      </c>
      <c r="L56" s="419">
        <v>1.1870365912131486</v>
      </c>
      <c r="M56" s="419">
        <v>1.0954195871885255</v>
      </c>
      <c r="N56" s="419">
        <v>1.41</v>
      </c>
      <c r="O56" s="419">
        <v>1.4096397408900823</v>
      </c>
      <c r="P56" s="423">
        <f t="shared" si="0"/>
        <v>1.3409686702633443</v>
      </c>
    </row>
    <row r="57" spans="1:16">
      <c r="A57" s="417" t="s">
        <v>474</v>
      </c>
      <c r="B57" s="418">
        <v>137</v>
      </c>
      <c r="C57" s="419">
        <v>0.53585243689859008</v>
      </c>
      <c r="D57" s="420">
        <v>0.42687495497015882</v>
      </c>
      <c r="E57" s="420">
        <v>0.1475428196782986</v>
      </c>
      <c r="F57" s="419">
        <f t="shared" si="1"/>
        <v>0.40489267372738502</v>
      </c>
      <c r="G57" s="420">
        <v>0.21623142366936454</v>
      </c>
      <c r="H57" s="419">
        <f t="shared" si="2"/>
        <v>0.51659722774670114</v>
      </c>
      <c r="I57" s="421">
        <v>0.25419556220121853</v>
      </c>
      <c r="J57" s="420">
        <v>0.2354322819982754</v>
      </c>
      <c r="K57" s="422">
        <v>0.21886911827162767</v>
      </c>
      <c r="L57" s="419">
        <v>0.46514358254990296</v>
      </c>
      <c r="M57" s="419">
        <v>0.46613178157544688</v>
      </c>
      <c r="N57" s="419">
        <v>0.7</v>
      </c>
      <c r="O57" s="419">
        <v>0.69673094631976062</v>
      </c>
      <c r="P57" s="423">
        <f t="shared" si="0"/>
        <v>0.56892070763836222</v>
      </c>
    </row>
    <row r="58" spans="1:16">
      <c r="A58" s="417" t="s">
        <v>475</v>
      </c>
      <c r="B58" s="418">
        <v>85</v>
      </c>
      <c r="C58" s="419">
        <v>0.86178048993492606</v>
      </c>
      <c r="D58" s="420">
        <v>0.7000802695125391</v>
      </c>
      <c r="E58" s="420">
        <v>0.13602222376483256</v>
      </c>
      <c r="F58" s="419">
        <f t="shared" si="1"/>
        <v>0.56308930581439642</v>
      </c>
      <c r="G58" s="420">
        <v>0.13792938785101524</v>
      </c>
      <c r="H58" s="419">
        <f t="shared" si="2"/>
        <v>0.65318234710578704</v>
      </c>
      <c r="I58" s="421">
        <v>0.2804278077006454</v>
      </c>
      <c r="J58" s="420">
        <v>0.24015669603893219</v>
      </c>
      <c r="K58" s="422">
        <v>0.40213653412682931</v>
      </c>
      <c r="L58" s="419">
        <v>0.71966816819512436</v>
      </c>
      <c r="M58" s="419">
        <v>0.7260097725224578</v>
      </c>
      <c r="N58" s="419">
        <v>0.77</v>
      </c>
      <c r="O58" s="419">
        <v>0.75849930409796407</v>
      </c>
      <c r="P58" s="423">
        <f t="shared" si="0"/>
        <v>0.72547191838426672</v>
      </c>
    </row>
    <row r="59" spans="1:16">
      <c r="A59" s="417" t="s">
        <v>476</v>
      </c>
      <c r="B59" s="418">
        <v>152</v>
      </c>
      <c r="C59" s="419">
        <v>0.68556386110295342</v>
      </c>
      <c r="D59" s="420">
        <v>0.2738038117462045</v>
      </c>
      <c r="E59" s="420">
        <v>0.16706088790196472</v>
      </c>
      <c r="F59" s="419">
        <f t="shared" si="1"/>
        <v>0.56777301874068531</v>
      </c>
      <c r="G59" s="420">
        <v>8.8781635562328001E-2</v>
      </c>
      <c r="H59" s="419">
        <f t="shared" si="2"/>
        <v>0.62309215979318799</v>
      </c>
      <c r="I59" s="421">
        <v>0.29425641749011489</v>
      </c>
      <c r="J59" s="420">
        <v>0.27150598567020029</v>
      </c>
      <c r="K59" s="422">
        <v>0.13923185065310767</v>
      </c>
      <c r="L59" s="419">
        <v>0.43721352407455022</v>
      </c>
      <c r="M59" s="419">
        <v>0.42990445961725476</v>
      </c>
      <c r="N59" s="419">
        <v>0.81</v>
      </c>
      <c r="O59" s="419">
        <v>0.80732041968369195</v>
      </c>
      <c r="P59" s="423">
        <f t="shared" si="0"/>
        <v>0.62150611263373701</v>
      </c>
    </row>
    <row r="60" spans="1:16">
      <c r="A60" s="417" t="s">
        <v>477</v>
      </c>
      <c r="B60" s="418">
        <v>483</v>
      </c>
      <c r="C60" s="419">
        <v>0.81195184680567656</v>
      </c>
      <c r="D60" s="420">
        <v>2.5684049578595571</v>
      </c>
      <c r="E60" s="420">
        <v>7.8656673782221839E-2</v>
      </c>
      <c r="F60" s="419">
        <f t="shared" si="1"/>
        <v>0.27560409984967932</v>
      </c>
      <c r="G60" s="420">
        <v>2.277755748691862E-2</v>
      </c>
      <c r="H60" s="419">
        <f t="shared" si="2"/>
        <v>0.28202800903847441</v>
      </c>
      <c r="I60" s="421">
        <v>0.27902480882187247</v>
      </c>
      <c r="J60" s="420">
        <v>0.31469130952208602</v>
      </c>
      <c r="K60" s="422">
        <v>0.59175960968321917</v>
      </c>
      <c r="L60" s="419">
        <v>0.21066342203726945</v>
      </c>
      <c r="M60" s="419">
        <v>0.17169630440189287</v>
      </c>
      <c r="N60" s="419">
        <v>0.37</v>
      </c>
      <c r="O60" s="419">
        <v>0.35927733372341275</v>
      </c>
      <c r="P60" s="423">
        <f t="shared" si="0"/>
        <v>0.27873301384020988</v>
      </c>
    </row>
    <row r="61" spans="1:16">
      <c r="A61" s="417" t="s">
        <v>478</v>
      </c>
      <c r="B61" s="418">
        <v>865</v>
      </c>
      <c r="C61" s="419">
        <v>1.051815636189688</v>
      </c>
      <c r="D61" s="420">
        <v>0.13114296308862758</v>
      </c>
      <c r="E61" s="420">
        <v>0.13661240258268911</v>
      </c>
      <c r="F61" s="419">
        <f t="shared" si="1"/>
        <v>0.95674657694653731</v>
      </c>
      <c r="G61" s="420">
        <v>9.6442741561673526E-2</v>
      </c>
      <c r="H61" s="419">
        <f t="shared" si="2"/>
        <v>1.0588665721087132</v>
      </c>
      <c r="I61" s="421">
        <v>0.34282891688165062</v>
      </c>
      <c r="J61" s="420">
        <v>0.33409717939066341</v>
      </c>
      <c r="K61" s="422">
        <v>0.3846516314064683</v>
      </c>
      <c r="L61" s="419">
        <v>1.1388283323932091</v>
      </c>
      <c r="M61" s="419">
        <v>1.145149444785954</v>
      </c>
      <c r="N61" s="419">
        <v>1.08</v>
      </c>
      <c r="O61" s="419">
        <v>1.0809865544325332</v>
      </c>
      <c r="P61" s="423">
        <f t="shared" si="0"/>
        <v>1.1007661807440818</v>
      </c>
    </row>
    <row r="62" spans="1:16">
      <c r="A62" s="417" t="s">
        <v>479</v>
      </c>
      <c r="B62" s="418">
        <v>326</v>
      </c>
      <c r="C62" s="419">
        <v>1.3083923947892326</v>
      </c>
      <c r="D62" s="420">
        <v>0.33925998418113207</v>
      </c>
      <c r="E62" s="420">
        <v>0.14138488440583954</v>
      </c>
      <c r="F62" s="419">
        <f t="shared" si="1"/>
        <v>1.0408375220310089</v>
      </c>
      <c r="G62" s="420">
        <v>0.1173782299701604</v>
      </c>
      <c r="H62" s="419">
        <f t="shared" si="2"/>
        <v>1.1792565710177536</v>
      </c>
      <c r="I62" s="421">
        <v>0.37152008007530013</v>
      </c>
      <c r="J62" s="420">
        <v>0.38226922760637694</v>
      </c>
      <c r="K62" s="422">
        <v>0.58713713077727014</v>
      </c>
      <c r="L62" s="419">
        <v>1.1004390565744944</v>
      </c>
      <c r="M62" s="419">
        <v>0.97611256541589764</v>
      </c>
      <c r="N62" s="419">
        <v>1.19</v>
      </c>
      <c r="O62" s="419">
        <v>1.1813119842278208</v>
      </c>
      <c r="P62" s="423">
        <f t="shared" si="0"/>
        <v>1.1254240354471934</v>
      </c>
    </row>
    <row r="63" spans="1:16">
      <c r="A63" s="417" t="s">
        <v>480</v>
      </c>
      <c r="B63" s="418">
        <v>73</v>
      </c>
      <c r="C63" s="419">
        <v>0.96666536394553837</v>
      </c>
      <c r="D63" s="420">
        <v>0.12903282608018982</v>
      </c>
      <c r="E63" s="420">
        <v>0.14748859256143251</v>
      </c>
      <c r="F63" s="419">
        <f t="shared" si="1"/>
        <v>0.88057331986749365</v>
      </c>
      <c r="G63" s="420">
        <v>0.11409925921463278</v>
      </c>
      <c r="H63" s="419">
        <f t="shared" si="2"/>
        <v>0.99398643586960922</v>
      </c>
      <c r="I63" s="421">
        <v>0.37316703571592058</v>
      </c>
      <c r="J63" s="420">
        <v>0.35588924261303295</v>
      </c>
      <c r="K63" s="422">
        <v>0.25198434223158123</v>
      </c>
      <c r="L63" s="419">
        <v>0.79733835479989634</v>
      </c>
      <c r="M63" s="419">
        <v>0.84098691851466745</v>
      </c>
      <c r="N63" s="419">
        <v>1.0900000000000001</v>
      </c>
      <c r="O63" s="419">
        <v>1.0841974973505566</v>
      </c>
      <c r="P63" s="423">
        <f t="shared" si="0"/>
        <v>0.96130184130694596</v>
      </c>
    </row>
    <row r="64" spans="1:16">
      <c r="A64" s="417" t="s">
        <v>481</v>
      </c>
      <c r="B64" s="418">
        <v>15</v>
      </c>
      <c r="C64" s="419">
        <v>0.96540474698126066</v>
      </c>
      <c r="D64" s="420">
        <v>0.14643573410201066</v>
      </c>
      <c r="E64" s="420">
        <v>0.22584917538709456</v>
      </c>
      <c r="F64" s="419">
        <f t="shared" si="1"/>
        <v>0.86898686881486498</v>
      </c>
      <c r="G64" s="420">
        <v>5.809317710003177E-2</v>
      </c>
      <c r="H64" s="419">
        <f t="shared" si="2"/>
        <v>0.9225826246161003</v>
      </c>
      <c r="I64" s="421">
        <v>0.26131283952375745</v>
      </c>
      <c r="J64" s="420">
        <v>0.24147733081903186</v>
      </c>
      <c r="K64" s="422">
        <v>0.64988165264630926</v>
      </c>
      <c r="L64" s="419">
        <v>0.95640966034468211</v>
      </c>
      <c r="M64" s="419">
        <v>1.1078244459864743</v>
      </c>
      <c r="N64" s="419">
        <v>1.04</v>
      </c>
      <c r="O64" s="419">
        <v>1.0318608512323721</v>
      </c>
      <c r="P64" s="423">
        <f t="shared" si="0"/>
        <v>1.0117355164359256</v>
      </c>
    </row>
    <row r="65" spans="1:16">
      <c r="A65" s="417" t="s">
        <v>482</v>
      </c>
      <c r="B65" s="418">
        <v>107</v>
      </c>
      <c r="C65" s="419">
        <v>1.4168088845373268</v>
      </c>
      <c r="D65" s="420">
        <v>0.40111390043724243</v>
      </c>
      <c r="E65" s="420">
        <v>0.14459820049356759</v>
      </c>
      <c r="F65" s="419">
        <f t="shared" si="1"/>
        <v>1.0865732066988589</v>
      </c>
      <c r="G65" s="420">
        <v>0.15924759764163809</v>
      </c>
      <c r="H65" s="419">
        <f t="shared" si="2"/>
        <v>1.2923819232046849</v>
      </c>
      <c r="I65" s="421">
        <v>0.3750595877500692</v>
      </c>
      <c r="J65" s="420">
        <v>0.39202778173302405</v>
      </c>
      <c r="K65" s="422">
        <v>0.48038831774241131</v>
      </c>
      <c r="L65" s="419">
        <v>1.3165834914996861</v>
      </c>
      <c r="M65" s="419">
        <v>1.1433745989980975</v>
      </c>
      <c r="N65" s="419">
        <v>1.5</v>
      </c>
      <c r="O65" s="419">
        <v>1.4926884022537461</v>
      </c>
      <c r="P65" s="423">
        <f t="shared" si="0"/>
        <v>1.3490056831912429</v>
      </c>
    </row>
    <row r="66" spans="1:16">
      <c r="A66" s="417" t="s">
        <v>483</v>
      </c>
      <c r="B66" s="418">
        <v>105</v>
      </c>
      <c r="C66" s="419">
        <v>0.97851126527577215</v>
      </c>
      <c r="D66" s="420">
        <v>0.68092716943152543</v>
      </c>
      <c r="E66" s="420">
        <v>0.13116902353987997</v>
      </c>
      <c r="F66" s="419">
        <f t="shared" si="1"/>
        <v>0.64548215825934985</v>
      </c>
      <c r="G66" s="420">
        <v>0.11009284546975837</v>
      </c>
      <c r="H66" s="419">
        <f t="shared" si="2"/>
        <v>0.7253365196283682</v>
      </c>
      <c r="I66" s="421">
        <v>0.33454307114818455</v>
      </c>
      <c r="J66" s="420">
        <v>0.30273098506901086</v>
      </c>
      <c r="K66" s="422">
        <v>0.20488051794469408</v>
      </c>
      <c r="L66" s="419">
        <v>0.85587439097193951</v>
      </c>
      <c r="M66" s="419">
        <v>0.89421046751779443</v>
      </c>
      <c r="N66" s="419">
        <v>0.83</v>
      </c>
      <c r="O66" s="419">
        <v>0.82179672867284081</v>
      </c>
      <c r="P66" s="423">
        <f t="shared" si="0"/>
        <v>0.82544362135818861</v>
      </c>
    </row>
    <row r="67" spans="1:16">
      <c r="A67" s="417" t="s">
        <v>484</v>
      </c>
      <c r="B67" s="418">
        <v>229</v>
      </c>
      <c r="C67" s="419">
        <v>1.0173038569205575</v>
      </c>
      <c r="D67" s="420">
        <v>0.54085855788383008</v>
      </c>
      <c r="E67" s="420">
        <v>0.14711807023651252</v>
      </c>
      <c r="F67" s="419">
        <f t="shared" si="1"/>
        <v>0.72159008530008018</v>
      </c>
      <c r="G67" s="420">
        <v>7.3550365321776071E-2</v>
      </c>
      <c r="H67" s="419">
        <f t="shared" si="2"/>
        <v>0.7788767551845428</v>
      </c>
      <c r="I67" s="421">
        <v>0.3404887208702736</v>
      </c>
      <c r="J67" s="420">
        <v>0.33060401531280581</v>
      </c>
      <c r="K67" s="422">
        <v>0.48708169583203087</v>
      </c>
      <c r="L67" s="419">
        <v>1.0971353487780344</v>
      </c>
      <c r="M67" s="419">
        <v>0.98368025079622645</v>
      </c>
      <c r="N67" s="419">
        <v>1.05</v>
      </c>
      <c r="O67" s="419">
        <v>1.0375182678230574</v>
      </c>
      <c r="P67" s="423">
        <f t="shared" si="0"/>
        <v>0.98944212451637215</v>
      </c>
    </row>
    <row r="68" spans="1:16">
      <c r="A68" s="417" t="s">
        <v>485</v>
      </c>
      <c r="B68" s="418">
        <v>305</v>
      </c>
      <c r="C68" s="419">
        <v>0.83254069266822994</v>
      </c>
      <c r="D68" s="420">
        <v>0.31068030749184966</v>
      </c>
      <c r="E68" s="420">
        <v>0.15111722739752495</v>
      </c>
      <c r="F68" s="419">
        <f t="shared" si="1"/>
        <v>0.67390240311821603</v>
      </c>
      <c r="G68" s="420">
        <v>8.7396005367265689E-2</v>
      </c>
      <c r="H68" s="419">
        <f t="shared" si="2"/>
        <v>0.73843902402533235</v>
      </c>
      <c r="I68" s="421">
        <v>0.33903711410175458</v>
      </c>
      <c r="J68" s="420">
        <v>0.31498270028771491</v>
      </c>
      <c r="K68" s="422">
        <v>0.22142117390631458</v>
      </c>
      <c r="L68" s="419">
        <v>0.67383252529941506</v>
      </c>
      <c r="M68" s="419">
        <v>0.65082386241226253</v>
      </c>
      <c r="N68" s="419">
        <v>0.9</v>
      </c>
      <c r="O68" s="419">
        <v>0.89532699932002879</v>
      </c>
      <c r="P68" s="423">
        <f t="shared" si="0"/>
        <v>0.77168448221140773</v>
      </c>
    </row>
    <row r="69" spans="1:16">
      <c r="A69" s="417" t="s">
        <v>486</v>
      </c>
      <c r="B69" s="418">
        <v>188</v>
      </c>
      <c r="C69" s="419">
        <v>0.99980011371738398</v>
      </c>
      <c r="D69" s="420">
        <v>0.83682460446126683</v>
      </c>
      <c r="E69" s="420">
        <v>0.14361765371409599</v>
      </c>
      <c r="F69" s="419">
        <f t="shared" si="1"/>
        <v>0.61184955773038019</v>
      </c>
      <c r="G69" s="420">
        <v>9.7855873603821392E-2</v>
      </c>
      <c r="H69" s="419">
        <f t="shared" si="2"/>
        <v>0.67821708286740545</v>
      </c>
      <c r="I69" s="421">
        <v>0.3420800078554268</v>
      </c>
      <c r="J69" s="420">
        <v>0.31210196428159737</v>
      </c>
      <c r="K69" s="422">
        <v>0.42280527470186258</v>
      </c>
      <c r="L69" s="419">
        <v>0.68529487141712442</v>
      </c>
      <c r="M69" s="419">
        <v>0.6357069571325199</v>
      </c>
      <c r="N69" s="419">
        <v>0.86</v>
      </c>
      <c r="O69" s="419">
        <v>0.85534753376989447</v>
      </c>
      <c r="P69" s="423">
        <f t="shared" si="0"/>
        <v>0.74291328903738885</v>
      </c>
    </row>
    <row r="70" spans="1:16">
      <c r="A70" s="417" t="s">
        <v>487</v>
      </c>
      <c r="B70" s="418">
        <v>317</v>
      </c>
      <c r="C70" s="419">
        <v>0.74632184832970971</v>
      </c>
      <c r="D70" s="420">
        <v>1.0481677885671468</v>
      </c>
      <c r="E70" s="420">
        <v>0.14435960901723929</v>
      </c>
      <c r="F70" s="419">
        <f t="shared" si="1"/>
        <v>0.4159643334744807</v>
      </c>
      <c r="G70" s="420">
        <v>6.3448265067581874E-2</v>
      </c>
      <c r="H70" s="419">
        <f t="shared" si="2"/>
        <v>0.44414453356866268</v>
      </c>
      <c r="I70" s="421">
        <v>0.27679989602373661</v>
      </c>
      <c r="J70" s="420">
        <v>0.27204096347381573</v>
      </c>
      <c r="K70" s="422">
        <v>0.1557536528302699</v>
      </c>
      <c r="L70" s="419">
        <v>0.5153927962038054</v>
      </c>
      <c r="M70" s="419">
        <v>0.52239083249142748</v>
      </c>
      <c r="N70" s="419">
        <v>0.55000000000000004</v>
      </c>
      <c r="O70" s="419">
        <v>0.54616814802645808</v>
      </c>
      <c r="P70" s="423">
        <f t="shared" si="0"/>
        <v>0.51561926205807063</v>
      </c>
    </row>
    <row r="71" spans="1:16">
      <c r="A71" s="417" t="s">
        <v>488</v>
      </c>
      <c r="B71" s="418">
        <v>71</v>
      </c>
      <c r="C71" s="419">
        <v>1.4079565277654003</v>
      </c>
      <c r="D71" s="420">
        <v>0.26588459156038446</v>
      </c>
      <c r="E71" s="420">
        <v>0.1257869388108889</v>
      </c>
      <c r="F71" s="419">
        <f t="shared" si="1"/>
        <v>1.1718705932560802</v>
      </c>
      <c r="G71" s="420">
        <v>9.4477029486715963E-2</v>
      </c>
      <c r="H71" s="419">
        <f t="shared" si="2"/>
        <v>1.2941367932299062</v>
      </c>
      <c r="I71" s="421">
        <v>0.41821863180268121</v>
      </c>
      <c r="J71" s="420">
        <v>0.47700558712134877</v>
      </c>
      <c r="K71" s="422">
        <v>0.79953138098572152</v>
      </c>
      <c r="L71" s="419">
        <v>1.2087120642010865</v>
      </c>
      <c r="M71" s="419">
        <v>0.96794007715607366</v>
      </c>
      <c r="N71" s="419">
        <v>1.27</v>
      </c>
      <c r="O71" s="419">
        <v>1.2625575183453888</v>
      </c>
      <c r="P71" s="423">
        <f t="shared" si="0"/>
        <v>1.2006692905864909</v>
      </c>
    </row>
    <row r="72" spans="1:16">
      <c r="A72" s="417" t="s">
        <v>489</v>
      </c>
      <c r="B72" s="418">
        <v>171</v>
      </c>
      <c r="C72" s="419">
        <v>0.93308664599416113</v>
      </c>
      <c r="D72" s="420">
        <v>0.10120099471571326</v>
      </c>
      <c r="E72" s="420">
        <v>0.11769356384230889</v>
      </c>
      <c r="F72" s="419">
        <f t="shared" si="1"/>
        <v>0.86663321642208802</v>
      </c>
      <c r="G72" s="420">
        <v>0.21839292787615491</v>
      </c>
      <c r="H72" s="419">
        <f t="shared" si="2"/>
        <v>1.1087837448389548</v>
      </c>
      <c r="I72" s="421">
        <v>0.34817865691210226</v>
      </c>
      <c r="J72" s="420">
        <v>0.34380203368395396</v>
      </c>
      <c r="K72" s="422">
        <v>0.10419461655283666</v>
      </c>
      <c r="L72" s="419">
        <v>1.1427725284557244</v>
      </c>
      <c r="M72" s="419">
        <v>1.1194106512873163</v>
      </c>
      <c r="N72" s="419">
        <v>0.93</v>
      </c>
      <c r="O72" s="419">
        <v>0.92356015971097793</v>
      </c>
      <c r="P72" s="423">
        <f t="shared" si="0"/>
        <v>1.0449054168585947</v>
      </c>
    </row>
    <row r="73" spans="1:16">
      <c r="A73" s="417" t="s">
        <v>490</v>
      </c>
      <c r="B73" s="418">
        <v>261</v>
      </c>
      <c r="C73" s="419">
        <v>0.60149914329672927</v>
      </c>
      <c r="D73" s="420">
        <v>0.68410288373128658</v>
      </c>
      <c r="E73" s="420">
        <v>3.3397191997486503E-2</v>
      </c>
      <c r="F73" s="419">
        <f t="shared" si="1"/>
        <v>0.39615452374349802</v>
      </c>
      <c r="G73" s="420">
        <v>2.4962021438849787E-2</v>
      </c>
      <c r="H73" s="419">
        <f t="shared" si="2"/>
        <v>0.40629650583262167</v>
      </c>
      <c r="I73" s="421">
        <v>0.18373029316569145</v>
      </c>
      <c r="J73" s="420">
        <v>0.14997321534297839</v>
      </c>
      <c r="K73" s="422">
        <v>0.2491764915853496</v>
      </c>
      <c r="L73" s="419">
        <v>0.32836421410530353</v>
      </c>
      <c r="M73" s="419">
        <v>0.30527958513365933</v>
      </c>
      <c r="N73" s="419">
        <v>0.68</v>
      </c>
      <c r="O73" s="419">
        <v>0.67077355593431287</v>
      </c>
      <c r="P73" s="423">
        <f t="shared" si="0"/>
        <v>0.47814277220117951</v>
      </c>
    </row>
    <row r="74" spans="1:16">
      <c r="A74" s="417" t="s">
        <v>491</v>
      </c>
      <c r="B74" s="418">
        <v>757</v>
      </c>
      <c r="C74" s="419">
        <v>1.0331333398588005</v>
      </c>
      <c r="D74" s="420">
        <v>2.0856589357128206</v>
      </c>
      <c r="E74" s="420">
        <v>0.16286468612075888</v>
      </c>
      <c r="F74" s="419">
        <f t="shared" si="1"/>
        <v>0.40039213585335609</v>
      </c>
      <c r="G74" s="420">
        <v>0.19848118441145934</v>
      </c>
      <c r="H74" s="419">
        <f t="shared" si="2"/>
        <v>0.49954178001343041</v>
      </c>
      <c r="I74" s="421">
        <v>0.36028293849166088</v>
      </c>
      <c r="J74" s="420">
        <v>0.32868449684842099</v>
      </c>
      <c r="K74" s="422">
        <v>0.38935816802283052</v>
      </c>
      <c r="L74" s="419">
        <v>0.68581132541152245</v>
      </c>
      <c r="M74" s="419">
        <v>0.65007073340548127</v>
      </c>
      <c r="N74" s="419">
        <v>0.52</v>
      </c>
      <c r="O74" s="419">
        <v>0.5068546867434649</v>
      </c>
      <c r="P74" s="423">
        <f t="shared" si="0"/>
        <v>0.57245570511477983</v>
      </c>
    </row>
    <row r="75" spans="1:16">
      <c r="A75" s="417" t="s">
        <v>492</v>
      </c>
      <c r="B75" s="418">
        <v>220</v>
      </c>
      <c r="C75" s="419">
        <v>0.95446195498648101</v>
      </c>
      <c r="D75" s="420">
        <v>1.0506878889844766</v>
      </c>
      <c r="E75" s="420">
        <v>0.13904081848989369</v>
      </c>
      <c r="F75" s="419">
        <f t="shared" si="1"/>
        <v>0.53140618735197587</v>
      </c>
      <c r="G75" s="420">
        <v>0.11008997710574017</v>
      </c>
      <c r="H75" s="419">
        <f t="shared" si="2"/>
        <v>0.59714597395327706</v>
      </c>
      <c r="I75" s="421">
        <v>0.30496747404520802</v>
      </c>
      <c r="J75" s="420">
        <v>0.28030165318071015</v>
      </c>
      <c r="K75" s="422">
        <v>0.16713652360698938</v>
      </c>
      <c r="L75" s="419">
        <v>0.79481046712233994</v>
      </c>
      <c r="M75" s="419">
        <v>0.73776213662864198</v>
      </c>
      <c r="N75" s="419">
        <v>0.65</v>
      </c>
      <c r="O75" s="419">
        <v>0.64412660158395718</v>
      </c>
      <c r="P75" s="423">
        <f t="shared" ref="P75:P106" si="3">AVERAGE(H75,L75:O75)</f>
        <v>0.68476903585764326</v>
      </c>
    </row>
    <row r="76" spans="1:16">
      <c r="A76" s="417" t="s">
        <v>493</v>
      </c>
      <c r="B76" s="418">
        <v>352</v>
      </c>
      <c r="C76" s="419">
        <v>0.91753269726435371</v>
      </c>
      <c r="D76" s="420">
        <v>0.6452843683456877</v>
      </c>
      <c r="E76" s="420">
        <v>0.14252032405010087</v>
      </c>
      <c r="F76" s="419">
        <f t="shared" ref="F76:F106" si="4">IF($F$8="Effective",C76/(1+(1-E76)*D76),C76/(1+(1-$F$9)*D76))</f>
        <v>0.61623547501211573</v>
      </c>
      <c r="G76" s="420">
        <v>8.8027612080625497E-2</v>
      </c>
      <c r="H76" s="419">
        <f t="shared" ref="H76:H106" si="5">F76/(1-G76)</f>
        <v>0.6757172510650572</v>
      </c>
      <c r="I76" s="421">
        <v>0.34347590785744303</v>
      </c>
      <c r="J76" s="420">
        <v>0.31268594754254148</v>
      </c>
      <c r="K76" s="422">
        <v>0.13428473058123711</v>
      </c>
      <c r="L76" s="419">
        <v>0.62524271618054317</v>
      </c>
      <c r="M76" s="419">
        <v>0.59064478731029668</v>
      </c>
      <c r="N76" s="419">
        <v>0.76</v>
      </c>
      <c r="O76" s="419">
        <v>0.75131690795083672</v>
      </c>
      <c r="P76" s="423">
        <f t="shared" si="3"/>
        <v>0.68058433250134676</v>
      </c>
    </row>
    <row r="77" spans="1:16">
      <c r="A77" s="417" t="s">
        <v>494</v>
      </c>
      <c r="B77" s="418">
        <v>139</v>
      </c>
      <c r="C77" s="419">
        <v>1.0484816373807053</v>
      </c>
      <c r="D77" s="420">
        <v>0.53600686213564686</v>
      </c>
      <c r="E77" s="420">
        <v>0.11785625584198936</v>
      </c>
      <c r="F77" s="419">
        <f t="shared" si="4"/>
        <v>0.74564929859957363</v>
      </c>
      <c r="G77" s="420">
        <v>0.15135384687147899</v>
      </c>
      <c r="H77" s="419">
        <f t="shared" si="5"/>
        <v>0.87863392280840369</v>
      </c>
      <c r="I77" s="421">
        <v>0.3556697714088134</v>
      </c>
      <c r="J77" s="420">
        <v>0.32332856301847296</v>
      </c>
      <c r="K77" s="422">
        <v>0.28443210229692889</v>
      </c>
      <c r="L77" s="419">
        <v>0.82067029198429731</v>
      </c>
      <c r="M77" s="419">
        <v>0.92025099800566557</v>
      </c>
      <c r="N77" s="419">
        <v>0.88</v>
      </c>
      <c r="O77" s="419">
        <v>0.87207677517439164</v>
      </c>
      <c r="P77" s="423">
        <f t="shared" si="3"/>
        <v>0.87432639759455166</v>
      </c>
    </row>
    <row r="78" spans="1:16">
      <c r="A78" s="417" t="s">
        <v>495</v>
      </c>
      <c r="B78" s="418">
        <v>29</v>
      </c>
      <c r="C78" s="419">
        <v>1.1812752073495445</v>
      </c>
      <c r="D78" s="420">
        <v>0.60633013836303162</v>
      </c>
      <c r="E78" s="420">
        <v>0.10019221985514924</v>
      </c>
      <c r="F78" s="419">
        <f t="shared" si="4"/>
        <v>0.80941618251611502</v>
      </c>
      <c r="G78" s="420">
        <v>0.22683896097128603</v>
      </c>
      <c r="H78" s="419">
        <f t="shared" si="5"/>
        <v>1.0468920983563097</v>
      </c>
      <c r="I78" s="421">
        <v>0.28748585873479676</v>
      </c>
      <c r="J78" s="420">
        <v>0.30168891850512075</v>
      </c>
      <c r="K78" s="422">
        <v>0.38444987188941665</v>
      </c>
      <c r="L78" s="419">
        <v>0.96012476238345523</v>
      </c>
      <c r="M78" s="419">
        <v>0.95961412345931141</v>
      </c>
      <c r="N78" s="419">
        <v>1.52</v>
      </c>
      <c r="O78" s="419">
        <v>1.5148865175247193</v>
      </c>
      <c r="P78" s="423">
        <f t="shared" si="3"/>
        <v>1.2003035003447589</v>
      </c>
    </row>
    <row r="79" spans="1:16">
      <c r="A79" s="417" t="s">
        <v>496</v>
      </c>
      <c r="B79" s="418">
        <v>141</v>
      </c>
      <c r="C79" s="419">
        <v>1.0333952254729406</v>
      </c>
      <c r="D79" s="420">
        <v>0.19775369592221087</v>
      </c>
      <c r="E79" s="420">
        <v>0.11102325280388246</v>
      </c>
      <c r="F79" s="419">
        <f t="shared" si="4"/>
        <v>0.89873116698308309</v>
      </c>
      <c r="G79" s="420">
        <v>6.2463346126550801E-2</v>
      </c>
      <c r="H79" s="419">
        <f t="shared" si="5"/>
        <v>0.95860909892958257</v>
      </c>
      <c r="I79" s="421">
        <v>0.36337091762899015</v>
      </c>
      <c r="J79" s="420">
        <v>0.35409246796513022</v>
      </c>
      <c r="K79" s="422">
        <v>0.42810341260082629</v>
      </c>
      <c r="L79" s="419">
        <v>1.0138249725758077</v>
      </c>
      <c r="M79" s="419">
        <v>0.88141622521532692</v>
      </c>
      <c r="N79" s="419">
        <v>0.98</v>
      </c>
      <c r="O79" s="419">
        <v>0.97663190127840482</v>
      </c>
      <c r="P79" s="423">
        <f t="shared" si="3"/>
        <v>0.96209643959982449</v>
      </c>
    </row>
    <row r="80" spans="1:16">
      <c r="A80" s="417" t="s">
        <v>497</v>
      </c>
      <c r="B80" s="418">
        <v>103</v>
      </c>
      <c r="C80" s="419">
        <v>0.8594583553657803</v>
      </c>
      <c r="D80" s="420">
        <v>0.63702222103347361</v>
      </c>
      <c r="E80" s="420">
        <v>0.18570902850067522</v>
      </c>
      <c r="F80" s="419">
        <f t="shared" si="4"/>
        <v>0.57966867108160369</v>
      </c>
      <c r="G80" s="420">
        <v>9.537646255318466E-2</v>
      </c>
      <c r="H80" s="419">
        <f t="shared" si="5"/>
        <v>0.64078442256504253</v>
      </c>
      <c r="I80" s="421">
        <v>0.32043732885842863</v>
      </c>
      <c r="J80" s="420">
        <v>0.30953150860944056</v>
      </c>
      <c r="K80" s="422">
        <v>0.31525153207068207</v>
      </c>
      <c r="L80" s="419">
        <v>0.71787848763383721</v>
      </c>
      <c r="M80" s="419">
        <v>0.72226928182496652</v>
      </c>
      <c r="N80" s="419">
        <v>0.77</v>
      </c>
      <c r="O80" s="419">
        <v>0.76641924757043733</v>
      </c>
      <c r="P80" s="423">
        <f t="shared" si="3"/>
        <v>0.72347028791885681</v>
      </c>
    </row>
    <row r="81" spans="1:16">
      <c r="A81" s="417" t="s">
        <v>498</v>
      </c>
      <c r="B81" s="418">
        <v>36</v>
      </c>
      <c r="C81" s="419">
        <v>0.85098687159723674</v>
      </c>
      <c r="D81" s="420">
        <v>0.27483734718568298</v>
      </c>
      <c r="E81" s="420">
        <v>0.15197607144076633</v>
      </c>
      <c r="F81" s="419">
        <f t="shared" si="4"/>
        <v>0.70431691770024851</v>
      </c>
      <c r="G81" s="420">
        <v>3.6747903019814482E-2</v>
      </c>
      <c r="H81" s="419">
        <f t="shared" si="5"/>
        <v>0.73118648784497442</v>
      </c>
      <c r="I81" s="421">
        <v>0.3246888543487586</v>
      </c>
      <c r="J81" s="420">
        <v>0.284088004916279</v>
      </c>
      <c r="K81" s="422">
        <v>0.17550841604936654</v>
      </c>
      <c r="L81" s="419">
        <v>1.1441488519044969</v>
      </c>
      <c r="M81" s="419">
        <v>1.2571861180284534</v>
      </c>
      <c r="N81" s="419">
        <v>1.19</v>
      </c>
      <c r="O81" s="419">
        <v>1.1807143286665724</v>
      </c>
      <c r="P81" s="423">
        <f t="shared" si="3"/>
        <v>1.1006471572888992</v>
      </c>
    </row>
    <row r="82" spans="1:16">
      <c r="A82" s="417" t="s">
        <v>499</v>
      </c>
      <c r="B82" s="418">
        <v>642</v>
      </c>
      <c r="C82" s="419">
        <v>0.75063321724232968</v>
      </c>
      <c r="D82" s="420">
        <v>0.94407639657845377</v>
      </c>
      <c r="E82" s="420">
        <v>0.14403950422723574</v>
      </c>
      <c r="F82" s="419">
        <f t="shared" si="4"/>
        <v>0.43760364920894329</v>
      </c>
      <c r="G82" s="420">
        <v>0.14997915106217924</v>
      </c>
      <c r="H82" s="419">
        <f t="shared" si="5"/>
        <v>0.51481519512817753</v>
      </c>
      <c r="I82" s="421">
        <v>0.39539705884019555</v>
      </c>
      <c r="J82" s="420">
        <v>0.36711988356210024</v>
      </c>
      <c r="K82" s="422">
        <v>0.40401246668095231</v>
      </c>
      <c r="L82" s="419">
        <v>0.62326721821649889</v>
      </c>
      <c r="M82" s="419">
        <v>0.600875243750426</v>
      </c>
      <c r="N82" s="419">
        <v>0.51</v>
      </c>
      <c r="O82" s="419">
        <v>0.50192864361894729</v>
      </c>
      <c r="P82" s="423">
        <f t="shared" si="3"/>
        <v>0.55017726014280999</v>
      </c>
    </row>
    <row r="83" spans="1:16">
      <c r="A83" s="417" t="s">
        <v>500</v>
      </c>
      <c r="B83" s="418">
        <v>122</v>
      </c>
      <c r="C83" s="419">
        <v>0.8927755643905656</v>
      </c>
      <c r="D83" s="420">
        <v>0.68717133946774267</v>
      </c>
      <c r="E83" s="420">
        <v>0.16455865979371936</v>
      </c>
      <c r="F83" s="419">
        <f t="shared" si="4"/>
        <v>0.58709366692214071</v>
      </c>
      <c r="G83" s="420">
        <v>8.4455459817103215E-2</v>
      </c>
      <c r="H83" s="419">
        <f t="shared" si="5"/>
        <v>0.64125079791842565</v>
      </c>
      <c r="I83" s="421">
        <v>0.29639237391418038</v>
      </c>
      <c r="J83" s="420">
        <v>0.27989185595159299</v>
      </c>
      <c r="K83" s="422">
        <v>9.7347144070490527E-2</v>
      </c>
      <c r="L83" s="419">
        <v>0.89599283444060729</v>
      </c>
      <c r="M83" s="419">
        <v>0.90942234949014522</v>
      </c>
      <c r="N83" s="419">
        <v>0.79</v>
      </c>
      <c r="O83" s="419">
        <v>0.78333683234292939</v>
      </c>
      <c r="P83" s="423">
        <f t="shared" si="3"/>
        <v>0.80400056283842147</v>
      </c>
    </row>
    <row r="84" spans="1:16">
      <c r="A84" s="417" t="s">
        <v>501</v>
      </c>
      <c r="B84" s="418">
        <v>75</v>
      </c>
      <c r="C84" s="419">
        <v>0.7554438169512363</v>
      </c>
      <c r="D84" s="420">
        <v>0.42604954711450244</v>
      </c>
      <c r="E84" s="420">
        <v>0.16234847054090532</v>
      </c>
      <c r="F84" s="419">
        <f t="shared" si="4"/>
        <v>0.571086849723902</v>
      </c>
      <c r="G84" s="420">
        <v>7.5323775140977628E-2</v>
      </c>
      <c r="H84" s="419">
        <f t="shared" si="5"/>
        <v>0.61760736825581386</v>
      </c>
      <c r="I84" s="421">
        <v>0.30896189785847233</v>
      </c>
      <c r="J84" s="420">
        <v>0.28585214961572553</v>
      </c>
      <c r="K84" s="422">
        <v>0.12772635364940677</v>
      </c>
      <c r="L84" s="419">
        <v>0.73300451156842372</v>
      </c>
      <c r="M84" s="419">
        <v>0.64557511772797227</v>
      </c>
      <c r="N84" s="419">
        <v>0.6</v>
      </c>
      <c r="O84" s="419">
        <v>0.59347883765697107</v>
      </c>
      <c r="P84" s="423">
        <f t="shared" si="3"/>
        <v>0.63793316704183622</v>
      </c>
    </row>
    <row r="85" spans="1:16">
      <c r="A85" s="417" t="s">
        <v>502</v>
      </c>
      <c r="B85" s="418">
        <v>98</v>
      </c>
      <c r="C85" s="419">
        <v>1.8753604891625568</v>
      </c>
      <c r="D85" s="420">
        <v>0.1251326345434865</v>
      </c>
      <c r="E85" s="420">
        <v>0.10370461795255578</v>
      </c>
      <c r="F85" s="419">
        <f t="shared" si="4"/>
        <v>1.7129505166359749</v>
      </c>
      <c r="G85" s="420">
        <v>7.6990943674351664E-2</v>
      </c>
      <c r="H85" s="419">
        <f t="shared" si="5"/>
        <v>1.855832838146743</v>
      </c>
      <c r="I85" s="421">
        <v>0.49021090623169133</v>
      </c>
      <c r="J85" s="420">
        <v>0.43952374980055808</v>
      </c>
      <c r="K85" s="422" t="s">
        <v>430</v>
      </c>
      <c r="L85" s="419">
        <v>1.4563560199134755</v>
      </c>
      <c r="M85" s="419">
        <v>1.4932811811002589</v>
      </c>
      <c r="N85" s="419">
        <v>1.73</v>
      </c>
      <c r="O85" s="419">
        <v>1.7317994093581575</v>
      </c>
      <c r="P85" s="423">
        <f t="shared" si="3"/>
        <v>1.653453889703727</v>
      </c>
    </row>
    <row r="86" spans="1:16">
      <c r="A86" s="417" t="s">
        <v>503</v>
      </c>
      <c r="B86" s="418">
        <v>197</v>
      </c>
      <c r="C86" s="419">
        <v>1.0343199629755711</v>
      </c>
      <c r="D86" s="420">
        <v>0.27517817766544611</v>
      </c>
      <c r="E86" s="420">
        <v>0.15715964098659993</v>
      </c>
      <c r="F86" s="419">
        <f t="shared" si="4"/>
        <v>0.85586910950569739</v>
      </c>
      <c r="G86" s="420">
        <v>8.1575777149801604E-2</v>
      </c>
      <c r="H86" s="419">
        <f t="shared" si="5"/>
        <v>0.93188865037730584</v>
      </c>
      <c r="I86" s="421">
        <v>0.3345028103785766</v>
      </c>
      <c r="J86" s="420">
        <v>0.31749018654819844</v>
      </c>
      <c r="K86" s="422">
        <v>0.17810147814285526</v>
      </c>
      <c r="L86" s="419">
        <v>0.99696281662475328</v>
      </c>
      <c r="M86" s="419">
        <v>0.83232946213370829</v>
      </c>
      <c r="N86" s="419">
        <v>1.04</v>
      </c>
      <c r="O86" s="419">
        <v>1.039131560766132</v>
      </c>
      <c r="P86" s="423">
        <f t="shared" si="3"/>
        <v>0.96806249798037991</v>
      </c>
    </row>
    <row r="87" spans="1:16">
      <c r="A87" s="417" t="s">
        <v>504</v>
      </c>
      <c r="B87" s="418">
        <v>71</v>
      </c>
      <c r="C87" s="419">
        <v>1.1797294049028624</v>
      </c>
      <c r="D87" s="420">
        <v>0.45277088044359964</v>
      </c>
      <c r="E87" s="420">
        <v>0.15270327777159562</v>
      </c>
      <c r="F87" s="419">
        <f t="shared" si="4"/>
        <v>0.87838626388972885</v>
      </c>
      <c r="G87" s="420">
        <v>9.5660813071728745E-2</v>
      </c>
      <c r="H87" s="419">
        <f t="shared" si="5"/>
        <v>0.97130178210379714</v>
      </c>
      <c r="I87" s="421">
        <v>0.29870626219538765</v>
      </c>
      <c r="J87" s="420">
        <v>0.28422471539637167</v>
      </c>
      <c r="K87" s="422">
        <v>0.17811366363384318</v>
      </c>
      <c r="L87" s="419">
        <v>0.70488259819175247</v>
      </c>
      <c r="M87" s="419">
        <v>0.70028512630061157</v>
      </c>
      <c r="N87" s="419">
        <v>1.1200000000000001</v>
      </c>
      <c r="O87" s="419">
        <v>1.1106187347003684</v>
      </c>
      <c r="P87" s="423">
        <f t="shared" si="3"/>
        <v>0.92141764825930594</v>
      </c>
    </row>
    <row r="88" spans="1:16">
      <c r="A88" s="417" t="s">
        <v>505</v>
      </c>
      <c r="B88" s="418">
        <v>485</v>
      </c>
      <c r="C88" s="419">
        <v>1.6983210334731236</v>
      </c>
      <c r="D88" s="420">
        <v>0.1072430680102497</v>
      </c>
      <c r="E88" s="420">
        <v>0.10757278563058142</v>
      </c>
      <c r="F88" s="419">
        <f t="shared" si="4"/>
        <v>1.5706898070504698</v>
      </c>
      <c r="G88" s="420">
        <v>0.11389815615697432</v>
      </c>
      <c r="H88" s="419">
        <f t="shared" si="5"/>
        <v>1.7725838378107697</v>
      </c>
      <c r="I88" s="421">
        <v>0.37281119506222132</v>
      </c>
      <c r="J88" s="420">
        <v>0.35868387456296258</v>
      </c>
      <c r="K88" s="422">
        <v>0.58260706262140816</v>
      </c>
      <c r="L88" s="419">
        <v>1.7332975709765581</v>
      </c>
      <c r="M88" s="419">
        <v>1.5812966273196782</v>
      </c>
      <c r="N88" s="419">
        <v>1.66</v>
      </c>
      <c r="O88" s="419">
        <v>1.6582877157761655</v>
      </c>
      <c r="P88" s="423">
        <f t="shared" si="3"/>
        <v>1.6810931503766344</v>
      </c>
    </row>
    <row r="89" spans="1:16">
      <c r="A89" s="417" t="s">
        <v>506</v>
      </c>
      <c r="B89" s="418">
        <v>253</v>
      </c>
      <c r="C89" s="419">
        <v>1.9462707749847767</v>
      </c>
      <c r="D89" s="420">
        <v>8.1769339734403063E-2</v>
      </c>
      <c r="E89" s="420">
        <v>0.13939311915009886</v>
      </c>
      <c r="F89" s="419">
        <f t="shared" si="4"/>
        <v>1.8327215277488342</v>
      </c>
      <c r="G89" s="420">
        <v>9.1316366999623755E-2</v>
      </c>
      <c r="H89" s="419">
        <f t="shared" si="5"/>
        <v>2.0168972579569675</v>
      </c>
      <c r="I89" s="421">
        <v>0.36352165811641846</v>
      </c>
      <c r="J89" s="420">
        <v>0.32068507667334445</v>
      </c>
      <c r="K89" s="422">
        <v>0.71415865729575556</v>
      </c>
      <c r="L89" s="419">
        <v>1.6587561276539302</v>
      </c>
      <c r="M89" s="419">
        <v>1.8176881139945804</v>
      </c>
      <c r="N89" s="419">
        <v>2.08</v>
      </c>
      <c r="O89" s="419">
        <v>2.0805025268862622</v>
      </c>
      <c r="P89" s="423">
        <f t="shared" si="3"/>
        <v>1.930768805298348</v>
      </c>
    </row>
    <row r="90" spans="1:16">
      <c r="A90" s="417" t="s">
        <v>507</v>
      </c>
      <c r="B90" s="418">
        <v>236</v>
      </c>
      <c r="C90" s="419">
        <v>1.1291872939645089</v>
      </c>
      <c r="D90" s="420">
        <v>0.51353364665698231</v>
      </c>
      <c r="E90" s="420">
        <v>0.12536695691915092</v>
      </c>
      <c r="F90" s="419">
        <f t="shared" si="4"/>
        <v>0.81288869154750509</v>
      </c>
      <c r="G90" s="420">
        <v>0.30820468712299548</v>
      </c>
      <c r="H90" s="419">
        <f t="shared" si="5"/>
        <v>1.175042207451368</v>
      </c>
      <c r="I90" s="421">
        <v>0.33447905397266736</v>
      </c>
      <c r="J90" s="420">
        <v>0.34754646038376652</v>
      </c>
      <c r="K90" s="422">
        <v>1.3566607947205229</v>
      </c>
      <c r="L90" s="419">
        <v>0.68984915585821571</v>
      </c>
      <c r="M90" s="419">
        <v>0.66578778841316666</v>
      </c>
      <c r="N90" s="419">
        <v>1.07</v>
      </c>
      <c r="O90" s="419">
        <v>1.06086178127401</v>
      </c>
      <c r="P90" s="423">
        <f t="shared" si="3"/>
        <v>0.93230818659935211</v>
      </c>
    </row>
    <row r="91" spans="1:16">
      <c r="A91" s="417" t="s">
        <v>508</v>
      </c>
      <c r="B91" s="418">
        <v>58</v>
      </c>
      <c r="C91" s="419">
        <v>0.95032332813034504</v>
      </c>
      <c r="D91" s="420">
        <v>0.22367164521698094</v>
      </c>
      <c r="E91" s="420">
        <v>0.15362053743510115</v>
      </c>
      <c r="F91" s="419">
        <f t="shared" si="4"/>
        <v>0.81260609332322042</v>
      </c>
      <c r="G91" s="420">
        <v>8.9175034938352979E-2</v>
      </c>
      <c r="H91" s="419">
        <f t="shared" si="5"/>
        <v>0.89216493233496419</v>
      </c>
      <c r="I91" s="421">
        <v>0.33430401014655231</v>
      </c>
      <c r="J91" s="420">
        <v>0.3607325432677766</v>
      </c>
      <c r="K91" s="422">
        <v>0.24336790436670247</v>
      </c>
      <c r="L91" s="419">
        <v>0.91049076439324472</v>
      </c>
      <c r="M91" s="419">
        <v>0.77302706992343517</v>
      </c>
      <c r="N91" s="419">
        <v>1.0900000000000001</v>
      </c>
      <c r="O91" s="419">
        <v>1.0832393018954369</v>
      </c>
      <c r="P91" s="423">
        <f t="shared" si="3"/>
        <v>0.94978441370941624</v>
      </c>
    </row>
    <row r="92" spans="1:16">
      <c r="A92" s="417" t="s">
        <v>509</v>
      </c>
      <c r="B92" s="418">
        <v>57</v>
      </c>
      <c r="C92" s="419">
        <v>1.8638970665429258</v>
      </c>
      <c r="D92" s="420">
        <v>0.12006716805209132</v>
      </c>
      <c r="E92" s="420">
        <v>0.10075815924357888</v>
      </c>
      <c r="F92" s="419">
        <f t="shared" si="4"/>
        <v>1.70846925818735</v>
      </c>
      <c r="G92" s="420">
        <v>5.7637409354318977E-2</v>
      </c>
      <c r="H92" s="419">
        <f t="shared" si="5"/>
        <v>1.8129637945589008</v>
      </c>
      <c r="I92" s="421">
        <v>0.47161792919511347</v>
      </c>
      <c r="J92" s="420">
        <v>0.42235323804553027</v>
      </c>
      <c r="K92" s="422">
        <v>0.56340277829441787</v>
      </c>
      <c r="L92" s="419">
        <v>1.7830434834002908</v>
      </c>
      <c r="M92" s="419">
        <v>1.3849019032896577</v>
      </c>
      <c r="N92" s="419">
        <v>1.42</v>
      </c>
      <c r="O92" s="419">
        <v>1.4211681805289895</v>
      </c>
      <c r="P92" s="423">
        <f t="shared" si="3"/>
        <v>1.5644154723555679</v>
      </c>
    </row>
    <row r="93" spans="1:16">
      <c r="A93" s="417" t="s">
        <v>510</v>
      </c>
      <c r="B93" s="418">
        <v>42</v>
      </c>
      <c r="C93" s="419">
        <v>1.1434871294833215</v>
      </c>
      <c r="D93" s="420">
        <v>0.22060516651699819</v>
      </c>
      <c r="E93" s="420">
        <v>9.8320497900612244E-2</v>
      </c>
      <c r="F93" s="419">
        <f t="shared" si="4"/>
        <v>0.97972381116980511</v>
      </c>
      <c r="G93" s="420">
        <v>9.1966632769719683E-2</v>
      </c>
      <c r="H93" s="419">
        <f t="shared" si="5"/>
        <v>1.0789513321059974</v>
      </c>
      <c r="I93" s="421">
        <v>0.40444811731276059</v>
      </c>
      <c r="J93" s="420">
        <v>0.38784834895080433</v>
      </c>
      <c r="K93" s="422">
        <v>0.56618735085984695</v>
      </c>
      <c r="L93" s="419">
        <v>0.85045576994756888</v>
      </c>
      <c r="M93" s="419">
        <v>1.1795531111849258</v>
      </c>
      <c r="N93" s="419">
        <v>1.0900000000000001</v>
      </c>
      <c r="O93" s="419">
        <v>1.0827082173418694</v>
      </c>
      <c r="P93" s="423">
        <f t="shared" si="3"/>
        <v>1.0563336861160724</v>
      </c>
    </row>
    <row r="94" spans="1:16">
      <c r="A94" s="417" t="s">
        <v>511</v>
      </c>
      <c r="B94" s="418">
        <v>492</v>
      </c>
      <c r="C94" s="419">
        <v>1.3797690064299346</v>
      </c>
      <c r="D94" s="420">
        <v>3.876724412601152E-2</v>
      </c>
      <c r="E94" s="420">
        <v>8.8791258094375075E-2</v>
      </c>
      <c r="F94" s="419">
        <f t="shared" si="4"/>
        <v>1.3403962852003561</v>
      </c>
      <c r="G94" s="420">
        <v>8.8956946646109786E-2</v>
      </c>
      <c r="H94" s="419">
        <f t="shared" si="5"/>
        <v>1.4712765552251961</v>
      </c>
      <c r="I94" s="421">
        <v>0.42882807425216601</v>
      </c>
      <c r="J94" s="420">
        <v>0.39669708999427156</v>
      </c>
      <c r="K94" s="422">
        <v>0.26227339451600967</v>
      </c>
      <c r="L94" s="419">
        <v>1.4625674222071208</v>
      </c>
      <c r="M94" s="419">
        <v>1.5872598390091006</v>
      </c>
      <c r="N94" s="419">
        <v>1.48</v>
      </c>
      <c r="O94" s="419">
        <v>1.4746822949452558</v>
      </c>
      <c r="P94" s="423">
        <f t="shared" si="3"/>
        <v>1.4951572222773346</v>
      </c>
    </row>
    <row r="95" spans="1:16">
      <c r="A95" s="417" t="s">
        <v>512</v>
      </c>
      <c r="B95" s="418">
        <v>519</v>
      </c>
      <c r="C95" s="419">
        <v>1.2978265807100386</v>
      </c>
      <c r="D95" s="420">
        <v>0.50373975824842521</v>
      </c>
      <c r="E95" s="420">
        <v>0.15623478924906592</v>
      </c>
      <c r="F95" s="419">
        <f t="shared" si="4"/>
        <v>0.93930807804692362</v>
      </c>
      <c r="G95" s="420">
        <v>0.11929153039333928</v>
      </c>
      <c r="H95" s="419">
        <f t="shared" si="5"/>
        <v>1.0665368966718742</v>
      </c>
      <c r="I95" s="421">
        <v>0.36261668528092456</v>
      </c>
      <c r="J95" s="420">
        <v>0.3586339982309999</v>
      </c>
      <c r="K95" s="422">
        <v>0.66632241023961725</v>
      </c>
      <c r="L95" s="419">
        <v>0.88856519746936902</v>
      </c>
      <c r="M95" s="419">
        <v>0.76842369793414844</v>
      </c>
      <c r="N95" s="419">
        <v>1.1000000000000001</v>
      </c>
      <c r="O95" s="419">
        <v>1.094934401504966</v>
      </c>
      <c r="P95" s="423">
        <f t="shared" si="3"/>
        <v>0.98369203871607169</v>
      </c>
    </row>
    <row r="96" spans="1:16">
      <c r="A96" s="417" t="s">
        <v>513</v>
      </c>
      <c r="B96" s="418">
        <v>59</v>
      </c>
      <c r="C96" s="419">
        <v>0.81130465738480706</v>
      </c>
      <c r="D96" s="420">
        <v>0.42415586880934969</v>
      </c>
      <c r="E96" s="420">
        <v>0.1961168308634566</v>
      </c>
      <c r="F96" s="419">
        <f t="shared" si="4"/>
        <v>0.61398150095750292</v>
      </c>
      <c r="G96" s="420">
        <v>8.3020382859691474E-2</v>
      </c>
      <c r="H96" s="419">
        <f t="shared" si="5"/>
        <v>0.66956940970210965</v>
      </c>
      <c r="I96" s="421">
        <v>0.24558840272200477</v>
      </c>
      <c r="J96" s="420">
        <v>0.23927110351458786</v>
      </c>
      <c r="K96" s="422">
        <v>0.17426923136729291</v>
      </c>
      <c r="L96" s="419">
        <v>0.76296522877092132</v>
      </c>
      <c r="M96" s="419">
        <v>0.65682020806703201</v>
      </c>
      <c r="N96" s="419">
        <v>0.89</v>
      </c>
      <c r="O96" s="419">
        <v>0.88596422455215407</v>
      </c>
      <c r="P96" s="423">
        <f t="shared" si="3"/>
        <v>0.7730638142184435</v>
      </c>
    </row>
    <row r="97" spans="1:16">
      <c r="A97" s="417" t="s">
        <v>514</v>
      </c>
      <c r="B97" s="418">
        <v>293</v>
      </c>
      <c r="C97" s="419">
        <v>1.2500150509082688</v>
      </c>
      <c r="D97" s="420">
        <v>0.16517078065361762</v>
      </c>
      <c r="E97" s="420">
        <v>9.2634452794823796E-2</v>
      </c>
      <c r="F97" s="419">
        <f t="shared" si="4"/>
        <v>1.110976457760336</v>
      </c>
      <c r="G97" s="420">
        <v>0.13361646515523054</v>
      </c>
      <c r="H97" s="419">
        <f t="shared" si="5"/>
        <v>1.2823148329560423</v>
      </c>
      <c r="I97" s="421">
        <v>0.35172598461622678</v>
      </c>
      <c r="J97" s="420">
        <v>0.33429679338505247</v>
      </c>
      <c r="K97" s="422">
        <v>0.33962839311288179</v>
      </c>
      <c r="L97" s="419">
        <v>1.4542350718029191</v>
      </c>
      <c r="M97" s="419">
        <v>1.4661920217497428</v>
      </c>
      <c r="N97" s="419">
        <v>1.24</v>
      </c>
      <c r="O97" s="419">
        <v>1.2392291650493661</v>
      </c>
      <c r="P97" s="423">
        <f t="shared" si="3"/>
        <v>1.336394218311614</v>
      </c>
    </row>
    <row r="98" spans="1:16">
      <c r="A98" s="417" t="s">
        <v>515</v>
      </c>
      <c r="B98" s="418">
        <v>138</v>
      </c>
      <c r="C98" s="419">
        <v>0.74946487705120268</v>
      </c>
      <c r="D98" s="420">
        <v>0.37438970709987618</v>
      </c>
      <c r="E98" s="420">
        <v>0.14499840112770598</v>
      </c>
      <c r="F98" s="419">
        <f t="shared" si="4"/>
        <v>0.58384312985708042</v>
      </c>
      <c r="G98" s="420">
        <v>7.8003337716290339E-2</v>
      </c>
      <c r="H98" s="419">
        <f t="shared" si="5"/>
        <v>0.63323779113359169</v>
      </c>
      <c r="I98" s="421">
        <v>0.29638976359390623</v>
      </c>
      <c r="J98" s="420">
        <v>0.29585118986590053</v>
      </c>
      <c r="K98" s="422">
        <v>6.6331157780626537E-2</v>
      </c>
      <c r="L98" s="419">
        <v>0.80776924679018047</v>
      </c>
      <c r="M98" s="419">
        <v>0.6443067222743265</v>
      </c>
      <c r="N98" s="419">
        <v>0.79</v>
      </c>
      <c r="O98" s="419">
        <v>0.7872990431628244</v>
      </c>
      <c r="P98" s="423">
        <f t="shared" si="3"/>
        <v>0.73252256067218458</v>
      </c>
    </row>
    <row r="99" spans="1:16">
      <c r="A99" s="417" t="s">
        <v>516</v>
      </c>
      <c r="B99" s="418">
        <v>31</v>
      </c>
      <c r="C99" s="419">
        <v>0.56590539299028908</v>
      </c>
      <c r="D99" s="420">
        <v>1.0559609117996683E-2</v>
      </c>
      <c r="E99" s="420">
        <v>0.23348920189791797</v>
      </c>
      <c r="F99" s="419">
        <f t="shared" si="4"/>
        <v>0.56141351457373512</v>
      </c>
      <c r="G99" s="420">
        <v>5.6838660227218139E-2</v>
      </c>
      <c r="H99" s="419">
        <f t="shared" si="5"/>
        <v>0.59524652983442472</v>
      </c>
      <c r="I99" s="421">
        <v>0.25069313813311894</v>
      </c>
      <c r="J99" s="420">
        <v>0.24462943944767163</v>
      </c>
      <c r="K99" s="422">
        <v>0.28864112717688173</v>
      </c>
      <c r="L99" s="419">
        <v>0.83333788823903265</v>
      </c>
      <c r="M99" s="419">
        <v>0.76895944410167416</v>
      </c>
      <c r="N99" s="419">
        <v>0.84</v>
      </c>
      <c r="O99" s="419">
        <v>0.83925747141098217</v>
      </c>
      <c r="P99" s="423">
        <f t="shared" si="3"/>
        <v>0.7753602667172228</v>
      </c>
    </row>
    <row r="100" spans="1:16">
      <c r="A100" s="417" t="s">
        <v>517</v>
      </c>
      <c r="B100" s="418">
        <v>220</v>
      </c>
      <c r="C100" s="419">
        <v>1.0382117207939319</v>
      </c>
      <c r="D100" s="420">
        <v>0.63591524323580473</v>
      </c>
      <c r="E100" s="420">
        <v>0.1614454984215429</v>
      </c>
      <c r="F100" s="419">
        <f t="shared" si="4"/>
        <v>0.70062667989358618</v>
      </c>
      <c r="G100" s="420">
        <v>0.11022170903320358</v>
      </c>
      <c r="H100" s="419">
        <f t="shared" si="5"/>
        <v>0.78741714313159306</v>
      </c>
      <c r="I100" s="421">
        <v>0.34173684081347089</v>
      </c>
      <c r="J100" s="420">
        <v>0.31920233867631614</v>
      </c>
      <c r="K100" s="422">
        <v>0.19894783808182523</v>
      </c>
      <c r="L100" s="419">
        <v>0.8718549904577787</v>
      </c>
      <c r="M100" s="419">
        <v>0.87485714658042657</v>
      </c>
      <c r="N100" s="419">
        <v>0.86</v>
      </c>
      <c r="O100" s="419">
        <v>0.85686494276960357</v>
      </c>
      <c r="P100" s="423">
        <f t="shared" si="3"/>
        <v>0.85019884458788031</v>
      </c>
    </row>
    <row r="101" spans="1:16">
      <c r="A101" s="417" t="s">
        <v>518</v>
      </c>
      <c r="B101" s="418">
        <v>17</v>
      </c>
      <c r="C101" s="419">
        <v>1.0445253069336815</v>
      </c>
      <c r="D101" s="420">
        <v>0.28639214593778728</v>
      </c>
      <c r="E101" s="420">
        <v>0.20295953151560436</v>
      </c>
      <c r="F101" s="419">
        <f t="shared" si="4"/>
        <v>0.85827927925946224</v>
      </c>
      <c r="G101" s="420">
        <v>0.10297270484381932</v>
      </c>
      <c r="H101" s="419">
        <f t="shared" si="5"/>
        <v>0.9568039722916436</v>
      </c>
      <c r="I101" s="421">
        <v>0.22525463660414699</v>
      </c>
      <c r="J101" s="420">
        <v>0.23390607759200191</v>
      </c>
      <c r="K101" s="422">
        <v>0.25689169120576072</v>
      </c>
      <c r="L101" s="419">
        <v>1.3009864065745542</v>
      </c>
      <c r="M101" s="419">
        <v>1.1409239435337404</v>
      </c>
      <c r="N101" s="419">
        <v>0.88</v>
      </c>
      <c r="O101" s="419">
        <v>0.87575670714476994</v>
      </c>
      <c r="P101" s="423">
        <f t="shared" si="3"/>
        <v>1.0308942059089419</v>
      </c>
    </row>
    <row r="102" spans="1:16">
      <c r="A102" s="417" t="s">
        <v>519</v>
      </c>
      <c r="B102" s="418">
        <v>110</v>
      </c>
      <c r="C102" s="419">
        <v>1.0580347382703026</v>
      </c>
      <c r="D102" s="420">
        <v>0.71517046542235896</v>
      </c>
      <c r="E102" s="420">
        <v>0.14035885313366164</v>
      </c>
      <c r="F102" s="419">
        <f t="shared" si="4"/>
        <v>0.68619577364348494</v>
      </c>
      <c r="G102" s="420">
        <v>8.3640080461610367E-2</v>
      </c>
      <c r="H102" s="419">
        <f t="shared" si="5"/>
        <v>0.74882779027388235</v>
      </c>
      <c r="I102" s="421">
        <v>0.35209798667941383</v>
      </c>
      <c r="J102" s="420">
        <v>0.33470978194727918</v>
      </c>
      <c r="K102" s="422">
        <v>0.73599716960955219</v>
      </c>
      <c r="L102" s="419">
        <v>0.7169107228695607</v>
      </c>
      <c r="M102" s="419">
        <v>0.65398031613167962</v>
      </c>
      <c r="N102" s="419">
        <v>0.85</v>
      </c>
      <c r="O102" s="419">
        <v>0.84062932713987704</v>
      </c>
      <c r="P102" s="423">
        <f t="shared" si="3"/>
        <v>0.76206963128299987</v>
      </c>
    </row>
    <row r="103" spans="1:16">
      <c r="A103" s="417" t="s">
        <v>520</v>
      </c>
      <c r="B103" s="418">
        <v>13</v>
      </c>
      <c r="C103" s="419">
        <v>0.67679323288185966</v>
      </c>
      <c r="D103" s="420">
        <v>0.37406516630448505</v>
      </c>
      <c r="E103" s="420">
        <v>8.3386561422945704E-2</v>
      </c>
      <c r="F103" s="419">
        <f t="shared" si="4"/>
        <v>0.52733196756740708</v>
      </c>
      <c r="G103" s="420">
        <v>5.1699028925165674E-2</v>
      </c>
      <c r="H103" s="419">
        <f t="shared" si="5"/>
        <v>0.55608080520018066</v>
      </c>
      <c r="I103" s="421">
        <v>0.20203719222142821</v>
      </c>
      <c r="J103" s="420">
        <v>0.19889585327563211</v>
      </c>
      <c r="K103" s="422">
        <v>0.14324789991322601</v>
      </c>
      <c r="L103" s="419">
        <v>0.40849935710765239</v>
      </c>
      <c r="M103" s="419">
        <v>0.43547528877620567</v>
      </c>
      <c r="N103" s="419">
        <v>0.52</v>
      </c>
      <c r="O103" s="419">
        <v>0.51060623138914385</v>
      </c>
      <c r="P103" s="423">
        <f t="shared" si="3"/>
        <v>0.4861323364946365</v>
      </c>
    </row>
    <row r="104" spans="1:16">
      <c r="A104" s="417" t="s">
        <v>521</v>
      </c>
      <c r="B104" s="418">
        <v>71</v>
      </c>
      <c r="C104" s="419">
        <v>0.67251781167299496</v>
      </c>
      <c r="D104" s="420">
        <v>1.1001282828847492</v>
      </c>
      <c r="E104" s="420">
        <v>0.13432442699853481</v>
      </c>
      <c r="F104" s="419">
        <f t="shared" si="4"/>
        <v>0.36678110935576885</v>
      </c>
      <c r="G104" s="420">
        <v>0.10104634270917129</v>
      </c>
      <c r="H104" s="419">
        <f t="shared" si="5"/>
        <v>0.40800891834750957</v>
      </c>
      <c r="I104" s="421">
        <v>0.25874496761852833</v>
      </c>
      <c r="J104" s="420">
        <v>0.32922881444286306</v>
      </c>
      <c r="K104" s="422">
        <v>0.22908599175098493</v>
      </c>
      <c r="L104" s="419">
        <v>0.81963994975955823</v>
      </c>
      <c r="M104" s="419">
        <v>0.80640771627880448</v>
      </c>
      <c r="N104" s="419">
        <v>0.48</v>
      </c>
      <c r="O104" s="419">
        <v>0.4793107230168655</v>
      </c>
      <c r="P104" s="423">
        <f t="shared" si="3"/>
        <v>0.59867346148054756</v>
      </c>
    </row>
    <row r="105" spans="1:16" s="405" customFormat="1">
      <c r="A105" s="417" t="s">
        <v>522</v>
      </c>
      <c r="B105" s="418">
        <v>24853</v>
      </c>
      <c r="C105" s="419">
        <v>1.0503694308594969</v>
      </c>
      <c r="D105" s="420">
        <v>0.64585777452986382</v>
      </c>
      <c r="E105" s="420">
        <v>0.13629987884434677</v>
      </c>
      <c r="F105" s="419">
        <f t="shared" si="4"/>
        <v>0.70524580495370759</v>
      </c>
      <c r="G105" s="420">
        <v>0.13312517086245021</v>
      </c>
      <c r="H105" s="419">
        <f t="shared" si="5"/>
        <v>0.81354975510749783</v>
      </c>
      <c r="I105" s="421">
        <v>0.34624466055168795</v>
      </c>
      <c r="J105" s="420">
        <v>0.32922881444286306</v>
      </c>
      <c r="K105" s="422">
        <v>0.28984450273379869</v>
      </c>
      <c r="L105" s="424">
        <v>0.83728252472525189</v>
      </c>
      <c r="M105" s="419">
        <v>0.81946651072856325</v>
      </c>
      <c r="N105" s="419">
        <v>0.9</v>
      </c>
      <c r="O105" s="419">
        <v>0.88844750613548462</v>
      </c>
      <c r="P105" s="425">
        <f t="shared" si="3"/>
        <v>0.85174925933935941</v>
      </c>
    </row>
    <row r="106" spans="1:16" s="405" customFormat="1">
      <c r="A106" s="426" t="s">
        <v>523</v>
      </c>
      <c r="B106" s="427">
        <v>22403</v>
      </c>
      <c r="C106" s="428">
        <v>1.0752664702513419</v>
      </c>
      <c r="D106" s="429">
        <v>0.38306498067523775</v>
      </c>
      <c r="E106" s="429">
        <v>0.13496860344123932</v>
      </c>
      <c r="F106" s="419">
        <f t="shared" si="4"/>
        <v>0.8333794668579152</v>
      </c>
      <c r="G106" s="429">
        <v>0.10874696498578934</v>
      </c>
      <c r="H106" s="419">
        <f t="shared" si="5"/>
        <v>0.93506494128755169</v>
      </c>
      <c r="I106" s="430">
        <v>0.35064891922627556</v>
      </c>
      <c r="J106" s="429">
        <v>0.33215652366502518</v>
      </c>
      <c r="K106" s="431">
        <v>0.29039343375548382</v>
      </c>
      <c r="L106" s="424">
        <v>0.93487810450903808</v>
      </c>
      <c r="M106" s="419">
        <v>0.90883524618318723</v>
      </c>
      <c r="N106" s="419">
        <v>1</v>
      </c>
      <c r="O106" s="419">
        <v>0.99860298437024764</v>
      </c>
      <c r="P106" s="425">
        <f t="shared" si="3"/>
        <v>0.9554762552700049</v>
      </c>
    </row>
  </sheetData>
  <mergeCells count="10">
    <mergeCell ref="L9:P9"/>
    <mergeCell ref="B1:G1"/>
    <mergeCell ref="H1:H7"/>
    <mergeCell ref="B2:G2"/>
    <mergeCell ref="B3:E3"/>
    <mergeCell ref="F3:G3"/>
    <mergeCell ref="B4:G4"/>
    <mergeCell ref="B5:G5"/>
    <mergeCell ref="B6:G6"/>
    <mergeCell ref="B7:G7"/>
  </mergeCells>
  <hyperlinks>
    <hyperlink ref="B2" r:id="rId1" xr:uid="{5FBF4003-BE8B-4543-8FEF-E128F6BDCCBA}"/>
    <hyperlink ref="B4" r:id="rId2" xr:uid="{4A597BFB-F919-4D20-A040-A1B582A1974A}"/>
    <hyperlink ref="B5" r:id="rId3" display="http://www.stern.nyu.edu/~adamodar/New_Home_Page/data.html" xr:uid="{3E2922DE-7EB4-42B1-B505-B206EE06D7CE}"/>
    <hyperlink ref="B6" r:id="rId4" display="http://www.stern.nyu.edu/~adamodar/pc/datasets/indname.xls" xr:uid="{2F6CAB6D-8063-422F-A76A-516341374FA8}"/>
    <hyperlink ref="B7" r:id="rId5" display="http://www.stern.nyu.edu/~adamodar/New_Home_Page/datafile/variable.htm" xr:uid="{5C3DE760-0015-4E11-930F-3712A7D4AA39}"/>
    <hyperlink ref="H1:H7" r:id="rId6" display="YouTube Video explaining estimation choices and process." xr:uid="{CBADE3D7-8455-45AE-8F6E-C48A0C6425F9}"/>
  </hyperlinks>
  <pageMargins left="0.75" right="0.75" top="1" bottom="1" header="0.5" footer="0.5"/>
  <pageSetup scale="60" orientation="landscape" horizontalDpi="4294967292" verticalDpi="4294967292"/>
  <headerFooter alignWithMargins="0"/>
  <tableParts count="1">
    <tablePart r:id="rId7"/>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58A51-24F3-43AC-8A50-F8307567F568}">
  <dimension ref="A3:A31"/>
  <sheetViews>
    <sheetView zoomScale="85" zoomScaleNormal="85" workbookViewId="0">
      <selection activeCell="A5" sqref="A5"/>
    </sheetView>
  </sheetViews>
  <sheetFormatPr baseColWidth="10" defaultRowHeight="15"/>
  <sheetData>
    <row r="3" spans="1:1">
      <c r="A3" t="s">
        <v>558</v>
      </c>
    </row>
    <row r="15" spans="1:1">
      <c r="A15" t="s">
        <v>17</v>
      </c>
    </row>
    <row r="31" spans="1:1">
      <c r="A31" t="s">
        <v>407</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AD8A5E7C304A74381261160FC931EDC" ma:contentTypeVersion="12" ma:contentTypeDescription="Crear nuevo documento." ma:contentTypeScope="" ma:versionID="d5431e0d1f0dcaf68014e8532e071190">
  <xsd:schema xmlns:xsd="http://www.w3.org/2001/XMLSchema" xmlns:xs="http://www.w3.org/2001/XMLSchema" xmlns:p="http://schemas.microsoft.com/office/2006/metadata/properties" xmlns:ns3="053e5028-8dc9-492f-812f-0801344c1234" xmlns:ns4="2091b57e-f10c-4494-a4bf-68ddc2bbfcff" targetNamespace="http://schemas.microsoft.com/office/2006/metadata/properties" ma:root="true" ma:fieldsID="d65e2807cb8395fca0cc5d47089cda23" ns3:_="" ns4:_="">
    <xsd:import namespace="053e5028-8dc9-492f-812f-0801344c1234"/>
    <xsd:import namespace="2091b57e-f10c-4494-a4bf-68ddc2bbfcf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e5028-8dc9-492f-812f-0801344c1234"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91b57e-f10c-4494-a4bf-68ddc2bbfcf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091b57e-f10c-4494-a4bf-68ddc2bbfcff" xsi:nil="true"/>
  </documentManagement>
</p:properties>
</file>

<file path=customXml/itemProps1.xml><?xml version="1.0" encoding="utf-8"?>
<ds:datastoreItem xmlns:ds="http://schemas.openxmlformats.org/officeDocument/2006/customXml" ds:itemID="{0A816973-D8A2-48B2-90FF-22C6D532E0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3e5028-8dc9-492f-812f-0801344c1234"/>
    <ds:schemaRef ds:uri="2091b57e-f10c-4494-a4bf-68ddc2bbfc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36ED0A-49FA-4AF3-A66D-CC72B0DBE59A}">
  <ds:schemaRefs>
    <ds:schemaRef ds:uri="http://schemas.microsoft.com/sharepoint/v3/contenttype/forms"/>
  </ds:schemaRefs>
</ds:datastoreItem>
</file>

<file path=customXml/itemProps3.xml><?xml version="1.0" encoding="utf-8"?>
<ds:datastoreItem xmlns:ds="http://schemas.openxmlformats.org/officeDocument/2006/customXml" ds:itemID="{FF644286-8764-47D6-84A0-C02C537636CD}">
  <ds:schemaRefs>
    <ds:schemaRef ds:uri="http://www.w3.org/XML/1998/namespace"/>
    <ds:schemaRef ds:uri="053e5028-8dc9-492f-812f-0801344c1234"/>
    <ds:schemaRef ds:uri="http://purl.org/dc/elements/1.1/"/>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2091b57e-f10c-4494-a4bf-68ddc2bbfcf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Cifras Historicas</vt:lpstr>
      <vt:lpstr>Proyecciones</vt:lpstr>
      <vt:lpstr>Valoración Sin Estrategia</vt:lpstr>
      <vt:lpstr>Estrategias Operativas</vt:lpstr>
      <vt:lpstr>Proyecciones + Estrategia</vt:lpstr>
      <vt:lpstr>Valoración + Estrategia</vt:lpstr>
      <vt:lpstr>Predictor de quiebra </vt:lpstr>
      <vt:lpstr>Industry Averages</vt:lpstr>
      <vt:lpstr>Graficas</vt:lpstr>
      <vt:lpstr>'Industry Averages'!Títulos_a_imprimir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Ferrin</dc:creator>
  <cp:lastModifiedBy>Wendy Giovanna</cp:lastModifiedBy>
  <cp:lastPrinted>2020-11-04T03:28:04Z</cp:lastPrinted>
  <dcterms:created xsi:type="dcterms:W3CDTF">2017-10-24T00:08:46Z</dcterms:created>
  <dcterms:modified xsi:type="dcterms:W3CDTF">2023-12-19T01:38:10Z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0x010100AAD8A5E7C304A74381261160FC931EDC</vt:lpwstr>
  </property>
</Properties>
</file>