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LINA MAESTRIA\ARCHIVOS FINALES ABRIL 2023\FINAL\"/>
    </mc:Choice>
  </mc:AlternateContent>
  <xr:revisionPtr revIDLastSave="0" documentId="13_ncr:1_{EFCDD960-F40C-42EE-AD21-81A23E7C30AC}" xr6:coauthVersionLast="47" xr6:coauthVersionMax="47" xr10:uidLastSave="{00000000-0000-0000-0000-000000000000}"/>
  <bookViews>
    <workbookView xWindow="-120" yWindow="-120" windowWidth="20730" windowHeight="11160" xr2:uid="{EB01118D-9729-4929-B465-08A10A37696E}"/>
  </bookViews>
  <sheets>
    <sheet name="1.RECURSO HUMANO" sheetId="14" r:id="rId1"/>
    <sheet name="2.INVERSION" sheetId="18" r:id="rId2"/>
    <sheet name="3.COSTOS-GASTOS" sheetId="13" r:id="rId3"/>
    <sheet name="4. AMORTIZACION" sheetId="8" r:id="rId4"/>
    <sheet name="6. FLUJO DE CAJA" sheetId="23" r:id="rId5"/>
    <sheet name="5.BALANCE GENERAL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7" l="1"/>
  <c r="D18" i="23"/>
  <c r="E39" i="13"/>
  <c r="E38" i="13"/>
  <c r="E37" i="13"/>
  <c r="H37" i="13" s="1"/>
  <c r="E35" i="13"/>
  <c r="E34" i="13"/>
  <c r="E33" i="13"/>
  <c r="H33" i="13" s="1"/>
  <c r="E25" i="13"/>
  <c r="E26" i="13" s="1"/>
  <c r="C7" i="23"/>
  <c r="C14" i="23" s="1"/>
  <c r="N42" i="23"/>
  <c r="M42" i="23"/>
  <c r="L42" i="23"/>
  <c r="K42" i="23"/>
  <c r="J42" i="23"/>
  <c r="I42" i="23"/>
  <c r="H42" i="23"/>
  <c r="N41" i="23"/>
  <c r="M41" i="23"/>
  <c r="L41" i="23"/>
  <c r="K41" i="23"/>
  <c r="J41" i="23"/>
  <c r="I41" i="23"/>
  <c r="H41" i="23"/>
  <c r="N40" i="23"/>
  <c r="M40" i="23"/>
  <c r="L40" i="23"/>
  <c r="K40" i="23"/>
  <c r="J40" i="23"/>
  <c r="I40" i="23"/>
  <c r="H40" i="23"/>
  <c r="N36" i="23"/>
  <c r="M36" i="23"/>
  <c r="L36" i="23"/>
  <c r="K36" i="23"/>
  <c r="J36" i="23"/>
  <c r="I36" i="23"/>
  <c r="H36" i="23"/>
  <c r="G42" i="23"/>
  <c r="F42" i="23"/>
  <c r="E42" i="23"/>
  <c r="D42" i="23"/>
  <c r="C42" i="23"/>
  <c r="G41" i="23"/>
  <c r="F41" i="23"/>
  <c r="E41" i="23"/>
  <c r="D41" i="23"/>
  <c r="C41" i="23"/>
  <c r="G40" i="23"/>
  <c r="F40" i="23"/>
  <c r="E40" i="23"/>
  <c r="D40" i="23"/>
  <c r="C40" i="23"/>
  <c r="G36" i="23"/>
  <c r="F36" i="23"/>
  <c r="E36" i="23"/>
  <c r="D36" i="23"/>
  <c r="C36" i="23"/>
  <c r="D2" i="23"/>
  <c r="C39" i="23" s="1"/>
  <c r="D1" i="23"/>
  <c r="B8" i="13"/>
  <c r="E28" i="13"/>
  <c r="E29" i="13" s="1"/>
  <c r="H25" i="13"/>
  <c r="G25" i="13"/>
  <c r="E27" i="13"/>
  <c r="E9" i="13"/>
  <c r="E12" i="13" s="1"/>
  <c r="E13" i="13" s="1"/>
  <c r="H9" i="13" l="1"/>
  <c r="J30" i="13" s="1"/>
  <c r="E30" i="13"/>
  <c r="G30" i="13" s="1"/>
  <c r="E10" i="13"/>
  <c r="E14" i="13" s="1"/>
  <c r="G14" i="13" s="1"/>
  <c r="E11" i="13"/>
  <c r="I30" i="13" l="1"/>
  <c r="G12" i="17"/>
  <c r="D12" i="17"/>
  <c r="D41" i="18"/>
  <c r="F34" i="18"/>
  <c r="F33" i="18"/>
  <c r="F32" i="18"/>
  <c r="F31" i="18"/>
  <c r="F30" i="18"/>
  <c r="F29" i="18"/>
  <c r="F24" i="18"/>
  <c r="F23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G15" i="14"/>
  <c r="F15" i="14"/>
  <c r="E15" i="14"/>
  <c r="G14" i="14"/>
  <c r="F14" i="14"/>
  <c r="E14" i="14"/>
  <c r="C9" i="14"/>
  <c r="C19" i="23" l="1"/>
  <c r="H2" i="8"/>
  <c r="D7" i="23"/>
  <c r="G17" i="17"/>
  <c r="G15" i="17"/>
  <c r="F19" i="18"/>
  <c r="F25" i="18"/>
  <c r="F35" i="18"/>
  <c r="H15" i="14"/>
  <c r="I15" i="14" s="1"/>
  <c r="J15" i="14" s="1"/>
  <c r="H14" i="14"/>
  <c r="I14" i="14" s="1"/>
  <c r="J14" i="14" s="1"/>
  <c r="G13" i="14"/>
  <c r="F13" i="14"/>
  <c r="E13" i="14"/>
  <c r="G12" i="14"/>
  <c r="F12" i="14"/>
  <c r="E12" i="14"/>
  <c r="M8" i="14"/>
  <c r="M7" i="14"/>
  <c r="L8" i="14"/>
  <c r="L7" i="14"/>
  <c r="K8" i="14"/>
  <c r="K7" i="14"/>
  <c r="G7" i="14"/>
  <c r="G8" i="14"/>
  <c r="F7" i="14"/>
  <c r="F8" i="14"/>
  <c r="E8" i="14"/>
  <c r="E7" i="14"/>
  <c r="D6" i="14"/>
  <c r="E6" i="14" s="1"/>
  <c r="E7" i="23" l="1"/>
  <c r="E14" i="23" s="1"/>
  <c r="D14" i="23"/>
  <c r="H12" i="14"/>
  <c r="H13" i="14"/>
  <c r="I13" i="14" s="1"/>
  <c r="J13" i="14" s="1"/>
  <c r="H7" i="14"/>
  <c r="I7" i="14" s="1"/>
  <c r="J7" i="14" s="1"/>
  <c r="H8" i="14"/>
  <c r="I8" i="14" s="1"/>
  <c r="J8" i="14" s="1"/>
  <c r="G6" i="14"/>
  <c r="F6" i="14"/>
  <c r="F7" i="23" l="1"/>
  <c r="I12" i="14"/>
  <c r="J12" i="14" s="1"/>
  <c r="H16" i="14"/>
  <c r="H6" i="14"/>
  <c r="H9" i="14" s="1"/>
  <c r="G7" i="23" l="1"/>
  <c r="F14" i="23"/>
  <c r="I6" i="14"/>
  <c r="J6" i="14" s="1"/>
  <c r="H7" i="23" l="1"/>
  <c r="G14" i="23"/>
  <c r="H14" i="23" l="1"/>
  <c r="I7" i="23"/>
  <c r="J7" i="23" l="1"/>
  <c r="I14" i="23"/>
  <c r="K7" i="23" l="1"/>
  <c r="J14" i="23"/>
  <c r="H9" i="8"/>
  <c r="H4" i="8"/>
  <c r="H5" i="8" s="1"/>
  <c r="L7" i="23" l="1"/>
  <c r="K14" i="23"/>
  <c r="B25" i="8"/>
  <c r="B23" i="8"/>
  <c r="B21" i="8"/>
  <c r="B19" i="8"/>
  <c r="B17" i="8"/>
  <c r="B15" i="8"/>
  <c r="C13" i="8"/>
  <c r="H13" i="8"/>
  <c r="B24" i="8"/>
  <c r="B22" i="8"/>
  <c r="B20" i="8"/>
  <c r="B18" i="8"/>
  <c r="B16" i="8"/>
  <c r="B14" i="8"/>
  <c r="G14" i="8"/>
  <c r="C28" i="23" s="1"/>
  <c r="C37" i="23" s="1"/>
  <c r="K14" i="8"/>
  <c r="G16" i="8"/>
  <c r="E28" i="23" s="1"/>
  <c r="E37" i="23" s="1"/>
  <c r="K16" i="8"/>
  <c r="G18" i="8"/>
  <c r="G28" i="23" s="1"/>
  <c r="G37" i="23" s="1"/>
  <c r="K18" i="8"/>
  <c r="G20" i="8"/>
  <c r="I28" i="23" s="1"/>
  <c r="I37" i="23" s="1"/>
  <c r="K20" i="8"/>
  <c r="G22" i="8"/>
  <c r="K28" i="23" s="1"/>
  <c r="K37" i="23" s="1"/>
  <c r="K22" i="8"/>
  <c r="G24" i="8"/>
  <c r="M28" i="23" s="1"/>
  <c r="M37" i="23" s="1"/>
  <c r="K24" i="8"/>
  <c r="G15" i="8"/>
  <c r="D28" i="23" s="1"/>
  <c r="K15" i="8"/>
  <c r="G17" i="8"/>
  <c r="F28" i="23" s="1"/>
  <c r="F37" i="23" s="1"/>
  <c r="K17" i="8"/>
  <c r="G19" i="8"/>
  <c r="H28" i="23" s="1"/>
  <c r="H37" i="23" s="1"/>
  <c r="K19" i="8"/>
  <c r="G21" i="8"/>
  <c r="J28" i="23" s="1"/>
  <c r="J37" i="23" s="1"/>
  <c r="K21" i="8"/>
  <c r="G23" i="8"/>
  <c r="L28" i="23" s="1"/>
  <c r="L37" i="23" s="1"/>
  <c r="K23" i="8"/>
  <c r="G25" i="8"/>
  <c r="N28" i="23" s="1"/>
  <c r="N37" i="23" s="1"/>
  <c r="K25" i="8"/>
  <c r="L20" i="23" l="1"/>
  <c r="H20" i="23"/>
  <c r="D20" i="23"/>
  <c r="K20" i="23"/>
  <c r="G20" i="23"/>
  <c r="C20" i="23"/>
  <c r="D37" i="23"/>
  <c r="N20" i="23"/>
  <c r="N23" i="23" s="1"/>
  <c r="J20" i="23"/>
  <c r="K38" i="23" s="1"/>
  <c r="L39" i="23" s="1"/>
  <c r="F20" i="23"/>
  <c r="M20" i="23"/>
  <c r="I20" i="23"/>
  <c r="E20" i="23"/>
  <c r="M7" i="23"/>
  <c r="L14" i="23"/>
  <c r="L21" i="8"/>
  <c r="L25" i="8"/>
  <c r="L17" i="8"/>
  <c r="L24" i="8"/>
  <c r="L20" i="8"/>
  <c r="L16" i="8"/>
  <c r="L23" i="8"/>
  <c r="L19" i="8"/>
  <c r="L15" i="8"/>
  <c r="L22" i="8"/>
  <c r="L18" i="8"/>
  <c r="L14" i="8"/>
  <c r="C14" i="8"/>
  <c r="D13" i="8"/>
  <c r="I13" i="8"/>
  <c r="J13" i="8" s="1"/>
  <c r="H14" i="8"/>
  <c r="E38" i="23" l="1"/>
  <c r="F39" i="23" s="1"/>
  <c r="D23" i="23"/>
  <c r="D25" i="23" s="1"/>
  <c r="D30" i="23" s="1"/>
  <c r="D38" i="23"/>
  <c r="E39" i="23" s="1"/>
  <c r="C23" i="23"/>
  <c r="C25" i="23" s="1"/>
  <c r="L38" i="23"/>
  <c r="M39" i="23" s="1"/>
  <c r="K23" i="23"/>
  <c r="K25" i="23" s="1"/>
  <c r="K30" i="23" s="1"/>
  <c r="K35" i="23" s="1"/>
  <c r="I38" i="23"/>
  <c r="J39" i="23" s="1"/>
  <c r="H23" i="23"/>
  <c r="H25" i="23" s="1"/>
  <c r="H30" i="23" s="1"/>
  <c r="F38" i="23"/>
  <c r="G39" i="23" s="1"/>
  <c r="E23" i="23"/>
  <c r="E25" i="23" s="1"/>
  <c r="N38" i="23"/>
  <c r="M23" i="23"/>
  <c r="D35" i="23"/>
  <c r="D43" i="23" s="1"/>
  <c r="D47" i="23" s="1"/>
  <c r="H38" i="23"/>
  <c r="I39" i="23" s="1"/>
  <c r="G23" i="23"/>
  <c r="G25" i="23" s="1"/>
  <c r="G30" i="23" s="1"/>
  <c r="M38" i="23"/>
  <c r="N39" i="23" s="1"/>
  <c r="L23" i="23"/>
  <c r="L25" i="23" s="1"/>
  <c r="L30" i="23" s="1"/>
  <c r="J23" i="23"/>
  <c r="J25" i="23" s="1"/>
  <c r="J30" i="23" s="1"/>
  <c r="J38" i="23"/>
  <c r="K39" i="23" s="1"/>
  <c r="I23" i="23"/>
  <c r="I25" i="23" s="1"/>
  <c r="I30" i="23" s="1"/>
  <c r="F23" i="23"/>
  <c r="F25" i="23" s="1"/>
  <c r="G38" i="23"/>
  <c r="H39" i="23" s="1"/>
  <c r="N7" i="23"/>
  <c r="N14" i="23" s="1"/>
  <c r="N25" i="23" s="1"/>
  <c r="N30" i="23" s="1"/>
  <c r="N35" i="23" s="1"/>
  <c r="N43" i="23" s="1"/>
  <c r="N47" i="23" s="1"/>
  <c r="M14" i="23"/>
  <c r="M25" i="23" s="1"/>
  <c r="E13" i="8"/>
  <c r="D14" i="8"/>
  <c r="C15" i="8"/>
  <c r="L26" i="8"/>
  <c r="I14" i="8"/>
  <c r="J14" i="8" s="1"/>
  <c r="H15" i="8"/>
  <c r="K43" i="23" l="1"/>
  <c r="K47" i="23" s="1"/>
  <c r="I35" i="23"/>
  <c r="I43" i="23" s="1"/>
  <c r="I47" i="23" s="1"/>
  <c r="E30" i="23"/>
  <c r="J35" i="23"/>
  <c r="J43" i="23" s="1"/>
  <c r="J47" i="23" s="1"/>
  <c r="H35" i="23"/>
  <c r="H43" i="23" s="1"/>
  <c r="H47" i="23" s="1"/>
  <c r="C26" i="23"/>
  <c r="C30" i="23"/>
  <c r="G35" i="23"/>
  <c r="G43" i="23" s="1"/>
  <c r="G47" i="23" s="1"/>
  <c r="F30" i="23"/>
  <c r="M30" i="23"/>
  <c r="L35" i="23"/>
  <c r="L43" i="23" s="1"/>
  <c r="L47" i="23" s="1"/>
  <c r="E14" i="8"/>
  <c r="H16" i="8"/>
  <c r="I15" i="8"/>
  <c r="J15" i="8" s="1"/>
  <c r="C16" i="8"/>
  <c r="D15" i="8"/>
  <c r="E35" i="23" l="1"/>
  <c r="E43" i="23" s="1"/>
  <c r="E47" i="23" s="1"/>
  <c r="F35" i="23"/>
  <c r="F43" i="23" s="1"/>
  <c r="F47" i="23" s="1"/>
  <c r="C35" i="23"/>
  <c r="C43" i="23" s="1"/>
  <c r="C47" i="23" s="1"/>
  <c r="C50" i="23" s="1"/>
  <c r="C32" i="23"/>
  <c r="D6" i="23" s="1"/>
  <c r="M35" i="23"/>
  <c r="M43" i="23" s="1"/>
  <c r="M47" i="23" s="1"/>
  <c r="C51" i="23" s="1"/>
  <c r="E15" i="8"/>
  <c r="D16" i="8"/>
  <c r="C17" i="8"/>
  <c r="I16" i="8"/>
  <c r="J16" i="8" s="1"/>
  <c r="H17" i="8"/>
  <c r="D26" i="23" l="1"/>
  <c r="D32" i="23"/>
  <c r="E6" i="23" s="1"/>
  <c r="E16" i="8"/>
  <c r="C18" i="8"/>
  <c r="D17" i="8"/>
  <c r="H18" i="8"/>
  <c r="I17" i="8"/>
  <c r="J17" i="8" s="1"/>
  <c r="E26" i="23" l="1"/>
  <c r="E32" i="23"/>
  <c r="F6" i="23" s="1"/>
  <c r="E17" i="8"/>
  <c r="I18" i="8"/>
  <c r="J18" i="8" s="1"/>
  <c r="H19" i="8"/>
  <c r="D18" i="8"/>
  <c r="C19" i="8"/>
  <c r="F26" i="23" l="1"/>
  <c r="F32" i="23"/>
  <c r="G6" i="23" s="1"/>
  <c r="E18" i="8"/>
  <c r="H20" i="8"/>
  <c r="I19" i="8"/>
  <c r="J19" i="8" s="1"/>
  <c r="C20" i="8"/>
  <c r="D19" i="8"/>
  <c r="G26" i="23" l="1"/>
  <c r="G32" i="23"/>
  <c r="H6" i="23" s="1"/>
  <c r="E19" i="8"/>
  <c r="D20" i="8"/>
  <c r="C21" i="8"/>
  <c r="I20" i="8"/>
  <c r="J20" i="8" s="1"/>
  <c r="H21" i="8"/>
  <c r="H26" i="23" l="1"/>
  <c r="H32" i="23"/>
  <c r="I6" i="23" s="1"/>
  <c r="E20" i="8"/>
  <c r="C22" i="8"/>
  <c r="D21" i="8"/>
  <c r="H22" i="8"/>
  <c r="I21" i="8"/>
  <c r="J21" i="8" s="1"/>
  <c r="I26" i="23" l="1"/>
  <c r="I32" i="23"/>
  <c r="J6" i="23" s="1"/>
  <c r="E21" i="8"/>
  <c r="I22" i="8"/>
  <c r="J22" i="8" s="1"/>
  <c r="H23" i="8"/>
  <c r="D22" i="8"/>
  <c r="C23" i="8"/>
  <c r="J26" i="23" l="1"/>
  <c r="J32" i="23"/>
  <c r="K6" i="23" s="1"/>
  <c r="E22" i="8"/>
  <c r="H24" i="8"/>
  <c r="I23" i="8"/>
  <c r="J23" i="8" s="1"/>
  <c r="C24" i="8"/>
  <c r="D23" i="8"/>
  <c r="K26" i="23" l="1"/>
  <c r="K32" i="23"/>
  <c r="L6" i="23" s="1"/>
  <c r="E23" i="8"/>
  <c r="D24" i="8"/>
  <c r="C25" i="8"/>
  <c r="I24" i="8"/>
  <c r="J24" i="8" s="1"/>
  <c r="H25" i="8"/>
  <c r="L26" i="23" l="1"/>
  <c r="L32" i="23"/>
  <c r="M6" i="23" s="1"/>
  <c r="E24" i="8"/>
  <c r="D25" i="8"/>
  <c r="E25" i="8" s="1"/>
  <c r="I25" i="8"/>
  <c r="J25" i="8" s="1"/>
  <c r="M26" i="23" l="1"/>
  <c r="M32" i="23"/>
  <c r="N6" i="23" s="1"/>
  <c r="E26" i="8"/>
  <c r="N32" i="23" l="1"/>
  <c r="N26" i="23"/>
</calcChain>
</file>

<file path=xl/sharedStrings.xml><?xml version="1.0" encoding="utf-8"?>
<sst xmlns="http://schemas.openxmlformats.org/spreadsheetml/2006/main" count="212" uniqueCount="172">
  <si>
    <t>Herramienta Menor</t>
  </si>
  <si>
    <t>Equipos de Seguridad Industrial</t>
  </si>
  <si>
    <t>Arquitecta</t>
  </si>
  <si>
    <t>Mensajero</t>
  </si>
  <si>
    <t>Auxiliar de Aseo y Cafeteria</t>
  </si>
  <si>
    <t>Maestro de Obra</t>
  </si>
  <si>
    <t>Ayudante</t>
  </si>
  <si>
    <t>Cargo</t>
  </si>
  <si>
    <t>Salario</t>
  </si>
  <si>
    <t>Salud</t>
  </si>
  <si>
    <t>Pension</t>
  </si>
  <si>
    <t>ARL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</si>
  <si>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</si>
  <si>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</si>
  <si>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</si>
  <si>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</si>
  <si>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</si>
  <si>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</si>
  <si>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</si>
  <si>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</si>
  <si>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</si>
  <si>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</si>
  <si>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</si>
  <si>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</si>
  <si>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Gestor de Calidad</t>
  </si>
  <si>
    <t>Valor Hora</t>
  </si>
  <si>
    <t>Guantes</t>
  </si>
  <si>
    <t>Cascos</t>
  </si>
  <si>
    <t>Monogafas</t>
  </si>
  <si>
    <t>Equipo Trabajo Alturas</t>
  </si>
  <si>
    <t>Linea de Vida 13 mm/20 mts</t>
  </si>
  <si>
    <t>Botas</t>
  </si>
  <si>
    <t>TIR</t>
  </si>
  <si>
    <t>MONTO</t>
  </si>
  <si>
    <t>CUOTA INICIAL</t>
  </si>
  <si>
    <t>VALOR C.I</t>
  </si>
  <si>
    <t>PRESTAMO</t>
  </si>
  <si>
    <t>I %</t>
  </si>
  <si>
    <t>MENSUAL</t>
  </si>
  <si>
    <t>PERIODO</t>
  </si>
  <si>
    <t>AÑOS</t>
  </si>
  <si>
    <t>Nper</t>
  </si>
  <si>
    <t>Periodo</t>
  </si>
  <si>
    <t>Amortización</t>
  </si>
  <si>
    <t>Saldo</t>
  </si>
  <si>
    <t>Interes</t>
  </si>
  <si>
    <t>Cuota Variable</t>
  </si>
  <si>
    <t>Cuota Fija/Pago Prin</t>
  </si>
  <si>
    <t>Cuota</t>
  </si>
  <si>
    <t>Pago Int.</t>
  </si>
  <si>
    <t>Pago/Cuota Fija</t>
  </si>
  <si>
    <t>Juego de 4 Alicates y Pico Loro</t>
  </si>
  <si>
    <t>Set de Destornilladores Pro de 6 Piezas</t>
  </si>
  <si>
    <t>Barra pata de cabra 15"</t>
  </si>
  <si>
    <t>Martillero Carpintero 16 onzas</t>
  </si>
  <si>
    <t>Hombresolo 10" Curvo</t>
  </si>
  <si>
    <t>Cizalla Cortapernos 24"</t>
  </si>
  <si>
    <t>Zapapico Punta y Pala</t>
  </si>
  <si>
    <t>Pala</t>
  </si>
  <si>
    <t>Taladro Percutor / Atornillador</t>
  </si>
  <si>
    <t>Pulidora 9"</t>
  </si>
  <si>
    <t>Nivel Profesional 48"</t>
  </si>
  <si>
    <t>Nivel Aluminio 18"</t>
  </si>
  <si>
    <t>Cinta Metrica</t>
  </si>
  <si>
    <t>Subtotal</t>
  </si>
  <si>
    <t>Total</t>
  </si>
  <si>
    <t>TOTAL</t>
  </si>
  <si>
    <t>Valor Unitario</t>
  </si>
  <si>
    <t>Valor Total</t>
  </si>
  <si>
    <t>Impresora</t>
  </si>
  <si>
    <t>DISEÑO DEL MANTENIMIENTO LOCATIVO EN LA VIVIENDA</t>
  </si>
  <si>
    <t>Equipos</t>
  </si>
  <si>
    <t>SALUD</t>
  </si>
  <si>
    <t>PENSION</t>
  </si>
  <si>
    <t>Sobre el 40%</t>
  </si>
  <si>
    <t>Salario + Seguridad Social</t>
  </si>
  <si>
    <t>Contrato de Obra</t>
  </si>
  <si>
    <t>Avance de Obra 30%</t>
  </si>
  <si>
    <t>Avance de Obra 40%</t>
  </si>
  <si>
    <t>Gastos Administrativos</t>
  </si>
  <si>
    <t>Gastos de Constitución (se paga sobre el valor del patrimonio)</t>
  </si>
  <si>
    <t>Plan de Mantenimiento Eléctrico</t>
  </si>
  <si>
    <t>Plan de Mantenimiento Obra Civil</t>
  </si>
  <si>
    <t>Plan de Mantenimiento Techos, Muros y Pisos</t>
  </si>
  <si>
    <t>Plan de Mantenimiento Areas Comunes</t>
  </si>
  <si>
    <t>Iva sobre la Utilidad</t>
  </si>
  <si>
    <t>Valor Dia</t>
  </si>
  <si>
    <t>Administrador</t>
  </si>
  <si>
    <t>Cant.</t>
  </si>
  <si>
    <t xml:space="preserve">Equipos de Computo </t>
  </si>
  <si>
    <t>Equipos Tecnológicos</t>
  </si>
  <si>
    <t>Prestación de Servicios</t>
  </si>
  <si>
    <t>Inversión</t>
  </si>
  <si>
    <t>Gastos de Obra Casa Modelo</t>
  </si>
  <si>
    <t>Gastos de Obra Apartamento Modelo</t>
  </si>
  <si>
    <t xml:space="preserve">Administracion 10% </t>
  </si>
  <si>
    <t>Imprevisto 5%</t>
  </si>
  <si>
    <t>Utilidad 5%</t>
  </si>
  <si>
    <r>
      <t>Oficinas virtuales y amoblados</t>
    </r>
    <r>
      <rPr>
        <b/>
        <sz val="10"/>
        <color theme="1"/>
        <rFont val="Times New Roman"/>
        <family val="1"/>
      </rPr>
      <t xml:space="preserve"> ESPACIO OFICINAS VIRTUALES</t>
    </r>
    <r>
      <rPr>
        <sz val="10"/>
        <color theme="1"/>
        <rFont val="Times New Roman"/>
        <family val="1"/>
      </rPr>
      <t xml:space="preserve"> (prestan instalaciones, se alquila el espacio y toda la correspondencia llega a dicho lugar) </t>
    </r>
  </si>
  <si>
    <t>Servicios Publicos</t>
  </si>
  <si>
    <t>Pasivo</t>
  </si>
  <si>
    <t>Activo Fijo</t>
  </si>
  <si>
    <t>Activo Corriente</t>
  </si>
  <si>
    <t>Caja</t>
  </si>
  <si>
    <t>Banco</t>
  </si>
  <si>
    <t>Pasivo Corriente</t>
  </si>
  <si>
    <t>Prestamo Bancario</t>
  </si>
  <si>
    <t>Total Activo</t>
  </si>
  <si>
    <t>Total Patrimonio</t>
  </si>
  <si>
    <t>Total Pasivo</t>
  </si>
  <si>
    <t>Sobre Utilidad</t>
  </si>
  <si>
    <t>Servicios Profesionales</t>
  </si>
  <si>
    <t>VENTAS POR MES</t>
  </si>
  <si>
    <t>TOTAL VENTAS MES</t>
  </si>
  <si>
    <t>TOTAL COSTO DE  VENTAS</t>
  </si>
  <si>
    <t xml:space="preserve">Administracion 10 % </t>
  </si>
  <si>
    <t>Imprevisto 5 %</t>
  </si>
  <si>
    <t>Patrimonio</t>
  </si>
  <si>
    <t>Capital</t>
  </si>
  <si>
    <t>RESUMEN DE LA INVERSION</t>
  </si>
  <si>
    <t>n - PERIODO</t>
  </si>
  <si>
    <t>N -TIEMPO</t>
  </si>
  <si>
    <t>Balance General Inicial</t>
  </si>
  <si>
    <t>1 mes</t>
  </si>
  <si>
    <t>2 mes</t>
  </si>
  <si>
    <t>3 mes</t>
  </si>
  <si>
    <t>Crecimiento n+1=</t>
  </si>
  <si>
    <t>Impuestos=</t>
  </si>
  <si>
    <t>Flujo de Tesorería</t>
  </si>
  <si>
    <t>Saldo Inicial</t>
  </si>
  <si>
    <t>Vta Papeles</t>
  </si>
  <si>
    <t>Rendimientos de Inv.</t>
  </si>
  <si>
    <t>Aportes de Capital</t>
  </si>
  <si>
    <t>Aportes de Capital en Esp.</t>
  </si>
  <si>
    <t>Vta Inventarios</t>
  </si>
  <si>
    <t>Vta Asct. Fijos</t>
  </si>
  <si>
    <t>TOTAL INGRESOS</t>
  </si>
  <si>
    <t>EGRESOS</t>
  </si>
  <si>
    <t>Proveedores</t>
  </si>
  <si>
    <t>Gastos de Admon y Vtas</t>
  </si>
  <si>
    <t>Compras de Act.</t>
  </si>
  <si>
    <t>Pago Intereses</t>
  </si>
  <si>
    <t>Utilidades Repartidas</t>
  </si>
  <si>
    <t>Impuestos</t>
  </si>
  <si>
    <t>TOTAL EGRESOS</t>
  </si>
  <si>
    <t>Saldo del Año</t>
  </si>
  <si>
    <t>Saldo Acumulado</t>
  </si>
  <si>
    <t>Préstamos Bancarios</t>
  </si>
  <si>
    <t>Amortización de Prést.</t>
  </si>
  <si>
    <t>Inv. Bolsa</t>
  </si>
  <si>
    <t>NUEVO SALDO DEL AÑO</t>
  </si>
  <si>
    <t xml:space="preserve"> + Nvo saldo del año</t>
  </si>
  <si>
    <t xml:space="preserve"> - Préstamos Bancarios</t>
  </si>
  <si>
    <t xml:space="preserve"> + Amortización de Prést.</t>
  </si>
  <si>
    <t xml:space="preserve"> + Pagos de Intereses</t>
  </si>
  <si>
    <t xml:space="preserve"> - Ahorros de Impuestos</t>
  </si>
  <si>
    <t xml:space="preserve"> + Utilidades Repartidas</t>
  </si>
  <si>
    <t xml:space="preserve"> - Aportes de Capital en esp.</t>
  </si>
  <si>
    <t xml:space="preserve"> - Aportes de Capital Efect.</t>
  </si>
  <si>
    <t>FCL sin Valor Terminal</t>
  </si>
  <si>
    <t xml:space="preserve"> + Vr. Terminal o de mercado</t>
  </si>
  <si>
    <t>Flujo de caja del proyecto después de impuestos</t>
  </si>
  <si>
    <t>Tasa de descuento (CPC)</t>
  </si>
  <si>
    <t>Factor de valor presente</t>
  </si>
  <si>
    <t>VPN</t>
  </si>
  <si>
    <t>Ventas Proyectadas</t>
  </si>
  <si>
    <t>35 % UTILIDAD NETA</t>
  </si>
  <si>
    <t>Meses de 2023</t>
  </si>
  <si>
    <t>Aportes Socios</t>
  </si>
  <si>
    <t>RECUROS</t>
  </si>
  <si>
    <t>INVERSION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</si>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</sst>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%"/>
    <numFmt numFmtId="165" formatCode="_-* #,##0_-;\-* #,##0_-;_-* &quot;-&quot;??_-;_-@_-"/>
    <numFmt numFmtId="166" formatCode="_-&quot;$&quot;\ * #,##0_-;\-&quot;$&quot;\ * #,##0_-;_-&quot;$&quot;\ * &quot;-&quot;??_-;_-@_-"/>
    <numFmt numFmtId="167" formatCode="_-&quot;$&quot;\ * #,##0.000_-;\-&quot;$&quot;\ * #,##0.000_-;_-&quot;$&quot;\ * &quot;-&quot;???_-;_-@_-"/>
    <numFmt numFmtId="168" formatCode="_-&quot;$&quot;\ * #,##0.00_-;\-&quot;$&quot;\ * #,##0.00_-;_-&quot;$&quot;\ * &quot;-&quot;???_-;_-@_-"/>
    <numFmt numFmtId="169" formatCode="[$$-240A]\ #,##0.00"/>
    <numFmt numFmtId="170" formatCode="[$$-240A]\ #,##0"/>
    <numFmt numFmtId="171" formatCode="_-* #,##0.00\ _€_-;\-* #,##0.00\ _€_-;_-* &quot;-&quot;??\ _€_-;_-@_-"/>
    <numFmt numFmtId="172" formatCode="_-* #,##0.000\ _€_-;\-* #,##0.0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9" fontId="3" fillId="0" borderId="0" xfId="2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4" fontId="5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44" fontId="11" fillId="0" borderId="0" xfId="1" applyFont="1" applyAlignment="1">
      <alignment vertical="center"/>
    </xf>
    <xf numFmtId="0" fontId="9" fillId="0" borderId="1" xfId="0" applyFont="1" applyBorder="1" applyAlignment="1">
      <alignment vertical="center"/>
    </xf>
    <xf numFmtId="44" fontId="9" fillId="0" borderId="1" xfId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44" fontId="12" fillId="0" borderId="1" xfId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44" fontId="10" fillId="0" borderId="8" xfId="1" applyFont="1" applyFill="1" applyBorder="1" applyAlignment="1">
      <alignment horizontal="left" vertical="center"/>
    </xf>
    <xf numFmtId="44" fontId="10" fillId="0" borderId="0" xfId="1" applyFont="1" applyFill="1" applyBorder="1" applyAlignment="1">
      <alignment horizontal="left" vertical="center"/>
    </xf>
    <xf numFmtId="44" fontId="10" fillId="0" borderId="9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4" fontId="13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4" fontId="9" fillId="0" borderId="0" xfId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4" fontId="9" fillId="0" borderId="1" xfId="1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4" fontId="12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44" fontId="9" fillId="0" borderId="0" xfId="1" applyFont="1" applyBorder="1" applyAlignment="1">
      <alignment horizontal="center" vertical="center"/>
    </xf>
    <xf numFmtId="10" fontId="9" fillId="0" borderId="0" xfId="2" applyNumberFormat="1" applyFont="1" applyBorder="1" applyAlignment="1">
      <alignment horizontal="center" vertical="center"/>
    </xf>
    <xf numFmtId="9" fontId="9" fillId="0" borderId="0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4" fontId="9" fillId="0" borderId="0" xfId="1" applyFont="1" applyFill="1" applyBorder="1" applyAlignment="1">
      <alignment horizontal="center" vertical="center"/>
    </xf>
    <xf numFmtId="44" fontId="9" fillId="0" borderId="13" xfId="0" applyNumberFormat="1" applyFont="1" applyBorder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10" fontId="9" fillId="0" borderId="1" xfId="2" applyNumberFormat="1" applyFont="1" applyBorder="1" applyAlignment="1">
      <alignment vertical="center"/>
    </xf>
    <xf numFmtId="164" fontId="9" fillId="0" borderId="1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44" fontId="9" fillId="0" borderId="0" xfId="1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4" fontId="13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4" fontId="10" fillId="0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165" fontId="10" fillId="0" borderId="1" xfId="3" applyNumberFormat="1" applyFont="1" applyFill="1" applyBorder="1" applyAlignment="1">
      <alignment vertical="center"/>
    </xf>
    <xf numFmtId="44" fontId="10" fillId="0" borderId="1" xfId="1" applyFont="1" applyBorder="1" applyAlignment="1">
      <alignment vertical="center"/>
    </xf>
    <xf numFmtId="44" fontId="13" fillId="0" borderId="1" xfId="1" applyFont="1" applyFill="1" applyBorder="1" applyAlignment="1">
      <alignment vertical="center"/>
    </xf>
    <xf numFmtId="44" fontId="10" fillId="0" borderId="0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165" fontId="10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4" fontId="10" fillId="0" borderId="1" xfId="1" applyFont="1" applyFill="1" applyBorder="1" applyAlignment="1">
      <alignment horizontal="left" vertical="center"/>
    </xf>
    <xf numFmtId="44" fontId="13" fillId="0" borderId="1" xfId="1" applyFont="1" applyBorder="1" applyAlignment="1">
      <alignment horizontal="right" vertical="center"/>
    </xf>
    <xf numFmtId="44" fontId="13" fillId="0" borderId="1" xfId="0" applyNumberFormat="1" applyFont="1" applyBorder="1" applyAlignment="1">
      <alignment vertical="center"/>
    </xf>
    <xf numFmtId="44" fontId="10" fillId="0" borderId="0" xfId="1" applyFont="1" applyAlignment="1">
      <alignment vertical="center"/>
    </xf>
    <xf numFmtId="0" fontId="9" fillId="0" borderId="0" xfId="0" applyFont="1" applyAlignment="1">
      <alignment horizontal="right" vertical="center"/>
    </xf>
    <xf numFmtId="9" fontId="9" fillId="0" borderId="0" xfId="2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/>
    <xf numFmtId="44" fontId="9" fillId="0" borderId="8" xfId="1" applyFont="1" applyBorder="1"/>
    <xf numFmtId="44" fontId="9" fillId="0" borderId="4" xfId="1" applyFont="1" applyBorder="1"/>
    <xf numFmtId="44" fontId="9" fillId="0" borderId="2" xfId="1" applyFont="1" applyFill="1" applyBorder="1"/>
    <xf numFmtId="44" fontId="9" fillId="0" borderId="0" xfId="1" applyFont="1" applyFill="1" applyBorder="1"/>
    <xf numFmtId="44" fontId="9" fillId="0" borderId="5" xfId="1" applyFont="1" applyFill="1" applyBorder="1"/>
    <xf numFmtId="0" fontId="9" fillId="0" borderId="2" xfId="0" applyFont="1" applyBorder="1"/>
    <xf numFmtId="44" fontId="9" fillId="0" borderId="0" xfId="1" applyFont="1" applyBorder="1"/>
    <xf numFmtId="44" fontId="9" fillId="0" borderId="5" xfId="1" applyFont="1" applyBorder="1"/>
    <xf numFmtId="0" fontId="9" fillId="0" borderId="6" xfId="0" applyFont="1" applyBorder="1"/>
    <xf numFmtId="44" fontId="9" fillId="0" borderId="9" xfId="1" applyFont="1" applyBorder="1"/>
    <xf numFmtId="44" fontId="9" fillId="0" borderId="7" xfId="1" applyFont="1" applyBorder="1"/>
    <xf numFmtId="44" fontId="9" fillId="0" borderId="6" xfId="1" applyFont="1" applyFill="1" applyBorder="1"/>
    <xf numFmtId="44" fontId="9" fillId="0" borderId="9" xfId="1" applyFont="1" applyFill="1" applyBorder="1"/>
    <xf numFmtId="44" fontId="9" fillId="0" borderId="7" xfId="1" applyFont="1" applyFill="1" applyBorder="1"/>
    <xf numFmtId="44" fontId="9" fillId="2" borderId="0" xfId="1" applyFont="1" applyFill="1"/>
    <xf numFmtId="44" fontId="9" fillId="0" borderId="0" xfId="1" applyFont="1" applyFill="1"/>
    <xf numFmtId="9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9" fontId="7" fillId="0" borderId="0" xfId="0" applyNumberFormat="1" applyFont="1" applyAlignment="1">
      <alignment vertical="center"/>
    </xf>
    <xf numFmtId="9" fontId="0" fillId="0" borderId="0" xfId="2" applyFont="1"/>
    <xf numFmtId="44" fontId="9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44" fontId="8" fillId="0" borderId="0" xfId="1" applyFont="1" applyAlignment="1">
      <alignment horizontal="center" vertical="center" wrapText="1"/>
    </xf>
    <xf numFmtId="44" fontId="13" fillId="0" borderId="12" xfId="1" applyFont="1" applyFill="1" applyBorder="1" applyAlignment="1">
      <alignment horizontal="left" vertical="center"/>
    </xf>
    <xf numFmtId="44" fontId="12" fillId="0" borderId="0" xfId="1" applyFont="1" applyAlignment="1">
      <alignment vertical="center"/>
    </xf>
    <xf numFmtId="44" fontId="8" fillId="0" borderId="0" xfId="1" applyFont="1" applyAlignment="1">
      <alignment vertical="center"/>
    </xf>
    <xf numFmtId="44" fontId="13" fillId="0" borderId="0" xfId="1" applyFont="1" applyFill="1" applyBorder="1" applyAlignment="1">
      <alignment horizontal="center" vertical="center"/>
    </xf>
    <xf numFmtId="44" fontId="13" fillId="0" borderId="0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9" fontId="14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vertical="center"/>
    </xf>
    <xf numFmtId="0" fontId="7" fillId="0" borderId="1" xfId="0" applyFont="1" applyBorder="1"/>
    <xf numFmtId="170" fontId="7" fillId="0" borderId="1" xfId="0" applyNumberFormat="1" applyFont="1" applyBorder="1" applyAlignment="1">
      <alignment vertical="center"/>
    </xf>
    <xf numFmtId="44" fontId="9" fillId="0" borderId="1" xfId="0" applyNumberFormat="1" applyFont="1" applyBorder="1" applyAlignment="1">
      <alignment vertical="center"/>
    </xf>
    <xf numFmtId="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44" fontId="1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9" fontId="3" fillId="3" borderId="0" xfId="2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3" fontId="7" fillId="3" borderId="0" xfId="3" applyFont="1" applyFill="1" applyAlignment="1">
      <alignment horizontal="center" vertical="center"/>
    </xf>
    <xf numFmtId="40" fontId="7" fillId="3" borderId="0" xfId="0" applyNumberFormat="1" applyFont="1" applyFill="1" applyAlignment="1">
      <alignment horizontal="center" vertical="center"/>
    </xf>
    <xf numFmtId="43" fontId="13" fillId="3" borderId="0" xfId="3" applyFont="1" applyFill="1" applyAlignment="1">
      <alignment horizontal="center" vertical="center"/>
    </xf>
    <xf numFmtId="172" fontId="7" fillId="3" borderId="0" xfId="0" applyNumberFormat="1" applyFont="1" applyFill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171" fontId="13" fillId="3" borderId="0" xfId="0" applyNumberFormat="1" applyFont="1" applyFill="1" applyAlignment="1">
      <alignment horizontal="center" vertical="center"/>
    </xf>
    <xf numFmtId="171" fontId="7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10" fillId="0" borderId="9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9" fontId="14" fillId="0" borderId="0" xfId="0" applyNumberFormat="1" applyFont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71" fontId="13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/>
    </xf>
    <xf numFmtId="9" fontId="7" fillId="3" borderId="0" xfId="2" applyFont="1" applyFill="1" applyBorder="1" applyAlignment="1">
      <alignment horizontal="center" vertical="center"/>
    </xf>
    <xf numFmtId="8" fontId="7" fillId="3" borderId="0" xfId="0" applyNumberFormat="1" applyFont="1" applyFill="1" applyBorder="1" applyAlignment="1">
      <alignment horizontal="center" vertical="center"/>
    </xf>
    <xf numFmtId="9" fontId="7" fillId="3" borderId="0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</cellXfs>
  <cellStyles count="5">
    <cellStyle name="Millares" xfId="3" builtinId="3"/>
    <cellStyle name="Moneda" xfId="1" builtinId="4"/>
    <cellStyle name="Normal" xfId="0" builtinId="0"/>
    <cellStyle name="Normal 2" xfId="4" xr:uid="{7F8E696B-945B-4E02-B37B-90F6D2BBF6F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CA02-E0F0-42BD-8E91-B6143BE9B03E}">
  <dimension ref="A2:Q28"/>
  <sheetViews>
    <sheetView tabSelected="1" workbookViewId="0">
      <selection activeCell="B18" sqref="B18"/>
    </sheetView>
  </sheetViews>
  <sheetFormatPr baseColWidth="10" defaultRowHeight="15" x14ac:dyDescent="0.25"/>
  <cols>
    <col min="1" max="1" width="11.42578125" style="34"/>
    <col min="2" max="2" width="25.7109375" style="34" bestFit="1" customWidth="1"/>
    <col min="3" max="3" width="16.7109375" style="35" bestFit="1" customWidth="1"/>
    <col min="4" max="4" width="14.42578125" style="34" bestFit="1" customWidth="1"/>
    <col min="5" max="5" width="12.85546875" style="34" bestFit="1" customWidth="1"/>
    <col min="6" max="6" width="14.7109375" style="34" bestFit="1" customWidth="1"/>
    <col min="7" max="8" width="14.42578125" style="34" bestFit="1" customWidth="1"/>
    <col min="9" max="10" width="14.42578125" style="34" customWidth="1"/>
    <col min="11" max="11" width="15.42578125" style="34" bestFit="1" customWidth="1"/>
    <col min="12" max="12" width="14.42578125" style="34" bestFit="1" customWidth="1"/>
    <col min="13" max="13" width="17.42578125" style="34" bestFit="1" customWidth="1"/>
    <col min="14" max="14" width="7.85546875" style="6" customWidth="1"/>
    <col min="15" max="15" width="20.7109375" style="6" customWidth="1"/>
    <col min="16" max="16" width="11.5703125" style="1" bestFit="1" customWidth="1"/>
  </cols>
  <sheetData>
    <row r="2" spans="1:17" x14ac:dyDescent="0.25">
      <c r="B2" s="141" t="s">
        <v>70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7" x14ac:dyDescent="0.25">
      <c r="B3" s="141" t="s">
        <v>169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7" x14ac:dyDescent="0.25">
      <c r="K4" s="36"/>
    </row>
    <row r="5" spans="1:17" ht="25.5" x14ac:dyDescent="0.25">
      <c r="B5" s="37" t="s">
        <v>7</v>
      </c>
      <c r="C5" s="38" t="s">
        <v>8</v>
      </c>
      <c r="D5" s="37" t="s">
        <v>74</v>
      </c>
      <c r="E5" s="37" t="s">
        <v>11</v>
      </c>
      <c r="F5" s="37" t="s">
        <v>72</v>
      </c>
      <c r="G5" s="37" t="s">
        <v>73</v>
      </c>
      <c r="H5" s="17" t="s">
        <v>75</v>
      </c>
      <c r="I5" s="17" t="s">
        <v>86</v>
      </c>
      <c r="J5" s="17" t="s">
        <v>25</v>
      </c>
      <c r="K5" s="17" t="s">
        <v>77</v>
      </c>
      <c r="L5" s="17" t="s">
        <v>77</v>
      </c>
      <c r="M5" s="17" t="s">
        <v>78</v>
      </c>
      <c r="N5" s="7"/>
      <c r="O5" s="7"/>
      <c r="P5" s="7"/>
      <c r="Q5" s="7"/>
    </row>
    <row r="6" spans="1:17" x14ac:dyDescent="0.25">
      <c r="B6" s="39" t="s">
        <v>2</v>
      </c>
      <c r="C6" s="40">
        <v>3000000</v>
      </c>
      <c r="D6" s="41">
        <f>C6*40%</f>
        <v>1200000</v>
      </c>
      <c r="E6" s="41">
        <f>D6*0.52%</f>
        <v>6240</v>
      </c>
      <c r="F6" s="41">
        <f>D6*12.5%</f>
        <v>150000</v>
      </c>
      <c r="G6" s="41">
        <f>D6*16%</f>
        <v>192000</v>
      </c>
      <c r="H6" s="41">
        <f>C6+E6+F6+G6</f>
        <v>3348240</v>
      </c>
      <c r="I6" s="41">
        <f>H6/30</f>
        <v>111608</v>
      </c>
      <c r="J6" s="41">
        <f>I6/8</f>
        <v>13951</v>
      </c>
      <c r="K6" s="40"/>
      <c r="L6" s="40"/>
      <c r="M6" s="40"/>
      <c r="N6" s="3"/>
      <c r="O6" s="10"/>
      <c r="P6" s="3"/>
      <c r="Q6" s="3"/>
    </row>
    <row r="7" spans="1:17" ht="25.5" x14ac:dyDescent="0.25">
      <c r="A7" s="42" t="s">
        <v>76</v>
      </c>
      <c r="B7" s="39" t="s">
        <v>5</v>
      </c>
      <c r="C7" s="40">
        <v>1800000</v>
      </c>
      <c r="D7" s="41">
        <v>1000000</v>
      </c>
      <c r="E7" s="41">
        <f>D7*2.436%</f>
        <v>24360</v>
      </c>
      <c r="F7" s="41">
        <f t="shared" ref="F7:F8" si="0">D7*12.5%</f>
        <v>125000</v>
      </c>
      <c r="G7" s="41">
        <f t="shared" ref="G7:G8" si="1">D7*16%</f>
        <v>160000</v>
      </c>
      <c r="H7" s="41">
        <f t="shared" ref="H7:H8" si="2">C7+E7+F7+G7</f>
        <v>2109360</v>
      </c>
      <c r="I7" s="41">
        <f t="shared" ref="I7:I8" si="3">H7/30</f>
        <v>70312</v>
      </c>
      <c r="J7" s="41">
        <f t="shared" ref="J7:J8" si="4">I7/8</f>
        <v>8789</v>
      </c>
      <c r="K7" s="40">
        <f>C7*30%</f>
        <v>540000</v>
      </c>
      <c r="L7" s="40">
        <f>C7*30%</f>
        <v>540000</v>
      </c>
      <c r="M7" s="40">
        <f>C7*40%</f>
        <v>720000</v>
      </c>
      <c r="N7" s="3"/>
      <c r="O7" s="10"/>
      <c r="P7" s="3"/>
      <c r="Q7" s="3"/>
    </row>
    <row r="8" spans="1:17" ht="25.5" x14ac:dyDescent="0.25">
      <c r="A8" s="42" t="s">
        <v>76</v>
      </c>
      <c r="B8" s="39" t="s">
        <v>6</v>
      </c>
      <c r="C8" s="40">
        <v>1000000</v>
      </c>
      <c r="D8" s="41">
        <v>1000000</v>
      </c>
      <c r="E8" s="41">
        <f>D8*2.436%</f>
        <v>24360</v>
      </c>
      <c r="F8" s="41">
        <f t="shared" si="0"/>
        <v>125000</v>
      </c>
      <c r="G8" s="41">
        <f t="shared" si="1"/>
        <v>160000</v>
      </c>
      <c r="H8" s="41">
        <f t="shared" si="2"/>
        <v>1309360</v>
      </c>
      <c r="I8" s="41">
        <f t="shared" si="3"/>
        <v>43645.333333333336</v>
      </c>
      <c r="J8" s="41">
        <f t="shared" si="4"/>
        <v>5455.666666666667</v>
      </c>
      <c r="K8" s="40">
        <f>C8*30%</f>
        <v>300000</v>
      </c>
      <c r="L8" s="40">
        <f>C8*30%</f>
        <v>300000</v>
      </c>
      <c r="M8" s="40">
        <f>C8*40%</f>
        <v>400000</v>
      </c>
      <c r="N8" s="3"/>
      <c r="O8" s="10"/>
      <c r="P8" s="3"/>
      <c r="Q8" s="3"/>
    </row>
    <row r="9" spans="1:17" x14ac:dyDescent="0.25">
      <c r="B9" s="39"/>
      <c r="C9" s="38">
        <f>SUM(C6:C8)</f>
        <v>5800000</v>
      </c>
      <c r="D9" s="39"/>
      <c r="E9" s="39"/>
      <c r="F9" s="39"/>
      <c r="G9" s="39"/>
      <c r="H9" s="43">
        <f>SUM(H6:H8)</f>
        <v>6766960</v>
      </c>
      <c r="I9" s="44"/>
      <c r="J9" s="44"/>
      <c r="K9" s="39"/>
      <c r="L9" s="39"/>
      <c r="M9" s="39"/>
      <c r="P9" s="6"/>
      <c r="Q9" s="8"/>
    </row>
    <row r="10" spans="1:17" x14ac:dyDescent="0.25">
      <c r="C10" s="45"/>
      <c r="D10" s="36"/>
      <c r="E10" s="46"/>
      <c r="F10" s="36"/>
      <c r="G10" s="36"/>
      <c r="H10" s="36"/>
      <c r="I10" s="36"/>
      <c r="J10" s="36"/>
      <c r="K10" s="47"/>
      <c r="L10" s="36"/>
      <c r="M10" s="36"/>
    </row>
    <row r="11" spans="1:17" ht="25.5" x14ac:dyDescent="0.25">
      <c r="B11" s="37" t="s">
        <v>7</v>
      </c>
      <c r="C11" s="38" t="s">
        <v>8</v>
      </c>
      <c r="D11" s="37" t="s">
        <v>74</v>
      </c>
      <c r="E11" s="37" t="s">
        <v>11</v>
      </c>
      <c r="F11" s="37" t="s">
        <v>72</v>
      </c>
      <c r="G11" s="37" t="s">
        <v>73</v>
      </c>
      <c r="H11" s="17" t="s">
        <v>75</v>
      </c>
      <c r="I11" s="17" t="s">
        <v>86</v>
      </c>
      <c r="J11" s="17" t="s">
        <v>25</v>
      </c>
      <c r="K11" s="48"/>
      <c r="L11" s="48"/>
      <c r="M11" s="48"/>
    </row>
    <row r="12" spans="1:17" x14ac:dyDescent="0.25">
      <c r="B12" s="39" t="s">
        <v>87</v>
      </c>
      <c r="C12" s="40">
        <v>2000000</v>
      </c>
      <c r="D12" s="41">
        <v>1000000</v>
      </c>
      <c r="E12" s="41">
        <f>D12*2.436%</f>
        <v>24360</v>
      </c>
      <c r="F12" s="41">
        <f t="shared" ref="F12" si="5">D12*12.5%</f>
        <v>125000</v>
      </c>
      <c r="G12" s="41">
        <f t="shared" ref="G12" si="6">D12*16%</f>
        <v>160000</v>
      </c>
      <c r="H12" s="41">
        <f>C12+E12+F12+G12</f>
        <v>2309360</v>
      </c>
      <c r="I12" s="41">
        <f>H12/30</f>
        <v>76978.666666666672</v>
      </c>
      <c r="J12" s="41">
        <f>I12/8</f>
        <v>9622.3333333333339</v>
      </c>
      <c r="K12" s="49"/>
      <c r="L12" s="49"/>
      <c r="M12" s="49"/>
    </row>
    <row r="13" spans="1:17" x14ac:dyDescent="0.25">
      <c r="B13" s="39" t="s">
        <v>24</v>
      </c>
      <c r="C13" s="40">
        <v>2000000</v>
      </c>
      <c r="D13" s="41">
        <v>1000000</v>
      </c>
      <c r="E13" s="41">
        <f>D13*2.436%</f>
        <v>24360</v>
      </c>
      <c r="F13" s="41">
        <f t="shared" ref="F13:F15" si="7">D13*12.5%</f>
        <v>125000</v>
      </c>
      <c r="G13" s="41">
        <f t="shared" ref="G13:G15" si="8">D13*16%</f>
        <v>160000</v>
      </c>
      <c r="H13" s="41">
        <f t="shared" ref="H13:H15" si="9">C13+E13+F13+G13</f>
        <v>2309360</v>
      </c>
      <c r="I13" s="41">
        <f>H13/30</f>
        <v>76978.666666666672</v>
      </c>
      <c r="J13" s="41">
        <f>I13/8</f>
        <v>9622.3333333333339</v>
      </c>
      <c r="K13" s="49"/>
      <c r="L13" s="49"/>
      <c r="M13" s="49"/>
    </row>
    <row r="14" spans="1:17" x14ac:dyDescent="0.25">
      <c r="B14" s="39" t="s">
        <v>3</v>
      </c>
      <c r="C14" s="40">
        <v>1000000</v>
      </c>
      <c r="D14" s="41">
        <v>1000000</v>
      </c>
      <c r="E14" s="41">
        <f t="shared" ref="E14:E15" si="10">D14*2.436%</f>
        <v>24360</v>
      </c>
      <c r="F14" s="41">
        <f t="shared" si="7"/>
        <v>125000</v>
      </c>
      <c r="G14" s="41">
        <f t="shared" si="8"/>
        <v>160000</v>
      </c>
      <c r="H14" s="41">
        <f t="shared" si="9"/>
        <v>1309360</v>
      </c>
      <c r="I14" s="41">
        <f t="shared" ref="I14:I15" si="11">H14/30</f>
        <v>43645.333333333336</v>
      </c>
      <c r="J14" s="41">
        <f t="shared" ref="J14:J15" si="12">I14/8</f>
        <v>5455.666666666667</v>
      </c>
      <c r="K14" s="49"/>
      <c r="L14" s="49"/>
      <c r="M14" s="49"/>
    </row>
    <row r="15" spans="1:17" x14ac:dyDescent="0.25">
      <c r="B15" s="39" t="s">
        <v>4</v>
      </c>
      <c r="C15" s="40">
        <v>1000000</v>
      </c>
      <c r="D15" s="41">
        <v>1000000</v>
      </c>
      <c r="E15" s="41">
        <f t="shared" si="10"/>
        <v>24360</v>
      </c>
      <c r="F15" s="41">
        <f t="shared" si="7"/>
        <v>125000</v>
      </c>
      <c r="G15" s="41">
        <f t="shared" si="8"/>
        <v>160000</v>
      </c>
      <c r="H15" s="41">
        <f t="shared" si="9"/>
        <v>1309360</v>
      </c>
      <c r="I15" s="41">
        <f t="shared" si="11"/>
        <v>43645.333333333336</v>
      </c>
      <c r="J15" s="41">
        <f t="shared" si="12"/>
        <v>5455.666666666667</v>
      </c>
    </row>
    <row r="16" spans="1:17" x14ac:dyDescent="0.25">
      <c r="C16" s="49"/>
      <c r="D16" s="50"/>
      <c r="E16" s="50"/>
      <c r="F16" s="50"/>
      <c r="G16" s="36"/>
      <c r="H16" s="51">
        <f>SUM(H12:H15)</f>
        <v>7237440</v>
      </c>
      <c r="I16" s="36"/>
      <c r="J16" s="36"/>
    </row>
    <row r="17" spans="1:17" x14ac:dyDescent="0.25">
      <c r="C17" s="49"/>
      <c r="D17" s="50"/>
      <c r="E17" s="50"/>
      <c r="F17" s="50"/>
      <c r="G17" s="36"/>
      <c r="H17" s="51"/>
      <c r="I17" s="36"/>
      <c r="J17" s="36"/>
    </row>
    <row r="18" spans="1:17" x14ac:dyDescent="0.25">
      <c r="B18" s="33"/>
      <c r="D18" s="39" t="s">
        <v>11</v>
      </c>
      <c r="E18" s="52">
        <v>5.2199999999999998E-3</v>
      </c>
      <c r="F18" s="53">
        <v>2.436E-2</v>
      </c>
    </row>
    <row r="19" spans="1:17" x14ac:dyDescent="0.25">
      <c r="B19" s="33"/>
      <c r="D19" s="39" t="s">
        <v>9</v>
      </c>
      <c r="E19" s="52">
        <v>0.125</v>
      </c>
      <c r="F19" s="54">
        <v>0.125</v>
      </c>
    </row>
    <row r="20" spans="1:17" x14ac:dyDescent="0.25">
      <c r="D20" s="39" t="s">
        <v>10</v>
      </c>
      <c r="E20" s="52">
        <v>0.16</v>
      </c>
      <c r="F20" s="54">
        <v>0.16</v>
      </c>
    </row>
    <row r="22" spans="1:17" s="6" customFormat="1" x14ac:dyDescent="0.25">
      <c r="A22" s="34"/>
      <c r="B22" s="34"/>
      <c r="C22" s="35"/>
      <c r="D22" s="34"/>
      <c r="E22" s="36"/>
      <c r="F22" s="36"/>
      <c r="G22" s="36"/>
      <c r="H22" s="36"/>
      <c r="I22" s="36"/>
      <c r="J22" s="36"/>
      <c r="K22" s="34"/>
      <c r="L22" s="34"/>
      <c r="M22" s="34"/>
      <c r="P22" s="1"/>
      <c r="Q22"/>
    </row>
    <row r="23" spans="1:17" s="6" customFormat="1" x14ac:dyDescent="0.25">
      <c r="A23" s="34"/>
      <c r="B23" s="34"/>
      <c r="C23" s="35"/>
      <c r="D23" s="35"/>
      <c r="E23" s="55"/>
      <c r="F23" s="36"/>
      <c r="G23" s="36"/>
      <c r="H23" s="56"/>
      <c r="I23" s="56"/>
      <c r="J23" s="56"/>
      <c r="K23" s="34"/>
      <c r="L23" s="34"/>
      <c r="M23" s="34"/>
      <c r="P23" s="1"/>
      <c r="Q23"/>
    </row>
    <row r="24" spans="1:17" s="6" customFormat="1" x14ac:dyDescent="0.25">
      <c r="A24" s="34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P24" s="1"/>
      <c r="Q24"/>
    </row>
    <row r="25" spans="1:17" x14ac:dyDescent="0.25"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7" s="6" customFormat="1" x14ac:dyDescent="0.25">
      <c r="A26" s="34"/>
      <c r="B26" s="34"/>
      <c r="C26" s="35"/>
      <c r="D26" s="57"/>
      <c r="E26" s="35"/>
      <c r="F26" s="35"/>
      <c r="G26" s="35"/>
      <c r="H26" s="35"/>
      <c r="I26" s="35"/>
      <c r="J26" s="35"/>
      <c r="K26" s="35"/>
      <c r="L26" s="35"/>
      <c r="M26" s="35"/>
      <c r="P26" s="1"/>
      <c r="Q26"/>
    </row>
    <row r="27" spans="1:17" s="6" customFormat="1" x14ac:dyDescent="0.25">
      <c r="A27" s="34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P27" s="1"/>
      <c r="Q27"/>
    </row>
    <row r="28" spans="1:17" s="6" customFormat="1" x14ac:dyDescent="0.25">
      <c r="A28" s="34"/>
      <c r="B28" s="34"/>
      <c r="C28" s="35"/>
      <c r="D28" s="34"/>
      <c r="E28" s="34"/>
      <c r="F28" s="34"/>
      <c r="G28" s="34"/>
      <c r="H28" s="34"/>
      <c r="I28" s="34"/>
      <c r="J28" s="34"/>
      <c r="K28" s="34"/>
      <c r="L28" s="34"/>
      <c r="M28" s="34"/>
      <c r="P28" s="1"/>
      <c r="Q28"/>
    </row>
  </sheetData>
  <mergeCells count="2">
    <mergeCell ref="B2:M2"/>
    <mergeCell ref="B3:M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0CF5-7FE0-4319-871D-FA8DA076A38E}">
  <dimension ref="B2:N43"/>
  <sheetViews>
    <sheetView topLeftCell="B1" workbookViewId="0">
      <selection activeCell="C3" sqref="C3:F3"/>
    </sheetView>
  </sheetViews>
  <sheetFormatPr baseColWidth="10" defaultRowHeight="15" x14ac:dyDescent="0.25"/>
  <cols>
    <col min="1" max="1" width="3.7109375" customWidth="1"/>
    <col min="2" max="2" width="13.7109375" style="11" customWidth="1"/>
    <col min="3" max="3" width="30.28515625" style="74" bestFit="1" customWidth="1"/>
    <col min="4" max="4" width="16.28515625" style="67" bestFit="1" customWidth="1"/>
    <col min="5" max="5" width="11.42578125" style="67"/>
    <col min="6" max="6" width="20.5703125" style="67" bestFit="1" customWidth="1"/>
    <col min="7" max="7" width="15.42578125" style="11" bestFit="1" customWidth="1"/>
  </cols>
  <sheetData>
    <row r="2" spans="3:14" x14ac:dyDescent="0.25">
      <c r="C2" s="143" t="s">
        <v>70</v>
      </c>
      <c r="D2" s="143"/>
      <c r="E2" s="143"/>
      <c r="F2" s="143"/>
      <c r="G2" s="111"/>
      <c r="H2" s="111"/>
      <c r="I2" s="111"/>
      <c r="J2" s="111"/>
      <c r="K2" s="111"/>
      <c r="L2" s="111"/>
      <c r="M2" s="111"/>
      <c r="N2" s="111"/>
    </row>
    <row r="3" spans="3:14" x14ac:dyDescent="0.25">
      <c r="C3" s="143" t="s">
        <v>170</v>
      </c>
      <c r="D3" s="144"/>
      <c r="E3" s="144"/>
      <c r="F3" s="144"/>
      <c r="G3" s="111"/>
      <c r="H3" s="111"/>
      <c r="I3" s="111"/>
      <c r="J3" s="111"/>
      <c r="K3" s="111"/>
      <c r="L3" s="111"/>
      <c r="M3" s="111"/>
      <c r="N3" s="111"/>
    </row>
    <row r="4" spans="3:14" x14ac:dyDescent="0.25">
      <c r="C4" s="58" t="s">
        <v>0</v>
      </c>
      <c r="D4" s="59" t="s">
        <v>67</v>
      </c>
      <c r="E4" s="59" t="s">
        <v>88</v>
      </c>
      <c r="F4" s="59" t="s">
        <v>68</v>
      </c>
    </row>
    <row r="5" spans="3:14" x14ac:dyDescent="0.25">
      <c r="C5" s="60"/>
      <c r="D5" s="61"/>
      <c r="E5" s="61"/>
      <c r="F5" s="61"/>
    </row>
    <row r="6" spans="3:14" x14ac:dyDescent="0.25">
      <c r="C6" s="62" t="s">
        <v>51</v>
      </c>
      <c r="D6" s="61">
        <v>107900</v>
      </c>
      <c r="E6" s="63">
        <v>1</v>
      </c>
      <c r="F6" s="61">
        <f>D6*E6</f>
        <v>107900</v>
      </c>
      <c r="G6" s="12"/>
    </row>
    <row r="7" spans="3:14" ht="25.5" x14ac:dyDescent="0.25">
      <c r="C7" s="62" t="s">
        <v>52</v>
      </c>
      <c r="D7" s="61">
        <v>88900</v>
      </c>
      <c r="E7" s="63">
        <v>1</v>
      </c>
      <c r="F7" s="61">
        <f t="shared" ref="F7:F18" si="0">D7*E7</f>
        <v>88900</v>
      </c>
      <c r="G7" s="12"/>
    </row>
    <row r="8" spans="3:14" x14ac:dyDescent="0.25">
      <c r="C8" s="62" t="s">
        <v>53</v>
      </c>
      <c r="D8" s="61">
        <v>25500</v>
      </c>
      <c r="E8" s="63">
        <v>1</v>
      </c>
      <c r="F8" s="61">
        <f t="shared" si="0"/>
        <v>25500</v>
      </c>
      <c r="G8" s="12"/>
    </row>
    <row r="9" spans="3:14" x14ac:dyDescent="0.25">
      <c r="C9" s="62" t="s">
        <v>54</v>
      </c>
      <c r="D9" s="61">
        <v>32900</v>
      </c>
      <c r="E9" s="63">
        <v>1</v>
      </c>
      <c r="F9" s="61">
        <f t="shared" si="0"/>
        <v>32900</v>
      </c>
      <c r="G9" s="12"/>
    </row>
    <row r="10" spans="3:14" x14ac:dyDescent="0.25">
      <c r="C10" s="62" t="s">
        <v>55</v>
      </c>
      <c r="D10" s="61">
        <v>47900</v>
      </c>
      <c r="E10" s="63">
        <v>1</v>
      </c>
      <c r="F10" s="61">
        <f t="shared" si="0"/>
        <v>47900</v>
      </c>
      <c r="G10" s="12"/>
    </row>
    <row r="11" spans="3:14" x14ac:dyDescent="0.25">
      <c r="C11" s="62" t="s">
        <v>56</v>
      </c>
      <c r="D11" s="61">
        <v>281900</v>
      </c>
      <c r="E11" s="63">
        <v>1</v>
      </c>
      <c r="F11" s="61">
        <f t="shared" si="0"/>
        <v>281900</v>
      </c>
      <c r="G11" s="12"/>
    </row>
    <row r="12" spans="3:14" x14ac:dyDescent="0.25">
      <c r="C12" s="62" t="s">
        <v>59</v>
      </c>
      <c r="D12" s="61">
        <v>1390000</v>
      </c>
      <c r="E12" s="63">
        <v>1</v>
      </c>
      <c r="F12" s="61">
        <f t="shared" si="0"/>
        <v>1390000</v>
      </c>
      <c r="G12" s="12"/>
    </row>
    <row r="13" spans="3:14" x14ac:dyDescent="0.25">
      <c r="C13" s="60" t="s">
        <v>57</v>
      </c>
      <c r="D13" s="61">
        <v>140000</v>
      </c>
      <c r="E13" s="63">
        <v>1</v>
      </c>
      <c r="F13" s="61">
        <f t="shared" si="0"/>
        <v>140000</v>
      </c>
      <c r="G13" s="12"/>
    </row>
    <row r="14" spans="3:14" x14ac:dyDescent="0.25">
      <c r="C14" s="60" t="s">
        <v>58</v>
      </c>
      <c r="D14" s="61">
        <v>300000</v>
      </c>
      <c r="E14" s="63">
        <v>1</v>
      </c>
      <c r="F14" s="61">
        <f t="shared" si="0"/>
        <v>300000</v>
      </c>
      <c r="G14" s="12"/>
    </row>
    <row r="15" spans="3:14" x14ac:dyDescent="0.25">
      <c r="C15" s="60" t="s">
        <v>60</v>
      </c>
      <c r="D15" s="61">
        <v>845000</v>
      </c>
      <c r="E15" s="63">
        <v>1</v>
      </c>
      <c r="F15" s="61">
        <f t="shared" si="0"/>
        <v>845000</v>
      </c>
      <c r="G15" s="12"/>
    </row>
    <row r="16" spans="3:14" x14ac:dyDescent="0.25">
      <c r="C16" s="60" t="s">
        <v>61</v>
      </c>
      <c r="D16" s="61">
        <v>100000</v>
      </c>
      <c r="E16" s="63">
        <v>1</v>
      </c>
      <c r="F16" s="61">
        <f t="shared" si="0"/>
        <v>100000</v>
      </c>
      <c r="G16" s="12"/>
    </row>
    <row r="17" spans="3:7" x14ac:dyDescent="0.25">
      <c r="C17" s="60" t="s">
        <v>62</v>
      </c>
      <c r="D17" s="61">
        <v>39000</v>
      </c>
      <c r="E17" s="63">
        <v>1</v>
      </c>
      <c r="F17" s="61">
        <f t="shared" si="0"/>
        <v>39000</v>
      </c>
      <c r="G17" s="12"/>
    </row>
    <row r="18" spans="3:7" x14ac:dyDescent="0.25">
      <c r="C18" s="60" t="s">
        <v>63</v>
      </c>
      <c r="D18" s="61">
        <v>95000</v>
      </c>
      <c r="E18" s="63">
        <v>1</v>
      </c>
      <c r="F18" s="61">
        <f t="shared" si="0"/>
        <v>95000</v>
      </c>
      <c r="G18" s="12"/>
    </row>
    <row r="19" spans="3:7" x14ac:dyDescent="0.25">
      <c r="C19" s="64"/>
      <c r="D19" s="60"/>
      <c r="E19" s="59" t="s">
        <v>64</v>
      </c>
      <c r="F19" s="65">
        <f>SUM(F6:F18)</f>
        <v>3494000</v>
      </c>
    </row>
    <row r="21" spans="3:7" x14ac:dyDescent="0.25">
      <c r="C21" s="58" t="s">
        <v>71</v>
      </c>
      <c r="D21" s="59" t="s">
        <v>67</v>
      </c>
      <c r="E21" s="59" t="s">
        <v>88</v>
      </c>
      <c r="F21" s="59" t="s">
        <v>68</v>
      </c>
    </row>
    <row r="22" spans="3:7" x14ac:dyDescent="0.25">
      <c r="C22" s="60"/>
      <c r="D22" s="61"/>
      <c r="E22" s="61"/>
      <c r="F22" s="61"/>
    </row>
    <row r="23" spans="3:7" x14ac:dyDescent="0.25">
      <c r="C23" s="60" t="s">
        <v>89</v>
      </c>
      <c r="D23" s="61">
        <v>10000000</v>
      </c>
      <c r="E23" s="63">
        <v>1</v>
      </c>
      <c r="F23" s="61">
        <f t="shared" ref="F23:F24" si="1">D23*E23</f>
        <v>10000000</v>
      </c>
      <c r="G23" s="12"/>
    </row>
    <row r="24" spans="3:7" x14ac:dyDescent="0.25">
      <c r="C24" s="60" t="s">
        <v>69</v>
      </c>
      <c r="D24" s="61">
        <v>560000</v>
      </c>
      <c r="E24" s="63">
        <v>1</v>
      </c>
      <c r="F24" s="61">
        <f t="shared" si="1"/>
        <v>560000</v>
      </c>
      <c r="G24" s="12"/>
    </row>
    <row r="25" spans="3:7" x14ac:dyDescent="0.25">
      <c r="C25" s="64"/>
      <c r="D25" s="60"/>
      <c r="E25" s="59" t="s">
        <v>64</v>
      </c>
      <c r="F25" s="65">
        <f>SUM(F23:F24)</f>
        <v>10560000</v>
      </c>
    </row>
    <row r="26" spans="3:7" x14ac:dyDescent="0.25">
      <c r="C26" s="66"/>
      <c r="G26" s="13"/>
    </row>
    <row r="27" spans="3:7" x14ac:dyDescent="0.25">
      <c r="C27" s="68" t="s">
        <v>1</v>
      </c>
      <c r="D27" s="59" t="s">
        <v>67</v>
      </c>
      <c r="E27" s="59" t="s">
        <v>88</v>
      </c>
      <c r="F27" s="59" t="s">
        <v>68</v>
      </c>
    </row>
    <row r="28" spans="3:7" x14ac:dyDescent="0.25">
      <c r="C28" s="68"/>
      <c r="D28" s="59"/>
      <c r="E28" s="59"/>
      <c r="F28" s="61"/>
    </row>
    <row r="29" spans="3:7" x14ac:dyDescent="0.25">
      <c r="C29" s="60" t="s">
        <v>31</v>
      </c>
      <c r="D29" s="61">
        <v>70000</v>
      </c>
      <c r="E29" s="69">
        <v>3</v>
      </c>
      <c r="F29" s="61">
        <f t="shared" ref="F29:F34" si="2">D29*E29</f>
        <v>210000</v>
      </c>
      <c r="G29" s="12"/>
    </row>
    <row r="30" spans="3:7" x14ac:dyDescent="0.25">
      <c r="C30" s="60" t="s">
        <v>26</v>
      </c>
      <c r="D30" s="61">
        <v>14000</v>
      </c>
      <c r="E30" s="69">
        <v>3</v>
      </c>
      <c r="F30" s="61">
        <f t="shared" si="2"/>
        <v>42000</v>
      </c>
      <c r="G30" s="12"/>
    </row>
    <row r="31" spans="3:7" x14ac:dyDescent="0.25">
      <c r="C31" s="60" t="s">
        <v>27</v>
      </c>
      <c r="D31" s="61">
        <v>16000</v>
      </c>
      <c r="E31" s="69">
        <v>4</v>
      </c>
      <c r="F31" s="61">
        <f t="shared" si="2"/>
        <v>64000</v>
      </c>
      <c r="G31" s="12"/>
    </row>
    <row r="32" spans="3:7" x14ac:dyDescent="0.25">
      <c r="C32" s="60" t="s">
        <v>28</v>
      </c>
      <c r="D32" s="61">
        <v>12000</v>
      </c>
      <c r="E32" s="69">
        <v>4</v>
      </c>
      <c r="F32" s="61">
        <f t="shared" si="2"/>
        <v>48000</v>
      </c>
      <c r="G32" s="12"/>
    </row>
    <row r="33" spans="3:7" x14ac:dyDescent="0.25">
      <c r="C33" s="60" t="s">
        <v>29</v>
      </c>
      <c r="D33" s="61">
        <v>750000</v>
      </c>
      <c r="E33" s="69">
        <v>4</v>
      </c>
      <c r="F33" s="61">
        <f t="shared" si="2"/>
        <v>3000000</v>
      </c>
      <c r="G33" s="12"/>
    </row>
    <row r="34" spans="3:7" x14ac:dyDescent="0.25">
      <c r="C34" s="60" t="s">
        <v>30</v>
      </c>
      <c r="D34" s="61">
        <v>380000</v>
      </c>
      <c r="E34" s="69">
        <v>4</v>
      </c>
      <c r="F34" s="61">
        <f t="shared" si="2"/>
        <v>1520000</v>
      </c>
      <c r="G34" s="12"/>
    </row>
    <row r="35" spans="3:7" x14ac:dyDescent="0.25">
      <c r="C35" s="64"/>
      <c r="D35" s="60"/>
      <c r="E35" s="59" t="s">
        <v>64</v>
      </c>
      <c r="F35" s="65">
        <f>SUM(F29:F34)</f>
        <v>4884000</v>
      </c>
    </row>
    <row r="36" spans="3:7" x14ac:dyDescent="0.25">
      <c r="C36" s="66"/>
      <c r="E36" s="109"/>
      <c r="F36" s="110"/>
    </row>
    <row r="37" spans="3:7" x14ac:dyDescent="0.25">
      <c r="C37" s="142" t="s">
        <v>119</v>
      </c>
      <c r="D37" s="142"/>
      <c r="G37" s="13"/>
    </row>
    <row r="38" spans="3:7" x14ac:dyDescent="0.25">
      <c r="C38" s="70" t="s">
        <v>0</v>
      </c>
      <c r="D38" s="71">
        <v>3494000</v>
      </c>
    </row>
    <row r="39" spans="3:7" x14ac:dyDescent="0.25">
      <c r="C39" s="70" t="s">
        <v>90</v>
      </c>
      <c r="D39" s="71">
        <v>10560000</v>
      </c>
    </row>
    <row r="40" spans="3:7" x14ac:dyDescent="0.25">
      <c r="C40" s="70" t="s">
        <v>1</v>
      </c>
      <c r="D40" s="71">
        <v>4884000</v>
      </c>
    </row>
    <row r="41" spans="3:7" x14ac:dyDescent="0.25">
      <c r="C41" s="72" t="s">
        <v>65</v>
      </c>
      <c r="D41" s="73">
        <f>SUM(D38:D40)</f>
        <v>18938000</v>
      </c>
    </row>
    <row r="43" spans="3:7" x14ac:dyDescent="0.25">
      <c r="C43" s="128" t="s">
        <v>168</v>
      </c>
      <c r="D43" s="74">
        <v>5000000</v>
      </c>
    </row>
  </sheetData>
  <mergeCells count="3">
    <mergeCell ref="C37:D37"/>
    <mergeCell ref="C2:F2"/>
    <mergeCell ref="C3:F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5636-FB18-42C7-9DCD-11876C5E6AD1}">
  <dimension ref="A2:J39"/>
  <sheetViews>
    <sheetView workbookViewId="0">
      <selection activeCell="J25" sqref="J25"/>
    </sheetView>
  </sheetViews>
  <sheetFormatPr baseColWidth="10" defaultRowHeight="15" x14ac:dyDescent="0.25"/>
  <cols>
    <col min="1" max="1" width="36.140625" style="16" bestFit="1" customWidth="1"/>
    <col min="2" max="2" width="17.7109375" style="16" bestFit="1" customWidth="1"/>
    <col min="3" max="3" width="8.7109375" style="18" customWidth="1"/>
    <col min="4" max="4" width="37.42578125" style="16" bestFit="1" customWidth="1"/>
    <col min="5" max="5" width="17.85546875" style="103" bestFit="1" customWidth="1"/>
    <col min="6" max="6" width="11.5703125" style="16" bestFit="1" customWidth="1"/>
    <col min="7" max="7" width="13.28515625" style="16" bestFit="1" customWidth="1"/>
    <col min="8" max="8" width="15.42578125" style="16" bestFit="1" customWidth="1"/>
    <col min="9" max="10" width="14.85546875" style="16" bestFit="1" customWidth="1"/>
  </cols>
  <sheetData>
    <row r="2" spans="1:10" ht="38.25" x14ac:dyDescent="0.25">
      <c r="A2" s="17" t="s">
        <v>79</v>
      </c>
      <c r="B2" s="17"/>
      <c r="D2" s="104" t="s">
        <v>93</v>
      </c>
      <c r="E2" s="19"/>
      <c r="F2" s="48" t="s">
        <v>112</v>
      </c>
      <c r="G2" s="105" t="s">
        <v>113</v>
      </c>
      <c r="H2" s="105" t="s">
        <v>114</v>
      </c>
      <c r="I2" s="105" t="s">
        <v>113</v>
      </c>
      <c r="J2" s="105" t="s">
        <v>114</v>
      </c>
    </row>
    <row r="3" spans="1:10" x14ac:dyDescent="0.25">
      <c r="A3" s="20" t="s">
        <v>76</v>
      </c>
      <c r="B3" s="21">
        <v>6766960</v>
      </c>
      <c r="D3" s="22" t="s">
        <v>81</v>
      </c>
      <c r="E3" s="29">
        <v>700000</v>
      </c>
      <c r="F3" s="34"/>
      <c r="G3" s="103"/>
      <c r="H3" s="103"/>
      <c r="I3" s="103"/>
      <c r="J3" s="103"/>
    </row>
    <row r="4" spans="1:10" x14ac:dyDescent="0.25">
      <c r="A4" s="20" t="s">
        <v>91</v>
      </c>
      <c r="B4" s="21">
        <v>7237440</v>
      </c>
      <c r="D4" s="22"/>
      <c r="E4" s="29"/>
      <c r="F4" s="34"/>
      <c r="G4" s="103"/>
      <c r="H4" s="103"/>
      <c r="I4" s="103"/>
      <c r="J4" s="103"/>
    </row>
    <row r="5" spans="1:10" x14ac:dyDescent="0.25">
      <c r="A5" s="20" t="s">
        <v>92</v>
      </c>
      <c r="B5" s="21">
        <v>18938000</v>
      </c>
      <c r="D5" s="22" t="s">
        <v>82</v>
      </c>
      <c r="E5" s="29">
        <v>12500000</v>
      </c>
      <c r="F5" s="34"/>
      <c r="G5" s="103"/>
      <c r="H5" s="103"/>
      <c r="I5" s="103"/>
      <c r="J5" s="103"/>
    </row>
    <row r="6" spans="1:10" ht="51" x14ac:dyDescent="0.25">
      <c r="A6" s="23" t="s">
        <v>98</v>
      </c>
      <c r="B6" s="21">
        <v>300000</v>
      </c>
      <c r="D6" s="22" t="s">
        <v>83</v>
      </c>
      <c r="E6" s="29">
        <v>3047400</v>
      </c>
      <c r="F6" s="34"/>
      <c r="G6" s="103"/>
      <c r="H6" s="103"/>
      <c r="I6" s="103"/>
      <c r="J6" s="103"/>
    </row>
    <row r="7" spans="1:10" ht="25.5" x14ac:dyDescent="0.25">
      <c r="A7" s="23" t="s">
        <v>80</v>
      </c>
      <c r="B7" s="21">
        <v>500000</v>
      </c>
      <c r="D7" s="22"/>
      <c r="E7" s="29"/>
      <c r="F7" s="34"/>
      <c r="G7" s="103"/>
      <c r="H7" s="103"/>
      <c r="I7" s="103"/>
      <c r="J7" s="103"/>
    </row>
    <row r="8" spans="1:10" x14ac:dyDescent="0.25">
      <c r="A8" s="20"/>
      <c r="B8" s="24">
        <f>SUM(B3:B7)</f>
        <v>33742400</v>
      </c>
      <c r="D8" s="25" t="s">
        <v>84</v>
      </c>
      <c r="E8" s="30">
        <v>300000</v>
      </c>
      <c r="F8" s="34"/>
      <c r="G8" s="103"/>
      <c r="H8" s="103"/>
      <c r="I8" s="103"/>
      <c r="J8" s="103"/>
    </row>
    <row r="9" spans="1:10" x14ac:dyDescent="0.25">
      <c r="A9" s="15"/>
      <c r="D9" s="26"/>
      <c r="E9" s="106">
        <f>SUM(E3:E8)</f>
        <v>16547400</v>
      </c>
      <c r="F9" s="34">
        <v>1</v>
      </c>
      <c r="G9" s="103">
        <v>0</v>
      </c>
      <c r="H9" s="103">
        <f>F9*E9</f>
        <v>16547400</v>
      </c>
      <c r="I9" s="103"/>
      <c r="J9" s="103"/>
    </row>
    <row r="10" spans="1:10" x14ac:dyDescent="0.25">
      <c r="A10" s="15" t="s">
        <v>99</v>
      </c>
      <c r="B10" s="99">
        <v>0.3</v>
      </c>
      <c r="D10" s="27" t="s">
        <v>115</v>
      </c>
      <c r="E10" s="28">
        <f>E9*10%</f>
        <v>1654740</v>
      </c>
      <c r="F10" s="34"/>
      <c r="G10" s="103"/>
      <c r="H10" s="103"/>
      <c r="I10" s="103"/>
      <c r="J10" s="103"/>
    </row>
    <row r="11" spans="1:10" x14ac:dyDescent="0.25">
      <c r="A11" s="15"/>
      <c r="D11" s="22" t="s">
        <v>116</v>
      </c>
      <c r="E11" s="29">
        <f>E9*5%</f>
        <v>827370</v>
      </c>
      <c r="F11" s="34"/>
      <c r="G11" s="103"/>
      <c r="H11" s="103"/>
      <c r="I11" s="103"/>
      <c r="J11" s="103"/>
    </row>
    <row r="12" spans="1:10" x14ac:dyDescent="0.25">
      <c r="D12" s="22" t="s">
        <v>97</v>
      </c>
      <c r="E12" s="29">
        <f>E9*5%</f>
        <v>827370</v>
      </c>
      <c r="F12" s="34"/>
      <c r="G12" s="103"/>
      <c r="H12" s="103"/>
      <c r="I12" s="103"/>
      <c r="J12" s="103"/>
    </row>
    <row r="13" spans="1:10" x14ac:dyDescent="0.25">
      <c r="D13" s="25" t="s">
        <v>85</v>
      </c>
      <c r="E13" s="30">
        <f>E12*19%</f>
        <v>157200.29999999999</v>
      </c>
      <c r="F13" s="34"/>
      <c r="G13" s="103"/>
      <c r="H13" s="103"/>
      <c r="I13" s="103"/>
      <c r="J13" s="103"/>
    </row>
    <row r="14" spans="1:10" x14ac:dyDescent="0.25">
      <c r="D14" s="31" t="s">
        <v>66</v>
      </c>
      <c r="E14" s="32">
        <f>SUM(E9:E13)</f>
        <v>20014080.300000001</v>
      </c>
      <c r="F14" s="34">
        <v>1</v>
      </c>
      <c r="G14" s="103">
        <f>E14*F14</f>
        <v>20014080.300000001</v>
      </c>
      <c r="H14" s="103">
        <v>0</v>
      </c>
      <c r="I14" s="103"/>
      <c r="J14" s="103"/>
    </row>
    <row r="15" spans="1:10" x14ac:dyDescent="0.25">
      <c r="F15" s="34"/>
      <c r="G15" s="35"/>
      <c r="H15" s="35"/>
      <c r="I15" s="103"/>
      <c r="J15" s="103"/>
    </row>
    <row r="16" spans="1:10" x14ac:dyDescent="0.25">
      <c r="D16" s="33"/>
      <c r="F16" s="34"/>
      <c r="G16" s="103"/>
      <c r="H16" s="103"/>
      <c r="I16" s="103"/>
      <c r="J16" s="103"/>
    </row>
    <row r="17" spans="4:10" x14ac:dyDescent="0.25">
      <c r="D17" s="104" t="s">
        <v>94</v>
      </c>
      <c r="E17" s="19"/>
      <c r="F17" s="34"/>
      <c r="G17" s="103"/>
      <c r="H17" s="103"/>
      <c r="I17" s="103"/>
      <c r="J17" s="103"/>
    </row>
    <row r="18" spans="4:10" x14ac:dyDescent="0.25">
      <c r="D18" s="22" t="s">
        <v>81</v>
      </c>
      <c r="E18" s="29">
        <v>300000</v>
      </c>
      <c r="F18" s="34"/>
      <c r="G18" s="103"/>
      <c r="H18" s="103"/>
      <c r="I18" s="103"/>
      <c r="J18" s="103"/>
    </row>
    <row r="19" spans="4:10" x14ac:dyDescent="0.25">
      <c r="D19" s="22"/>
      <c r="E19" s="29"/>
      <c r="F19" s="34"/>
      <c r="G19" s="103"/>
      <c r="H19" s="103"/>
      <c r="I19" s="103"/>
      <c r="J19" s="103"/>
    </row>
    <row r="20" spans="4:10" x14ac:dyDescent="0.25">
      <c r="D20" s="22" t="s">
        <v>82</v>
      </c>
      <c r="E20" s="29">
        <v>1400000</v>
      </c>
      <c r="F20" s="34"/>
      <c r="G20" s="103"/>
      <c r="H20" s="103"/>
      <c r="I20" s="103"/>
      <c r="J20" s="103"/>
    </row>
    <row r="21" spans="4:10" x14ac:dyDescent="0.25">
      <c r="D21" s="22"/>
      <c r="E21" s="29"/>
      <c r="F21" s="34"/>
      <c r="G21" s="103"/>
      <c r="H21" s="103"/>
      <c r="I21" s="103"/>
      <c r="J21" s="103"/>
    </row>
    <row r="22" spans="4:10" x14ac:dyDescent="0.25">
      <c r="D22" s="22" t="s">
        <v>83</v>
      </c>
      <c r="E22" s="29">
        <v>5500000</v>
      </c>
      <c r="F22" s="34"/>
      <c r="G22" s="103"/>
      <c r="H22" s="103"/>
      <c r="I22" s="103"/>
      <c r="J22" s="103"/>
    </row>
    <row r="23" spans="4:10" x14ac:dyDescent="0.25">
      <c r="D23" s="22"/>
      <c r="E23" s="29"/>
      <c r="F23" s="34"/>
      <c r="G23" s="103"/>
      <c r="H23" s="103"/>
      <c r="I23" s="103"/>
      <c r="J23" s="103"/>
    </row>
    <row r="24" spans="4:10" x14ac:dyDescent="0.25">
      <c r="D24" s="25" t="s">
        <v>84</v>
      </c>
      <c r="E24" s="30">
        <v>300000</v>
      </c>
      <c r="F24" s="34"/>
      <c r="G24" s="103"/>
      <c r="H24" s="103"/>
      <c r="I24" s="103"/>
      <c r="J24" s="103"/>
    </row>
    <row r="25" spans="4:10" x14ac:dyDescent="0.25">
      <c r="D25" s="26"/>
      <c r="E25" s="106">
        <f>SUM(E18:E24)</f>
        <v>7500000</v>
      </c>
      <c r="F25" s="34">
        <v>1</v>
      </c>
      <c r="G25" s="103">
        <f>C25*D25</f>
        <v>0</v>
      </c>
      <c r="H25" s="103">
        <f>E25*F25</f>
        <v>7500000</v>
      </c>
      <c r="I25" s="103"/>
      <c r="J25" s="107"/>
    </row>
    <row r="26" spans="4:10" x14ac:dyDescent="0.25">
      <c r="D26" s="27" t="s">
        <v>95</v>
      </c>
      <c r="E26" s="28">
        <f>E25*10%</f>
        <v>750000</v>
      </c>
      <c r="F26" s="34"/>
      <c r="G26" s="103"/>
      <c r="H26" s="107"/>
      <c r="I26" s="103"/>
      <c r="J26" s="107"/>
    </row>
    <row r="27" spans="4:10" x14ac:dyDescent="0.25">
      <c r="D27" s="22" t="s">
        <v>96</v>
      </c>
      <c r="E27" s="29">
        <f>E25*5%</f>
        <v>375000</v>
      </c>
      <c r="F27" s="34"/>
      <c r="G27" s="103"/>
      <c r="H27" s="107"/>
      <c r="I27" s="103"/>
      <c r="J27" s="107"/>
    </row>
    <row r="28" spans="4:10" x14ac:dyDescent="0.25">
      <c r="D28" s="22" t="s">
        <v>97</v>
      </c>
      <c r="E28" s="29">
        <f>E25*5%</f>
        <v>375000</v>
      </c>
      <c r="F28" s="34"/>
      <c r="G28" s="103"/>
      <c r="H28" s="107"/>
      <c r="I28" s="103"/>
      <c r="J28" s="107"/>
    </row>
    <row r="29" spans="4:10" x14ac:dyDescent="0.25">
      <c r="D29" s="25" t="s">
        <v>85</v>
      </c>
      <c r="E29" s="30">
        <f>E28*19%</f>
        <v>71250</v>
      </c>
      <c r="F29" s="34"/>
      <c r="G29" s="103"/>
      <c r="H29" s="107"/>
      <c r="I29" s="103"/>
      <c r="J29" s="107"/>
    </row>
    <row r="30" spans="4:10" x14ac:dyDescent="0.25">
      <c r="D30" s="31" t="s">
        <v>66</v>
      </c>
      <c r="E30" s="32">
        <f>SUM(E25:E29)</f>
        <v>9071250</v>
      </c>
      <c r="F30" s="34">
        <v>1</v>
      </c>
      <c r="G30" s="103">
        <f>F30*E30</f>
        <v>9071250</v>
      </c>
      <c r="H30" s="107"/>
      <c r="I30" s="108">
        <f>G30+G14</f>
        <v>29085330.300000001</v>
      </c>
      <c r="J30" s="108">
        <f>H25+H9</f>
        <v>24047400</v>
      </c>
    </row>
    <row r="31" spans="4:10" x14ac:dyDescent="0.25">
      <c r="D31" s="22"/>
      <c r="E31" s="29"/>
    </row>
    <row r="32" spans="4:10" x14ac:dyDescent="0.25">
      <c r="D32" s="22"/>
      <c r="E32" s="29"/>
    </row>
    <row r="33" spans="4:8" x14ac:dyDescent="0.25">
      <c r="D33" s="21">
        <v>20014080.300000001</v>
      </c>
      <c r="E33" s="122">
        <f>D33*30/100</f>
        <v>6004224.0899999999</v>
      </c>
      <c r="F33" s="9">
        <v>0.3</v>
      </c>
      <c r="G33" s="124" t="s">
        <v>123</v>
      </c>
      <c r="H33" s="5">
        <f>E33*3</f>
        <v>18012672.27</v>
      </c>
    </row>
    <row r="34" spans="4:8" x14ac:dyDescent="0.25">
      <c r="D34" s="20"/>
      <c r="E34" s="122">
        <f>D33*30/100</f>
        <v>6004224.0899999999</v>
      </c>
      <c r="F34" s="9">
        <v>0.3</v>
      </c>
      <c r="G34" s="124" t="s">
        <v>124</v>
      </c>
      <c r="H34" s="2"/>
    </row>
    <row r="35" spans="4:8" x14ac:dyDescent="0.25">
      <c r="D35" s="20"/>
      <c r="E35" s="122">
        <f>D33*40/100</f>
        <v>8005632.1200000001</v>
      </c>
      <c r="F35" s="9">
        <v>0.4</v>
      </c>
      <c r="G35" s="124" t="s">
        <v>125</v>
      </c>
      <c r="H35" s="2"/>
    </row>
    <row r="36" spans="4:8" x14ac:dyDescent="0.25">
      <c r="E36" s="16"/>
      <c r="F36" s="123"/>
      <c r="G36" s="2"/>
      <c r="H36" s="2"/>
    </row>
    <row r="37" spans="4:8" x14ac:dyDescent="0.25">
      <c r="D37" s="21">
        <v>9071250</v>
      </c>
      <c r="E37" s="122">
        <f>D37*30/100</f>
        <v>2721375</v>
      </c>
      <c r="F37" s="9">
        <v>0.3</v>
      </c>
      <c r="G37" s="124" t="s">
        <v>123</v>
      </c>
      <c r="H37" s="5">
        <f>E37*4</f>
        <v>10885500</v>
      </c>
    </row>
    <row r="38" spans="4:8" x14ac:dyDescent="0.25">
      <c r="D38" s="20"/>
      <c r="E38" s="122">
        <f>D37*30/100</f>
        <v>2721375</v>
      </c>
      <c r="F38" s="9">
        <v>0.3</v>
      </c>
      <c r="G38" s="124" t="s">
        <v>124</v>
      </c>
      <c r="H38" s="2"/>
    </row>
    <row r="39" spans="4:8" x14ac:dyDescent="0.25">
      <c r="D39" s="20"/>
      <c r="E39" s="122">
        <f>D37*40/100</f>
        <v>3628500</v>
      </c>
      <c r="F39" s="9">
        <v>0.4</v>
      </c>
      <c r="G39" s="124" t="s">
        <v>125</v>
      </c>
      <c r="H39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6B0B-6535-4D15-877A-AFF76151173B}">
  <dimension ref="A2:L26"/>
  <sheetViews>
    <sheetView topLeftCell="A5" workbookViewId="0">
      <selection activeCell="F9" sqref="F9"/>
    </sheetView>
  </sheetViews>
  <sheetFormatPr baseColWidth="10" defaultRowHeight="15" x14ac:dyDescent="0.25"/>
  <cols>
    <col min="1" max="1" width="11.42578125" style="18"/>
    <col min="2" max="2" width="14.5703125" style="18" bestFit="1" customWidth="1"/>
    <col min="3" max="3" width="16.7109375" style="18" bestFit="1" customWidth="1"/>
    <col min="4" max="4" width="14.5703125" style="18" bestFit="1" customWidth="1"/>
    <col min="5" max="5" width="18.28515625" style="18" bestFit="1" customWidth="1"/>
    <col min="6" max="6" width="11.42578125" style="18"/>
    <col min="7" max="7" width="19.140625" style="18" bestFit="1" customWidth="1"/>
    <col min="8" max="8" width="16.85546875" style="18" bestFit="1" customWidth="1"/>
    <col min="9" max="11" width="14.5703125" style="18" bestFit="1" customWidth="1"/>
    <col min="12" max="12" width="18.28515625" style="18" bestFit="1" customWidth="1"/>
  </cols>
  <sheetData>
    <row r="2" spans="1:12" x14ac:dyDescent="0.25">
      <c r="G2" s="75" t="s">
        <v>33</v>
      </c>
      <c r="H2" s="35">
        <f>'2.INVERSION'!D41</f>
        <v>18938000</v>
      </c>
      <c r="I2" s="34"/>
    </row>
    <row r="3" spans="1:12" x14ac:dyDescent="0.25">
      <c r="G3" s="75" t="s">
        <v>34</v>
      </c>
      <c r="H3" s="76">
        <v>0</v>
      </c>
      <c r="I3" s="34"/>
    </row>
    <row r="4" spans="1:12" x14ac:dyDescent="0.25">
      <c r="G4" s="75" t="s">
        <v>35</v>
      </c>
      <c r="H4" s="35">
        <f>H2*H3</f>
        <v>0</v>
      </c>
      <c r="I4" s="34"/>
    </row>
    <row r="5" spans="1:12" x14ac:dyDescent="0.25">
      <c r="G5" s="75" t="s">
        <v>36</v>
      </c>
      <c r="H5" s="35">
        <f>H2-H4</f>
        <v>18938000</v>
      </c>
      <c r="I5" s="34"/>
    </row>
    <row r="6" spans="1:12" x14ac:dyDescent="0.25">
      <c r="G6" s="75" t="s">
        <v>37</v>
      </c>
      <c r="H6" s="77">
        <v>2.7E-2</v>
      </c>
      <c r="I6" s="34" t="s">
        <v>38</v>
      </c>
    </row>
    <row r="7" spans="1:12" x14ac:dyDescent="0.25">
      <c r="F7" s="75"/>
      <c r="G7" s="75" t="s">
        <v>120</v>
      </c>
      <c r="H7" s="34">
        <v>12</v>
      </c>
      <c r="I7" s="34" t="s">
        <v>39</v>
      </c>
    </row>
    <row r="8" spans="1:12" x14ac:dyDescent="0.25">
      <c r="F8" s="75"/>
      <c r="G8" s="75" t="s">
        <v>121</v>
      </c>
      <c r="H8" s="34">
        <v>1</v>
      </c>
      <c r="I8" s="34" t="s">
        <v>40</v>
      </c>
    </row>
    <row r="9" spans="1:12" x14ac:dyDescent="0.25">
      <c r="F9" s="18" t="s">
        <v>171</v>
      </c>
      <c r="G9" s="75" t="s">
        <v>41</v>
      </c>
      <c r="H9" s="34">
        <f>H7*H8</f>
        <v>12</v>
      </c>
      <c r="I9" s="34"/>
    </row>
    <row r="12" spans="1:12" x14ac:dyDescent="0.25">
      <c r="A12" s="78" t="s">
        <v>42</v>
      </c>
      <c r="B12" s="79" t="s">
        <v>43</v>
      </c>
      <c r="C12" s="79" t="s">
        <v>44</v>
      </c>
      <c r="D12" s="79" t="s">
        <v>45</v>
      </c>
      <c r="E12" s="80" t="s">
        <v>46</v>
      </c>
      <c r="F12" s="81"/>
      <c r="G12" s="78" t="s">
        <v>47</v>
      </c>
      <c r="H12" s="79" t="s">
        <v>44</v>
      </c>
      <c r="I12" s="79" t="s">
        <v>45</v>
      </c>
      <c r="J12" s="79" t="s">
        <v>48</v>
      </c>
      <c r="K12" s="79" t="s">
        <v>49</v>
      </c>
      <c r="L12" s="80" t="s">
        <v>50</v>
      </c>
    </row>
    <row r="13" spans="1:12" x14ac:dyDescent="0.25">
      <c r="A13" s="82">
        <v>0</v>
      </c>
      <c r="B13" s="83"/>
      <c r="C13" s="83">
        <f>H5</f>
        <v>18938000</v>
      </c>
      <c r="D13" s="83">
        <f>C13*$H$6</f>
        <v>511326</v>
      </c>
      <c r="E13" s="84">
        <f>B13+D13</f>
        <v>511326</v>
      </c>
      <c r="G13" s="85"/>
      <c r="H13" s="86">
        <f>H5</f>
        <v>18938000</v>
      </c>
      <c r="I13" s="86">
        <f>H13*$H$6</f>
        <v>511326</v>
      </c>
      <c r="J13" s="86">
        <f>G13+I13</f>
        <v>511326</v>
      </c>
      <c r="K13" s="86"/>
      <c r="L13" s="87"/>
    </row>
    <row r="14" spans="1:12" x14ac:dyDescent="0.25">
      <c r="A14" s="88">
        <v>1</v>
      </c>
      <c r="B14" s="89">
        <f>$H$5/$H$9</f>
        <v>1578166.6666666667</v>
      </c>
      <c r="C14" s="89">
        <f>C13-B14</f>
        <v>17359833.333333332</v>
      </c>
      <c r="D14" s="89">
        <f>C14*$H$6</f>
        <v>468715.49999999994</v>
      </c>
      <c r="E14" s="90">
        <f t="shared" ref="E14:E25" si="0">B14+D14</f>
        <v>2046882.1666666667</v>
      </c>
      <c r="G14" s="85">
        <f>PPMT($H$6,A14,$H$9,-$H$5)</f>
        <v>1357313.8776160956</v>
      </c>
      <c r="H14" s="86">
        <f>H13-G14</f>
        <v>17580686.122383904</v>
      </c>
      <c r="I14" s="86">
        <f t="shared" ref="I14:I25" si="1">H14*$H$6</f>
        <v>474678.52530436538</v>
      </c>
      <c r="J14" s="86">
        <f t="shared" ref="J14:J25" si="2">G14+I14</f>
        <v>1831992.402920461</v>
      </c>
      <c r="K14" s="86">
        <f>IPMT($H$6,A14,$H$9,-$H$5)</f>
        <v>511326</v>
      </c>
      <c r="L14" s="87">
        <f>G14+K14</f>
        <v>1868639.8776160956</v>
      </c>
    </row>
    <row r="15" spans="1:12" x14ac:dyDescent="0.25">
      <c r="A15" s="88">
        <v>2</v>
      </c>
      <c r="B15" s="89">
        <f>$H$5/$H$9</f>
        <v>1578166.6666666667</v>
      </c>
      <c r="C15" s="89">
        <f t="shared" ref="C15:C25" si="3">C14-B15</f>
        <v>15781666.666666666</v>
      </c>
      <c r="D15" s="89">
        <f t="shared" ref="D15:D25" si="4">C15*$H$6</f>
        <v>426105</v>
      </c>
      <c r="E15" s="90">
        <f t="shared" si="0"/>
        <v>2004271.6666666667</v>
      </c>
      <c r="G15" s="85">
        <f t="shared" ref="G15:G25" si="5">PPMT($H$6,A15,$H$9,-$H$5)</f>
        <v>1393961.3523117299</v>
      </c>
      <c r="H15" s="86">
        <f t="shared" ref="H15:H25" si="6">H14-G15</f>
        <v>16186724.770072173</v>
      </c>
      <c r="I15" s="86">
        <f t="shared" si="1"/>
        <v>437041.56879194867</v>
      </c>
      <c r="J15" s="86">
        <f t="shared" si="2"/>
        <v>1831002.9211036786</v>
      </c>
      <c r="K15" s="86">
        <f t="shared" ref="K15:K25" si="7">IPMT($H$6,A15,$H$9,-$H$5)</f>
        <v>474678.52530436532</v>
      </c>
      <c r="L15" s="87">
        <f t="shared" ref="L15:L25" si="8">G15+K15</f>
        <v>1868639.8776160954</v>
      </c>
    </row>
    <row r="16" spans="1:12" x14ac:dyDescent="0.25">
      <c r="A16" s="88">
        <v>3</v>
      </c>
      <c r="B16" s="89">
        <f t="shared" ref="B16:B25" si="9">$H$5/$H$9</f>
        <v>1578166.6666666667</v>
      </c>
      <c r="C16" s="89">
        <f t="shared" si="3"/>
        <v>14203500</v>
      </c>
      <c r="D16" s="89">
        <f t="shared" si="4"/>
        <v>383494.5</v>
      </c>
      <c r="E16" s="90">
        <f t="shared" si="0"/>
        <v>1961661.1666666667</v>
      </c>
      <c r="G16" s="85">
        <f t="shared" si="5"/>
        <v>1431598.3088241469</v>
      </c>
      <c r="H16" s="86">
        <f t="shared" si="6"/>
        <v>14755126.461248027</v>
      </c>
      <c r="I16" s="86">
        <f t="shared" si="1"/>
        <v>398388.41445369675</v>
      </c>
      <c r="J16" s="86">
        <f t="shared" si="2"/>
        <v>1829986.7232778436</v>
      </c>
      <c r="K16" s="86">
        <f t="shared" si="7"/>
        <v>437041.56879194861</v>
      </c>
      <c r="L16" s="87">
        <f t="shared" si="8"/>
        <v>1868639.8776160954</v>
      </c>
    </row>
    <row r="17" spans="1:12" x14ac:dyDescent="0.25">
      <c r="A17" s="88">
        <v>4</v>
      </c>
      <c r="B17" s="89">
        <f t="shared" si="9"/>
        <v>1578166.6666666667</v>
      </c>
      <c r="C17" s="89">
        <f t="shared" si="3"/>
        <v>12625333.333333334</v>
      </c>
      <c r="D17" s="89">
        <f t="shared" si="4"/>
        <v>340884</v>
      </c>
      <c r="E17" s="90">
        <f t="shared" si="0"/>
        <v>1919050.6666666667</v>
      </c>
      <c r="G17" s="85">
        <f t="shared" si="5"/>
        <v>1470251.4631623989</v>
      </c>
      <c r="H17" s="86">
        <f t="shared" si="6"/>
        <v>13284874.998085629</v>
      </c>
      <c r="I17" s="86">
        <f t="shared" si="1"/>
        <v>358691.624948312</v>
      </c>
      <c r="J17" s="86">
        <f t="shared" si="2"/>
        <v>1828943.088110711</v>
      </c>
      <c r="K17" s="86">
        <f t="shared" si="7"/>
        <v>398388.41445369669</v>
      </c>
      <c r="L17" s="87">
        <f t="shared" si="8"/>
        <v>1868639.8776160956</v>
      </c>
    </row>
    <row r="18" spans="1:12" x14ac:dyDescent="0.25">
      <c r="A18" s="88">
        <v>5</v>
      </c>
      <c r="B18" s="89">
        <f t="shared" si="9"/>
        <v>1578166.6666666667</v>
      </c>
      <c r="C18" s="89">
        <f t="shared" si="3"/>
        <v>11047166.666666668</v>
      </c>
      <c r="D18" s="89">
        <f t="shared" si="4"/>
        <v>298273.50000000006</v>
      </c>
      <c r="E18" s="90">
        <f t="shared" si="0"/>
        <v>1876440.1666666667</v>
      </c>
      <c r="G18" s="85">
        <f t="shared" si="5"/>
        <v>1509948.2526677833</v>
      </c>
      <c r="H18" s="86">
        <f t="shared" si="6"/>
        <v>11774926.745417846</v>
      </c>
      <c r="I18" s="86">
        <f t="shared" si="1"/>
        <v>317923.02212628187</v>
      </c>
      <c r="J18" s="86">
        <f t="shared" si="2"/>
        <v>1827871.2747940652</v>
      </c>
      <c r="K18" s="86">
        <f t="shared" si="7"/>
        <v>358691.62494831189</v>
      </c>
      <c r="L18" s="87">
        <f t="shared" si="8"/>
        <v>1868639.8776160951</v>
      </c>
    </row>
    <row r="19" spans="1:12" x14ac:dyDescent="0.25">
      <c r="A19" s="88">
        <v>6</v>
      </c>
      <c r="B19" s="89">
        <f t="shared" si="9"/>
        <v>1578166.6666666667</v>
      </c>
      <c r="C19" s="89">
        <f t="shared" si="3"/>
        <v>9469000.0000000019</v>
      </c>
      <c r="D19" s="89">
        <f t="shared" si="4"/>
        <v>255663.00000000006</v>
      </c>
      <c r="E19" s="90">
        <f t="shared" si="0"/>
        <v>1833829.6666666667</v>
      </c>
      <c r="G19" s="85">
        <f t="shared" si="5"/>
        <v>1550716.8554898135</v>
      </c>
      <c r="H19" s="86">
        <f t="shared" si="6"/>
        <v>10224209.889928034</v>
      </c>
      <c r="I19" s="86">
        <f t="shared" si="1"/>
        <v>276053.66702805692</v>
      </c>
      <c r="J19" s="86">
        <f t="shared" si="2"/>
        <v>1826770.5225178704</v>
      </c>
      <c r="K19" s="86">
        <f t="shared" si="7"/>
        <v>317923.02212628175</v>
      </c>
      <c r="L19" s="87">
        <f t="shared" si="8"/>
        <v>1868639.8776160954</v>
      </c>
    </row>
    <row r="20" spans="1:12" x14ac:dyDescent="0.25">
      <c r="A20" s="88">
        <v>7</v>
      </c>
      <c r="B20" s="89">
        <f t="shared" si="9"/>
        <v>1578166.6666666667</v>
      </c>
      <c r="C20" s="89">
        <f t="shared" si="3"/>
        <v>7890833.3333333349</v>
      </c>
      <c r="D20" s="89">
        <f t="shared" si="4"/>
        <v>213052.50000000003</v>
      </c>
      <c r="E20" s="90">
        <f t="shared" si="0"/>
        <v>1791219.1666666667</v>
      </c>
      <c r="G20" s="85">
        <f t="shared" si="5"/>
        <v>1592586.2105880387</v>
      </c>
      <c r="H20" s="86">
        <f t="shared" si="6"/>
        <v>8631623.6793399956</v>
      </c>
      <c r="I20" s="86">
        <f t="shared" si="1"/>
        <v>233053.83934217988</v>
      </c>
      <c r="J20" s="86">
        <f t="shared" si="2"/>
        <v>1825640.0499302186</v>
      </c>
      <c r="K20" s="86">
        <f t="shared" si="7"/>
        <v>276053.66702805675</v>
      </c>
      <c r="L20" s="87">
        <f t="shared" si="8"/>
        <v>1868639.8776160954</v>
      </c>
    </row>
    <row r="21" spans="1:12" x14ac:dyDescent="0.25">
      <c r="A21" s="88">
        <v>8</v>
      </c>
      <c r="B21" s="89">
        <f t="shared" si="9"/>
        <v>1578166.6666666667</v>
      </c>
      <c r="C21" s="89">
        <f t="shared" si="3"/>
        <v>6312666.6666666679</v>
      </c>
      <c r="D21" s="89">
        <f t="shared" si="4"/>
        <v>170442.00000000003</v>
      </c>
      <c r="E21" s="90">
        <f t="shared" si="0"/>
        <v>1748608.6666666667</v>
      </c>
      <c r="G21" s="85">
        <f t="shared" si="5"/>
        <v>1635586.0382739156</v>
      </c>
      <c r="H21" s="86">
        <f t="shared" si="6"/>
        <v>6996037.64106608</v>
      </c>
      <c r="I21" s="86">
        <f t="shared" si="1"/>
        <v>188893.01630878416</v>
      </c>
      <c r="J21" s="86">
        <f t="shared" si="2"/>
        <v>1824479.0545826999</v>
      </c>
      <c r="K21" s="86">
        <f t="shared" si="7"/>
        <v>233053.83934217974</v>
      </c>
      <c r="L21" s="87">
        <f t="shared" si="8"/>
        <v>1868639.8776160954</v>
      </c>
    </row>
    <row r="22" spans="1:12" x14ac:dyDescent="0.25">
      <c r="A22" s="88">
        <v>9</v>
      </c>
      <c r="B22" s="89">
        <f t="shared" si="9"/>
        <v>1578166.6666666667</v>
      </c>
      <c r="C22" s="89">
        <f t="shared" si="3"/>
        <v>4734500.0000000009</v>
      </c>
      <c r="D22" s="89">
        <f t="shared" si="4"/>
        <v>127831.50000000003</v>
      </c>
      <c r="E22" s="90">
        <f t="shared" si="0"/>
        <v>1705998.1666666667</v>
      </c>
      <c r="G22" s="85">
        <f t="shared" si="5"/>
        <v>1679746.8613073116</v>
      </c>
      <c r="H22" s="86">
        <f t="shared" si="6"/>
        <v>5316290.7797587682</v>
      </c>
      <c r="I22" s="86">
        <f t="shared" si="1"/>
        <v>143539.85105348675</v>
      </c>
      <c r="J22" s="86">
        <f t="shared" si="2"/>
        <v>1823286.7123607984</v>
      </c>
      <c r="K22" s="86">
        <f t="shared" si="7"/>
        <v>188893.01630878402</v>
      </c>
      <c r="L22" s="87">
        <f t="shared" si="8"/>
        <v>1868639.8776160956</v>
      </c>
    </row>
    <row r="23" spans="1:12" x14ac:dyDescent="0.25">
      <c r="A23" s="88">
        <v>10</v>
      </c>
      <c r="B23" s="89">
        <f t="shared" si="9"/>
        <v>1578166.6666666667</v>
      </c>
      <c r="C23" s="89">
        <f t="shared" si="3"/>
        <v>3156333.333333334</v>
      </c>
      <c r="D23" s="89">
        <f t="shared" si="4"/>
        <v>85221.000000000015</v>
      </c>
      <c r="E23" s="90">
        <f t="shared" si="0"/>
        <v>1663387.6666666667</v>
      </c>
      <c r="G23" s="85">
        <f t="shared" si="5"/>
        <v>1725100.026562609</v>
      </c>
      <c r="H23" s="86">
        <f t="shared" si="6"/>
        <v>3591190.7531961594</v>
      </c>
      <c r="I23" s="86">
        <f t="shared" si="1"/>
        <v>96962.150336296298</v>
      </c>
      <c r="J23" s="86">
        <f t="shared" si="2"/>
        <v>1822062.1768989053</v>
      </c>
      <c r="K23" s="86">
        <f t="shared" si="7"/>
        <v>143539.85105348661</v>
      </c>
      <c r="L23" s="87">
        <f t="shared" si="8"/>
        <v>1868639.8776160956</v>
      </c>
    </row>
    <row r="24" spans="1:12" x14ac:dyDescent="0.25">
      <c r="A24" s="88">
        <v>11</v>
      </c>
      <c r="B24" s="89">
        <f t="shared" si="9"/>
        <v>1578166.6666666667</v>
      </c>
      <c r="C24" s="89">
        <f t="shared" si="3"/>
        <v>1578166.6666666672</v>
      </c>
      <c r="D24" s="89">
        <f t="shared" si="4"/>
        <v>42610.500000000015</v>
      </c>
      <c r="E24" s="90">
        <f t="shared" si="0"/>
        <v>1620777.1666666667</v>
      </c>
      <c r="G24" s="85">
        <f t="shared" si="5"/>
        <v>1771677.7272797995</v>
      </c>
      <c r="H24" s="86">
        <f t="shared" si="6"/>
        <v>1819513.0259163599</v>
      </c>
      <c r="I24" s="86">
        <f t="shared" si="1"/>
        <v>49126.851699741717</v>
      </c>
      <c r="J24" s="86">
        <f t="shared" si="2"/>
        <v>1820804.5789795413</v>
      </c>
      <c r="K24" s="86">
        <f t="shared" si="7"/>
        <v>96962.150336296138</v>
      </c>
      <c r="L24" s="87">
        <f t="shared" si="8"/>
        <v>1868639.8776160956</v>
      </c>
    </row>
    <row r="25" spans="1:12" x14ac:dyDescent="0.25">
      <c r="A25" s="91">
        <v>12</v>
      </c>
      <c r="B25" s="92">
        <f t="shared" si="9"/>
        <v>1578166.6666666667</v>
      </c>
      <c r="C25" s="92">
        <f t="shared" si="3"/>
        <v>0</v>
      </c>
      <c r="D25" s="92">
        <f t="shared" si="4"/>
        <v>0</v>
      </c>
      <c r="E25" s="93">
        <f t="shared" si="0"/>
        <v>1578166.6666666667</v>
      </c>
      <c r="G25" s="94">
        <f t="shared" si="5"/>
        <v>1819513.025916354</v>
      </c>
      <c r="H25" s="95">
        <f t="shared" si="6"/>
        <v>5.8207660913467407E-9</v>
      </c>
      <c r="I25" s="95">
        <f t="shared" si="1"/>
        <v>1.5716068446636201E-10</v>
      </c>
      <c r="J25" s="95">
        <f t="shared" si="2"/>
        <v>1819513.0259163543</v>
      </c>
      <c r="K25" s="95">
        <f t="shared" si="7"/>
        <v>49126.851699741565</v>
      </c>
      <c r="L25" s="96">
        <f t="shared" si="8"/>
        <v>1868639.8776160956</v>
      </c>
    </row>
    <row r="26" spans="1:12" x14ac:dyDescent="0.25">
      <c r="E26" s="97">
        <f>SUM(E13:E25)</f>
        <v>22261619.000000004</v>
      </c>
      <c r="L26" s="98">
        <f>SUM(L14:L25)</f>
        <v>22423678.531393148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0E17-2AD3-4CE5-92E4-F15CAB072479}">
  <dimension ref="B1:Q54"/>
  <sheetViews>
    <sheetView topLeftCell="A2" workbookViewId="0">
      <selection activeCell="B4" sqref="B4:N51"/>
    </sheetView>
  </sheetViews>
  <sheetFormatPr baseColWidth="10" defaultRowHeight="15" x14ac:dyDescent="0.25"/>
  <cols>
    <col min="2" max="2" width="26.5703125" style="125" bestFit="1" customWidth="1"/>
    <col min="3" max="3" width="16.140625" style="125" bestFit="1" customWidth="1"/>
    <col min="4" max="4" width="14.5703125" style="125" bestFit="1" customWidth="1"/>
    <col min="5" max="7" width="15.5703125" style="125" bestFit="1" customWidth="1"/>
    <col min="8" max="14" width="15.85546875" style="129" bestFit="1" customWidth="1"/>
  </cols>
  <sheetData>
    <row r="1" spans="2:15" x14ac:dyDescent="0.25">
      <c r="C1" s="125" t="s">
        <v>126</v>
      </c>
      <c r="D1" s="125">
        <f>10/100</f>
        <v>0.1</v>
      </c>
    </row>
    <row r="2" spans="2:15" x14ac:dyDescent="0.25">
      <c r="C2" s="125" t="s">
        <v>127</v>
      </c>
      <c r="D2" s="125">
        <f>35/100</f>
        <v>0.35</v>
      </c>
    </row>
    <row r="4" spans="2:15" x14ac:dyDescent="0.25">
      <c r="B4" s="130" t="s">
        <v>167</v>
      </c>
      <c r="C4" s="131"/>
      <c r="D4" s="131"/>
      <c r="E4" s="132">
        <v>0.04</v>
      </c>
      <c r="F4" s="132">
        <v>0.06</v>
      </c>
      <c r="G4" s="132">
        <v>0.08</v>
      </c>
      <c r="H4" s="132">
        <v>0.1</v>
      </c>
      <c r="I4" s="132">
        <v>0.12</v>
      </c>
      <c r="J4" s="132">
        <v>0.14000000000000001</v>
      </c>
      <c r="K4" s="132">
        <v>0.16</v>
      </c>
      <c r="L4" s="132">
        <v>0.18</v>
      </c>
      <c r="M4" s="132">
        <v>0.2</v>
      </c>
      <c r="N4" s="132">
        <v>0.22</v>
      </c>
      <c r="O4" s="4"/>
    </row>
    <row r="5" spans="2:15" x14ac:dyDescent="0.25">
      <c r="B5" s="133" t="s">
        <v>128</v>
      </c>
      <c r="C5" s="133" t="s">
        <v>12</v>
      </c>
      <c r="D5" s="133" t="s">
        <v>13</v>
      </c>
      <c r="E5" s="133" t="s">
        <v>14</v>
      </c>
      <c r="F5" s="133" t="s">
        <v>15</v>
      </c>
      <c r="G5" s="133" t="s">
        <v>16</v>
      </c>
      <c r="H5" s="133" t="s">
        <v>17</v>
      </c>
      <c r="I5" s="133" t="s">
        <v>18</v>
      </c>
      <c r="J5" s="133" t="s">
        <v>19</v>
      </c>
      <c r="K5" s="133" t="s">
        <v>20</v>
      </c>
      <c r="L5" s="133" t="s">
        <v>21</v>
      </c>
      <c r="M5" s="133" t="s">
        <v>22</v>
      </c>
      <c r="N5" s="133" t="s">
        <v>23</v>
      </c>
    </row>
    <row r="6" spans="2:15" x14ac:dyDescent="0.25">
      <c r="B6" s="131" t="s">
        <v>129</v>
      </c>
      <c r="C6" s="134">
        <v>0</v>
      </c>
      <c r="D6" s="134">
        <f>+C32</f>
        <v>3131360.1223839046</v>
      </c>
      <c r="E6" s="134">
        <f>+D32</f>
        <v>-6194349.4552321872</v>
      </c>
      <c r="F6" s="134">
        <f>+E32</f>
        <v>19371301.379151717</v>
      </c>
      <c r="G6" s="134">
        <f>+F32</f>
        <v>46677051.631535619</v>
      </c>
      <c r="H6" s="134">
        <f t="shared" ref="H6:N6" si="0">+G32</f>
        <v>76303171.50791952</v>
      </c>
      <c r="I6" s="134">
        <f t="shared" si="0"/>
        <v>108837824.41430342</v>
      </c>
      <c r="J6" s="134">
        <f t="shared" si="0"/>
        <v>144862716.95668733</v>
      </c>
      <c r="K6" s="134">
        <f t="shared" si="0"/>
        <v>184959555.74107122</v>
      </c>
      <c r="L6" s="134">
        <f t="shared" si="0"/>
        <v>229710047.37345514</v>
      </c>
      <c r="M6" s="134">
        <f t="shared" si="0"/>
        <v>279695898.45983905</v>
      </c>
      <c r="N6" s="134">
        <f t="shared" si="0"/>
        <v>335498815.60622299</v>
      </c>
    </row>
    <row r="7" spans="2:15" x14ac:dyDescent="0.25">
      <c r="B7" s="131" t="s">
        <v>165</v>
      </c>
      <c r="C7" s="134">
        <f>'3.COSTOS-GASTOS'!H30</f>
        <v>0</v>
      </c>
      <c r="D7" s="134">
        <f>'3.COSTOS-GASTOS'!I30</f>
        <v>29085330.300000001</v>
      </c>
      <c r="E7" s="134">
        <f>($D$7*E4)+D7</f>
        <v>30248743.512000002</v>
      </c>
      <c r="F7" s="134">
        <f t="shared" ref="F7:N7" si="1">($D$7*F4)+E7</f>
        <v>31993863.330000002</v>
      </c>
      <c r="G7" s="134">
        <f t="shared" si="1"/>
        <v>34320689.754000001</v>
      </c>
      <c r="H7" s="134">
        <f t="shared" si="1"/>
        <v>37229222.784000002</v>
      </c>
      <c r="I7" s="134">
        <f>($D$7*I4)+H7</f>
        <v>40719462.420000002</v>
      </c>
      <c r="J7" s="134">
        <f t="shared" si="1"/>
        <v>44791408.662</v>
      </c>
      <c r="K7" s="134">
        <f>($D$7*K4)+J7</f>
        <v>49445061.509999998</v>
      </c>
      <c r="L7" s="134">
        <f t="shared" si="1"/>
        <v>54680420.964000002</v>
      </c>
      <c r="M7" s="134">
        <f t="shared" si="1"/>
        <v>60497487.024000004</v>
      </c>
      <c r="N7" s="134">
        <f t="shared" si="1"/>
        <v>66896259.690000005</v>
      </c>
    </row>
    <row r="8" spans="2:15" x14ac:dyDescent="0.25">
      <c r="B8" s="131" t="s">
        <v>130</v>
      </c>
      <c r="C8" s="134">
        <v>0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</row>
    <row r="9" spans="2:15" x14ac:dyDescent="0.25">
      <c r="B9" s="131" t="s">
        <v>131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</row>
    <row r="10" spans="2:15" x14ac:dyDescent="0.25">
      <c r="B10" s="131" t="s">
        <v>132</v>
      </c>
      <c r="C10" s="134">
        <v>5000000</v>
      </c>
      <c r="D10" s="134">
        <v>0</v>
      </c>
      <c r="E10" s="134">
        <v>0</v>
      </c>
      <c r="F10" s="134">
        <v>0</v>
      </c>
      <c r="G10" s="134">
        <v>0</v>
      </c>
      <c r="H10" s="134">
        <v>0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</row>
    <row r="11" spans="2:15" x14ac:dyDescent="0.25">
      <c r="B11" s="131" t="s">
        <v>133</v>
      </c>
      <c r="C11" s="134">
        <v>0</v>
      </c>
      <c r="D11" s="134">
        <v>0</v>
      </c>
      <c r="E11" s="134">
        <v>0</v>
      </c>
      <c r="F11" s="134">
        <v>0</v>
      </c>
      <c r="G11" s="134">
        <v>0</v>
      </c>
      <c r="H11" s="134">
        <v>0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</row>
    <row r="12" spans="2:15" x14ac:dyDescent="0.25">
      <c r="B12" s="131" t="s">
        <v>134</v>
      </c>
      <c r="C12" s="134">
        <v>0</v>
      </c>
      <c r="D12" s="134">
        <v>0</v>
      </c>
      <c r="E12" s="134">
        <v>0</v>
      </c>
      <c r="F12" s="134">
        <v>0</v>
      </c>
      <c r="G12" s="134">
        <v>0</v>
      </c>
      <c r="H12" s="134">
        <v>0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</row>
    <row r="13" spans="2:15" x14ac:dyDescent="0.25">
      <c r="B13" s="135" t="s">
        <v>135</v>
      </c>
      <c r="C13" s="134">
        <v>0</v>
      </c>
      <c r="D13" s="134">
        <v>0</v>
      </c>
      <c r="E13" s="134">
        <v>0</v>
      </c>
      <c r="F13" s="134">
        <v>0</v>
      </c>
      <c r="G13" s="134">
        <v>0</v>
      </c>
      <c r="H13" s="134">
        <v>0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</row>
    <row r="14" spans="2:15" x14ac:dyDescent="0.25">
      <c r="B14" s="133" t="s">
        <v>136</v>
      </c>
      <c r="C14" s="136">
        <f>SUM(C7:C13)</f>
        <v>5000000</v>
      </c>
      <c r="D14" s="136">
        <f>SUM(D7:D13)</f>
        <v>29085330.300000001</v>
      </c>
      <c r="E14" s="136">
        <f>SUM(E7:E13)</f>
        <v>30248743.512000002</v>
      </c>
      <c r="F14" s="136">
        <f>SUM(F7:F13)</f>
        <v>31993863.330000002</v>
      </c>
      <c r="G14" s="136">
        <f>SUM(G7:G13)</f>
        <v>34320689.754000001</v>
      </c>
      <c r="H14" s="136">
        <f t="shared" ref="H14:N14" si="2">SUM(H7:H13)</f>
        <v>37229222.784000002</v>
      </c>
      <c r="I14" s="136">
        <f t="shared" si="2"/>
        <v>40719462.420000002</v>
      </c>
      <c r="J14" s="136">
        <f t="shared" si="2"/>
        <v>44791408.662</v>
      </c>
      <c r="K14" s="136">
        <f t="shared" si="2"/>
        <v>49445061.509999998</v>
      </c>
      <c r="L14" s="136">
        <f t="shared" si="2"/>
        <v>54680420.964000002</v>
      </c>
      <c r="M14" s="136">
        <f t="shared" si="2"/>
        <v>60497487.024000004</v>
      </c>
      <c r="N14" s="136">
        <f t="shared" si="2"/>
        <v>66896259.690000005</v>
      </c>
    </row>
    <row r="15" spans="2:15" x14ac:dyDescent="0.25">
      <c r="B15" s="131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2:15" x14ac:dyDescent="0.25">
      <c r="B16" s="130" t="s">
        <v>137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2:17" x14ac:dyDescent="0.25">
      <c r="B17" s="137" t="s">
        <v>138</v>
      </c>
      <c r="C17" s="134">
        <v>0</v>
      </c>
      <c r="D17" s="134">
        <v>2800000</v>
      </c>
      <c r="E17" s="134">
        <v>2800000</v>
      </c>
      <c r="F17" s="134">
        <v>2800000</v>
      </c>
      <c r="G17" s="134">
        <v>2800000</v>
      </c>
      <c r="H17" s="134">
        <v>2800000</v>
      </c>
      <c r="I17" s="134">
        <v>2800000</v>
      </c>
      <c r="J17" s="134">
        <v>2800000</v>
      </c>
      <c r="K17" s="134">
        <v>2800000</v>
      </c>
      <c r="L17" s="134">
        <v>2800000</v>
      </c>
      <c r="M17" s="134">
        <v>2800000</v>
      </c>
      <c r="N17" s="134">
        <v>2800000</v>
      </c>
    </row>
    <row r="18" spans="2:17" x14ac:dyDescent="0.25">
      <c r="B18" s="131" t="s">
        <v>139</v>
      </c>
      <c r="C18" s="134">
        <v>0</v>
      </c>
      <c r="D18" s="134">
        <f>'3.COSTOS-GASTOS'!B8</f>
        <v>33742400</v>
      </c>
      <c r="E18" s="134">
        <v>14154</v>
      </c>
      <c r="F18" s="134">
        <v>17569.8</v>
      </c>
      <c r="G18" s="134">
        <v>21622.400000000001</v>
      </c>
      <c r="H18" s="134">
        <v>21622.400000000001</v>
      </c>
      <c r="I18" s="134">
        <v>21622.400000000001</v>
      </c>
      <c r="J18" s="134">
        <v>21622.400000000001</v>
      </c>
      <c r="K18" s="134">
        <v>21622.400000000001</v>
      </c>
      <c r="L18" s="134">
        <v>21622.400000000001</v>
      </c>
      <c r="M18" s="134">
        <v>21622.400000000001</v>
      </c>
      <c r="N18" s="134">
        <v>21622.400000000001</v>
      </c>
    </row>
    <row r="19" spans="2:17" x14ac:dyDescent="0.25">
      <c r="B19" s="131" t="s">
        <v>140</v>
      </c>
      <c r="C19" s="134">
        <f>'2.INVERSION'!D41</f>
        <v>18938000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v>0</v>
      </c>
      <c r="K19" s="134">
        <v>0</v>
      </c>
      <c r="L19" s="134">
        <v>0</v>
      </c>
      <c r="M19" s="134">
        <v>0</v>
      </c>
      <c r="N19" s="134">
        <v>0</v>
      </c>
    </row>
    <row r="20" spans="2:17" x14ac:dyDescent="0.25">
      <c r="B20" s="138" t="s">
        <v>141</v>
      </c>
      <c r="C20" s="134">
        <f>'4. AMORTIZACION'!K14</f>
        <v>511326</v>
      </c>
      <c r="D20" s="134">
        <f>'4. AMORTIZACION'!K15</f>
        <v>474678.52530436532</v>
      </c>
      <c r="E20" s="134">
        <f>'4. AMORTIZACION'!K16</f>
        <v>437041.56879194861</v>
      </c>
      <c r="F20" s="134">
        <f>'4. AMORTIZACION'!K17</f>
        <v>398388.41445369669</v>
      </c>
      <c r="G20" s="134">
        <f>'4. AMORTIZACION'!K18</f>
        <v>358691.62494831189</v>
      </c>
      <c r="H20" s="134">
        <f>'4. AMORTIZACION'!K19</f>
        <v>317923.02212628175</v>
      </c>
      <c r="I20" s="134">
        <f>'4. AMORTIZACION'!K20</f>
        <v>276053.66702805675</v>
      </c>
      <c r="J20" s="134">
        <f>'4. AMORTIZACION'!K21</f>
        <v>233053.83934217974</v>
      </c>
      <c r="K20" s="134">
        <f>'4. AMORTIZACION'!K22</f>
        <v>188893.01630878402</v>
      </c>
      <c r="L20" s="134">
        <f>'4. AMORTIZACION'!K23</f>
        <v>143539.85105348661</v>
      </c>
      <c r="M20" s="134">
        <f>'4. AMORTIZACION'!K24</f>
        <v>96962.150336296138</v>
      </c>
      <c r="N20" s="134">
        <f>'4. AMORTIZACION'!K25</f>
        <v>49126.851699741565</v>
      </c>
    </row>
    <row r="21" spans="2:17" x14ac:dyDescent="0.25">
      <c r="B21" s="131" t="s">
        <v>142</v>
      </c>
      <c r="C21" s="134">
        <v>0</v>
      </c>
      <c r="D21" s="134">
        <v>0</v>
      </c>
      <c r="E21" s="134">
        <v>298.8</v>
      </c>
      <c r="F21" s="134">
        <v>1903.4</v>
      </c>
      <c r="G21" s="134">
        <v>4307.6000000000004</v>
      </c>
      <c r="H21" s="134">
        <v>4307.6000000000004</v>
      </c>
      <c r="I21" s="134">
        <v>4307.6000000000004</v>
      </c>
      <c r="J21" s="134">
        <v>4307.6000000000004</v>
      </c>
      <c r="K21" s="134">
        <v>4307.6000000000004</v>
      </c>
      <c r="L21" s="134">
        <v>4307.6000000000004</v>
      </c>
      <c r="M21" s="134">
        <v>4307.6000000000004</v>
      </c>
      <c r="N21" s="134">
        <v>4307.6000000000004</v>
      </c>
    </row>
    <row r="22" spans="2:17" x14ac:dyDescent="0.25">
      <c r="B22" s="131" t="s">
        <v>143</v>
      </c>
      <c r="C22" s="134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4">
        <v>0</v>
      </c>
      <c r="N22" s="134">
        <v>0</v>
      </c>
      <c r="Q22" t="s">
        <v>166</v>
      </c>
    </row>
    <row r="23" spans="2:17" x14ac:dyDescent="0.25">
      <c r="B23" s="133" t="s">
        <v>144</v>
      </c>
      <c r="C23" s="136">
        <f>SUM(C17:C22)</f>
        <v>19449326</v>
      </c>
      <c r="D23" s="136">
        <f>SUM(D17:D22)</f>
        <v>37017078.525304362</v>
      </c>
      <c r="E23" s="136">
        <f>SUM(E17:E22)</f>
        <v>3251494.3687919485</v>
      </c>
      <c r="F23" s="136">
        <f>SUM(F17:F22)</f>
        <v>3217861.6144536962</v>
      </c>
      <c r="G23" s="136">
        <f>SUM(G17:G22)</f>
        <v>3184621.6249483121</v>
      </c>
      <c r="H23" s="136">
        <f t="shared" ref="H23:N23" si="3">SUM(H17:H22)</f>
        <v>3143853.0221262816</v>
      </c>
      <c r="I23" s="136">
        <f t="shared" si="3"/>
        <v>3101983.6670280569</v>
      </c>
      <c r="J23" s="136">
        <f t="shared" si="3"/>
        <v>3058983.8393421797</v>
      </c>
      <c r="K23" s="136">
        <f t="shared" si="3"/>
        <v>3014823.016308784</v>
      </c>
      <c r="L23" s="136">
        <f t="shared" si="3"/>
        <v>2969469.8510534866</v>
      </c>
      <c r="M23" s="136">
        <f t="shared" si="3"/>
        <v>2922892.1503362963</v>
      </c>
      <c r="N23" s="136">
        <f t="shared" si="3"/>
        <v>2875056.8516997416</v>
      </c>
    </row>
    <row r="24" spans="2:17" x14ac:dyDescent="0.25">
      <c r="B24" s="133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</row>
    <row r="25" spans="2:17" x14ac:dyDescent="0.25">
      <c r="B25" s="131" t="s">
        <v>145</v>
      </c>
      <c r="C25" s="134">
        <f>+C14-C23</f>
        <v>-14449326</v>
      </c>
      <c r="D25" s="134">
        <f>+D14-D23</f>
        <v>-7931748.2253043614</v>
      </c>
      <c r="E25" s="134">
        <f>+E14-E23</f>
        <v>26997249.143208053</v>
      </c>
      <c r="F25" s="134">
        <f>+F14-F23</f>
        <v>28776001.715546306</v>
      </c>
      <c r="G25" s="134">
        <f>+G14-G23</f>
        <v>31136068.129051689</v>
      </c>
      <c r="H25" s="134">
        <f t="shared" ref="H25:N25" si="4">+H14-H23</f>
        <v>34085369.761873722</v>
      </c>
      <c r="I25" s="134">
        <f t="shared" si="4"/>
        <v>37617478.752971947</v>
      </c>
      <c r="J25" s="134">
        <f t="shared" si="4"/>
        <v>41732424.822657824</v>
      </c>
      <c r="K25" s="134">
        <f t="shared" si="4"/>
        <v>46430238.493691213</v>
      </c>
      <c r="L25" s="134">
        <f t="shared" si="4"/>
        <v>51710951.112946518</v>
      </c>
      <c r="M25" s="134">
        <f t="shared" si="4"/>
        <v>57574594.873663709</v>
      </c>
      <c r="N25" s="134">
        <f t="shared" si="4"/>
        <v>64021202.838300265</v>
      </c>
    </row>
    <row r="26" spans="2:17" x14ac:dyDescent="0.25">
      <c r="B26" s="131" t="s">
        <v>146</v>
      </c>
      <c r="C26" s="134">
        <f>+C25+C6</f>
        <v>-14449326</v>
      </c>
      <c r="D26" s="134">
        <f>+D25+D6</f>
        <v>-4800388.1029204568</v>
      </c>
      <c r="E26" s="134">
        <f>+E25+E6</f>
        <v>20802899.687975865</v>
      </c>
      <c r="F26" s="134">
        <f>+F25+F6</f>
        <v>48147303.094698027</v>
      </c>
      <c r="G26" s="134">
        <f>+G25+G6</f>
        <v>77813119.760587305</v>
      </c>
      <c r="H26" s="134">
        <f t="shared" ref="H26:N26" si="5">+H25+H6</f>
        <v>110388541.26979324</v>
      </c>
      <c r="I26" s="134">
        <f t="shared" si="5"/>
        <v>146455303.16727537</v>
      </c>
      <c r="J26" s="134">
        <f t="shared" si="5"/>
        <v>186595141.77934515</v>
      </c>
      <c r="K26" s="134">
        <f t="shared" si="5"/>
        <v>231389794.23476243</v>
      </c>
      <c r="L26" s="134">
        <f t="shared" si="5"/>
        <v>281420998.48640168</v>
      </c>
      <c r="M26" s="134">
        <f t="shared" si="5"/>
        <v>337270493.33350277</v>
      </c>
      <c r="N26" s="134">
        <f t="shared" si="5"/>
        <v>399520018.44452327</v>
      </c>
    </row>
    <row r="27" spans="2:17" x14ac:dyDescent="0.25">
      <c r="B27" s="131" t="s">
        <v>147</v>
      </c>
      <c r="C27" s="134">
        <v>18938000</v>
      </c>
      <c r="D27" s="134">
        <v>0</v>
      </c>
      <c r="E27" s="134">
        <v>0</v>
      </c>
      <c r="F27" s="134">
        <v>0</v>
      </c>
      <c r="G27" s="134">
        <v>0</v>
      </c>
      <c r="H27" s="134">
        <v>0</v>
      </c>
      <c r="I27" s="134">
        <v>0</v>
      </c>
      <c r="J27" s="134">
        <v>0</v>
      </c>
      <c r="K27" s="134">
        <v>0</v>
      </c>
      <c r="L27" s="134">
        <v>0</v>
      </c>
      <c r="M27" s="134">
        <v>0</v>
      </c>
      <c r="N27" s="134">
        <v>0</v>
      </c>
    </row>
    <row r="28" spans="2:17" x14ac:dyDescent="0.25">
      <c r="B28" s="131" t="s">
        <v>148</v>
      </c>
      <c r="C28" s="134">
        <f>'4. AMORTIZACION'!G14</f>
        <v>1357313.8776160956</v>
      </c>
      <c r="D28" s="134">
        <f>'4. AMORTIZACION'!G15</f>
        <v>1393961.3523117299</v>
      </c>
      <c r="E28" s="134">
        <f>'4. AMORTIZACION'!G16</f>
        <v>1431598.3088241469</v>
      </c>
      <c r="F28" s="134">
        <f>'4. AMORTIZACION'!G17</f>
        <v>1470251.4631623989</v>
      </c>
      <c r="G28" s="134">
        <f>'4. AMORTIZACION'!G18</f>
        <v>1509948.2526677833</v>
      </c>
      <c r="H28" s="134">
        <f>'4. AMORTIZACION'!G19</f>
        <v>1550716.8554898135</v>
      </c>
      <c r="I28" s="134">
        <f>'4. AMORTIZACION'!G20</f>
        <v>1592586.2105880387</v>
      </c>
      <c r="J28" s="134">
        <f>'4. AMORTIZACION'!G21</f>
        <v>1635586.0382739156</v>
      </c>
      <c r="K28" s="134">
        <f>'4. AMORTIZACION'!G22</f>
        <v>1679746.8613073116</v>
      </c>
      <c r="L28" s="134">
        <f>'4. AMORTIZACION'!G23</f>
        <v>1725100.026562609</v>
      </c>
      <c r="M28" s="134">
        <f>'4. AMORTIZACION'!G24</f>
        <v>1771677.7272797995</v>
      </c>
      <c r="N28" s="134">
        <f>'4. AMORTIZACION'!G25</f>
        <v>1819513.025916354</v>
      </c>
    </row>
    <row r="29" spans="2:17" x14ac:dyDescent="0.25">
      <c r="B29" s="131" t="s">
        <v>149</v>
      </c>
      <c r="C29" s="134"/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0</v>
      </c>
    </row>
    <row r="30" spans="2:17" x14ac:dyDescent="0.25">
      <c r="B30" s="133" t="s">
        <v>150</v>
      </c>
      <c r="C30" s="136">
        <f>+C25+C27-C28-C29</f>
        <v>3131360.1223839046</v>
      </c>
      <c r="D30" s="136">
        <f>+D25+D27-D28-D29</f>
        <v>-9325709.5776160918</v>
      </c>
      <c r="E30" s="136">
        <f>+E25+E27-E28-E29</f>
        <v>25565650.834383905</v>
      </c>
      <c r="F30" s="136">
        <f>+F25+F27-F28-F29</f>
        <v>27305750.252383906</v>
      </c>
      <c r="G30" s="136">
        <f>+G25+G27-G28-G29</f>
        <v>29626119.876383904</v>
      </c>
      <c r="H30" s="136">
        <f t="shared" ref="H30:N30" si="6">+H25+H27-H28-H29</f>
        <v>32534652.906383909</v>
      </c>
      <c r="I30" s="136">
        <f t="shared" si="6"/>
        <v>36024892.542383909</v>
      </c>
      <c r="J30" s="136">
        <f t="shared" si="6"/>
        <v>40096838.784383908</v>
      </c>
      <c r="K30" s="136">
        <f t="shared" si="6"/>
        <v>44750491.632383905</v>
      </c>
      <c r="L30" s="136">
        <f t="shared" si="6"/>
        <v>49985851.086383909</v>
      </c>
      <c r="M30" s="136">
        <f t="shared" si="6"/>
        <v>55802917.146383911</v>
      </c>
      <c r="N30" s="136">
        <f t="shared" si="6"/>
        <v>62201689.812383913</v>
      </c>
    </row>
    <row r="31" spans="2:17" x14ac:dyDescent="0.25">
      <c r="B31" s="131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</row>
    <row r="32" spans="2:17" x14ac:dyDescent="0.25">
      <c r="B32" s="133" t="s">
        <v>146</v>
      </c>
      <c r="C32" s="139">
        <f>+C30+C6</f>
        <v>3131360.1223839046</v>
      </c>
      <c r="D32" s="139">
        <f>+D30+D6</f>
        <v>-6194349.4552321872</v>
      </c>
      <c r="E32" s="139">
        <f>+E30+E6</f>
        <v>19371301.379151717</v>
      </c>
      <c r="F32" s="139">
        <f>+F30+F6</f>
        <v>46677051.631535619</v>
      </c>
      <c r="G32" s="139">
        <f>+G30+G6</f>
        <v>76303171.50791952</v>
      </c>
      <c r="H32" s="139">
        <f t="shared" ref="H32:N32" si="7">+H30+H6</f>
        <v>108837824.41430342</v>
      </c>
      <c r="I32" s="139">
        <f t="shared" si="7"/>
        <v>144862716.95668733</v>
      </c>
      <c r="J32" s="139">
        <f t="shared" si="7"/>
        <v>184959555.74107122</v>
      </c>
      <c r="K32" s="139">
        <f t="shared" si="7"/>
        <v>229710047.37345514</v>
      </c>
      <c r="L32" s="139">
        <f t="shared" si="7"/>
        <v>279695898.45983905</v>
      </c>
      <c r="M32" s="139">
        <f t="shared" si="7"/>
        <v>335498815.60622299</v>
      </c>
      <c r="N32" s="139">
        <f t="shared" si="7"/>
        <v>397700505.41860688</v>
      </c>
    </row>
    <row r="33" spans="2:14" x14ac:dyDescent="0.25"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</row>
    <row r="34" spans="2:14" x14ac:dyDescent="0.25"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</row>
    <row r="35" spans="2:14" x14ac:dyDescent="0.25">
      <c r="B35" s="131" t="s">
        <v>151</v>
      </c>
      <c r="C35" s="140">
        <f>+C30</f>
        <v>3131360.1223839046</v>
      </c>
      <c r="D35" s="140">
        <f>+D30</f>
        <v>-9325709.5776160918</v>
      </c>
      <c r="E35" s="140">
        <f>+E30</f>
        <v>25565650.834383905</v>
      </c>
      <c r="F35" s="140">
        <f>+F30</f>
        <v>27305750.252383906</v>
      </c>
      <c r="G35" s="140">
        <f>+G30</f>
        <v>29626119.876383904</v>
      </c>
      <c r="H35" s="140">
        <f t="shared" ref="H35:N35" si="8">+H30</f>
        <v>32534652.906383909</v>
      </c>
      <c r="I35" s="140">
        <f t="shared" si="8"/>
        <v>36024892.542383909</v>
      </c>
      <c r="J35" s="140">
        <f t="shared" si="8"/>
        <v>40096838.784383908</v>
      </c>
      <c r="K35" s="140">
        <f t="shared" si="8"/>
        <v>44750491.632383905</v>
      </c>
      <c r="L35" s="140">
        <f t="shared" si="8"/>
        <v>49985851.086383909</v>
      </c>
      <c r="M35" s="140">
        <f t="shared" si="8"/>
        <v>55802917.146383911</v>
      </c>
      <c r="N35" s="140">
        <f t="shared" si="8"/>
        <v>62201689.812383913</v>
      </c>
    </row>
    <row r="36" spans="2:14" x14ac:dyDescent="0.25">
      <c r="B36" s="131" t="s">
        <v>152</v>
      </c>
      <c r="C36" s="140">
        <f>-C27</f>
        <v>-18938000</v>
      </c>
      <c r="D36" s="140">
        <f>-D27</f>
        <v>0</v>
      </c>
      <c r="E36" s="140">
        <f>-E27</f>
        <v>0</v>
      </c>
      <c r="F36" s="140">
        <f>-F27</f>
        <v>0</v>
      </c>
      <c r="G36" s="140">
        <f>-G27</f>
        <v>0</v>
      </c>
      <c r="H36" s="140">
        <f t="shared" ref="H36:N36" si="9">-H27</f>
        <v>0</v>
      </c>
      <c r="I36" s="140">
        <f t="shared" si="9"/>
        <v>0</v>
      </c>
      <c r="J36" s="140">
        <f t="shared" si="9"/>
        <v>0</v>
      </c>
      <c r="K36" s="140">
        <f t="shared" si="9"/>
        <v>0</v>
      </c>
      <c r="L36" s="140">
        <f t="shared" si="9"/>
        <v>0</v>
      </c>
      <c r="M36" s="140">
        <f t="shared" si="9"/>
        <v>0</v>
      </c>
      <c r="N36" s="140">
        <f t="shared" si="9"/>
        <v>0</v>
      </c>
    </row>
    <row r="37" spans="2:14" x14ac:dyDescent="0.25">
      <c r="B37" s="131" t="s">
        <v>153</v>
      </c>
      <c r="C37" s="140">
        <f>+C28</f>
        <v>1357313.8776160956</v>
      </c>
      <c r="D37" s="140">
        <f>+D28</f>
        <v>1393961.3523117299</v>
      </c>
      <c r="E37" s="140">
        <f>+E28</f>
        <v>1431598.3088241469</v>
      </c>
      <c r="F37" s="140">
        <f>+F28</f>
        <v>1470251.4631623989</v>
      </c>
      <c r="G37" s="140">
        <f>+G28</f>
        <v>1509948.2526677833</v>
      </c>
      <c r="H37" s="140">
        <f t="shared" ref="H37:N37" si="10">+H28</f>
        <v>1550716.8554898135</v>
      </c>
      <c r="I37" s="140">
        <f t="shared" si="10"/>
        <v>1592586.2105880387</v>
      </c>
      <c r="J37" s="140">
        <f t="shared" si="10"/>
        <v>1635586.0382739156</v>
      </c>
      <c r="K37" s="140">
        <f t="shared" si="10"/>
        <v>1679746.8613073116</v>
      </c>
      <c r="L37" s="140">
        <f t="shared" si="10"/>
        <v>1725100.026562609</v>
      </c>
      <c r="M37" s="140">
        <f t="shared" si="10"/>
        <v>1771677.7272797995</v>
      </c>
      <c r="N37" s="140">
        <f t="shared" si="10"/>
        <v>1819513.025916354</v>
      </c>
    </row>
    <row r="38" spans="2:14" x14ac:dyDescent="0.25">
      <c r="B38" s="131" t="s">
        <v>154</v>
      </c>
      <c r="C38" s="140">
        <v>0</v>
      </c>
      <c r="D38" s="140">
        <f t="shared" ref="D38:N38" si="11">+C20</f>
        <v>511326</v>
      </c>
      <c r="E38" s="140">
        <f t="shared" si="11"/>
        <v>474678.52530436532</v>
      </c>
      <c r="F38" s="140">
        <f t="shared" si="11"/>
        <v>437041.56879194861</v>
      </c>
      <c r="G38" s="140">
        <f t="shared" si="11"/>
        <v>398388.41445369669</v>
      </c>
      <c r="H38" s="140">
        <f t="shared" si="11"/>
        <v>358691.62494831189</v>
      </c>
      <c r="I38" s="140">
        <f t="shared" si="11"/>
        <v>317923.02212628175</v>
      </c>
      <c r="J38" s="140">
        <f t="shared" si="11"/>
        <v>276053.66702805675</v>
      </c>
      <c r="K38" s="140">
        <f t="shared" si="11"/>
        <v>233053.83934217974</v>
      </c>
      <c r="L38" s="140">
        <f t="shared" si="11"/>
        <v>188893.01630878402</v>
      </c>
      <c r="M38" s="140">
        <f t="shared" si="11"/>
        <v>143539.85105348661</v>
      </c>
      <c r="N38" s="140">
        <f t="shared" si="11"/>
        <v>96962.150336296138</v>
      </c>
    </row>
    <row r="39" spans="2:14" x14ac:dyDescent="0.25">
      <c r="B39" s="131" t="s">
        <v>155</v>
      </c>
      <c r="C39" s="131">
        <f>-C38*$D$2</f>
        <v>0</v>
      </c>
      <c r="D39" s="131">
        <v>0</v>
      </c>
      <c r="E39" s="131">
        <f>-D38*$D$2</f>
        <v>-178964.09999999998</v>
      </c>
      <c r="F39" s="131">
        <f>-E38*$D$2</f>
        <v>-166137.48385652786</v>
      </c>
      <c r="G39" s="131">
        <f>-F38*$D$2</f>
        <v>-152964.54907718199</v>
      </c>
      <c r="H39" s="131">
        <f t="shared" ref="H39:N39" si="12">-G38*$D$2</f>
        <v>-139435.94505879382</v>
      </c>
      <c r="I39" s="131">
        <f t="shared" si="12"/>
        <v>-125542.06873190915</v>
      </c>
      <c r="J39" s="131">
        <f t="shared" si="12"/>
        <v>-111273.05774419861</v>
      </c>
      <c r="K39" s="131">
        <f t="shared" si="12"/>
        <v>-96618.783459819853</v>
      </c>
      <c r="L39" s="131">
        <f t="shared" si="12"/>
        <v>-81568.843769762898</v>
      </c>
      <c r="M39" s="131">
        <f t="shared" si="12"/>
        <v>-66112.555708074404</v>
      </c>
      <c r="N39" s="131">
        <f t="shared" si="12"/>
        <v>-50238.947868720308</v>
      </c>
    </row>
    <row r="40" spans="2:14" x14ac:dyDescent="0.25">
      <c r="B40" s="131" t="s">
        <v>156</v>
      </c>
      <c r="C40" s="140">
        <f>+C21</f>
        <v>0</v>
      </c>
      <c r="D40" s="140">
        <f>+D21</f>
        <v>0</v>
      </c>
      <c r="E40" s="140">
        <f>+E21</f>
        <v>298.8</v>
      </c>
      <c r="F40" s="140">
        <f>+F21</f>
        <v>1903.4</v>
      </c>
      <c r="G40" s="140">
        <f>+G21</f>
        <v>4307.6000000000004</v>
      </c>
      <c r="H40" s="140">
        <f t="shared" ref="H40:N40" si="13">+H21</f>
        <v>4307.6000000000004</v>
      </c>
      <c r="I40" s="140">
        <f t="shared" si="13"/>
        <v>4307.6000000000004</v>
      </c>
      <c r="J40" s="140">
        <f t="shared" si="13"/>
        <v>4307.6000000000004</v>
      </c>
      <c r="K40" s="140">
        <f t="shared" si="13"/>
        <v>4307.6000000000004</v>
      </c>
      <c r="L40" s="140">
        <f t="shared" si="13"/>
        <v>4307.6000000000004</v>
      </c>
      <c r="M40" s="140">
        <f t="shared" si="13"/>
        <v>4307.6000000000004</v>
      </c>
      <c r="N40" s="140">
        <f t="shared" si="13"/>
        <v>4307.6000000000004</v>
      </c>
    </row>
    <row r="41" spans="2:14" x14ac:dyDescent="0.25">
      <c r="B41" s="131" t="s">
        <v>157</v>
      </c>
      <c r="C41" s="140">
        <f>-C11</f>
        <v>0</v>
      </c>
      <c r="D41" s="140">
        <f>-D11</f>
        <v>0</v>
      </c>
      <c r="E41" s="140">
        <f>-E11</f>
        <v>0</v>
      </c>
      <c r="F41" s="140">
        <f>-F11</f>
        <v>0</v>
      </c>
      <c r="G41" s="140">
        <f>-G11</f>
        <v>0</v>
      </c>
      <c r="H41" s="140">
        <f t="shared" ref="H41:N41" si="14">-H11</f>
        <v>0</v>
      </c>
      <c r="I41" s="140">
        <f t="shared" si="14"/>
        <v>0</v>
      </c>
      <c r="J41" s="140">
        <f t="shared" si="14"/>
        <v>0</v>
      </c>
      <c r="K41" s="140">
        <f t="shared" si="14"/>
        <v>0</v>
      </c>
      <c r="L41" s="140">
        <f t="shared" si="14"/>
        <v>0</v>
      </c>
      <c r="M41" s="140">
        <f t="shared" si="14"/>
        <v>0</v>
      </c>
      <c r="N41" s="140">
        <f t="shared" si="14"/>
        <v>0</v>
      </c>
    </row>
    <row r="42" spans="2:14" x14ac:dyDescent="0.25">
      <c r="B42" s="131" t="s">
        <v>158</v>
      </c>
      <c r="C42" s="140">
        <f>-C10</f>
        <v>-5000000</v>
      </c>
      <c r="D42" s="140">
        <f>-D10</f>
        <v>0</v>
      </c>
      <c r="E42" s="140">
        <f>-E10</f>
        <v>0</v>
      </c>
      <c r="F42" s="140">
        <f>-F10</f>
        <v>0</v>
      </c>
      <c r="G42" s="140">
        <f>-G10</f>
        <v>0</v>
      </c>
      <c r="H42" s="140">
        <f t="shared" ref="H42:N42" si="15">-H10</f>
        <v>0</v>
      </c>
      <c r="I42" s="140">
        <f t="shared" si="15"/>
        <v>0</v>
      </c>
      <c r="J42" s="140">
        <f t="shared" si="15"/>
        <v>0</v>
      </c>
      <c r="K42" s="140">
        <f t="shared" si="15"/>
        <v>0</v>
      </c>
      <c r="L42" s="140">
        <f t="shared" si="15"/>
        <v>0</v>
      </c>
      <c r="M42" s="140">
        <f t="shared" si="15"/>
        <v>0</v>
      </c>
      <c r="N42" s="140">
        <f t="shared" si="15"/>
        <v>0</v>
      </c>
    </row>
    <row r="43" spans="2:14" x14ac:dyDescent="0.25">
      <c r="B43" s="146" t="s">
        <v>159</v>
      </c>
      <c r="C43" s="147">
        <f>SUM(C35:C42)</f>
        <v>-19449326</v>
      </c>
      <c r="D43" s="147">
        <f>SUM(D35:D42)</f>
        <v>-7420422.2253043614</v>
      </c>
      <c r="E43" s="147">
        <f>SUM(E35:E42)</f>
        <v>27293262.368512418</v>
      </c>
      <c r="F43" s="147">
        <f>SUM(F35:F42)</f>
        <v>29048809.200481724</v>
      </c>
      <c r="G43" s="147">
        <f>SUM(G35:G42)</f>
        <v>31385799.594428204</v>
      </c>
      <c r="H43" s="147">
        <f t="shared" ref="H43:N43" si="16">SUM(H35:H42)</f>
        <v>34308933.041763246</v>
      </c>
      <c r="I43" s="147">
        <f t="shared" si="16"/>
        <v>37814167.306366317</v>
      </c>
      <c r="J43" s="147">
        <f t="shared" si="16"/>
        <v>41901513.031941682</v>
      </c>
      <c r="K43" s="147">
        <f t="shared" si="16"/>
        <v>46570981.149573572</v>
      </c>
      <c r="L43" s="147">
        <f t="shared" si="16"/>
        <v>51822582.885485537</v>
      </c>
      <c r="M43" s="147">
        <f t="shared" si="16"/>
        <v>57656329.769009121</v>
      </c>
      <c r="N43" s="147">
        <f t="shared" si="16"/>
        <v>64072233.640767843</v>
      </c>
    </row>
    <row r="44" spans="2:14" x14ac:dyDescent="0.25">
      <c r="B44" s="148"/>
      <c r="C44" s="148"/>
      <c r="D44" s="148"/>
      <c r="E44" s="148"/>
      <c r="F44" s="148"/>
      <c r="G44" s="148"/>
      <c r="H44" s="149"/>
      <c r="I44" s="149"/>
      <c r="J44" s="149"/>
      <c r="K44" s="149"/>
      <c r="L44" s="149"/>
      <c r="M44" s="149"/>
      <c r="N44" s="149"/>
    </row>
    <row r="45" spans="2:14" x14ac:dyDescent="0.25">
      <c r="B45" s="148"/>
      <c r="C45" s="148"/>
      <c r="D45" s="148"/>
      <c r="E45" s="148"/>
      <c r="F45" s="148"/>
      <c r="G45" s="148"/>
      <c r="H45" s="149"/>
      <c r="I45" s="149"/>
      <c r="J45" s="149"/>
      <c r="K45" s="149"/>
      <c r="L45" s="149"/>
      <c r="M45" s="149"/>
      <c r="N45" s="149"/>
    </row>
    <row r="46" spans="2:14" x14ac:dyDescent="0.25">
      <c r="B46" s="148" t="s">
        <v>160</v>
      </c>
      <c r="C46" s="148"/>
      <c r="D46" s="148"/>
      <c r="E46" s="148"/>
      <c r="F46" s="148"/>
      <c r="G46" s="148"/>
      <c r="H46" s="149"/>
      <c r="I46" s="149"/>
      <c r="J46" s="149"/>
      <c r="K46" s="149"/>
      <c r="L46" s="149"/>
      <c r="M46" s="149"/>
      <c r="N46" s="149"/>
    </row>
    <row r="47" spans="2:14" ht="30" x14ac:dyDescent="0.25">
      <c r="B47" s="150" t="s">
        <v>161</v>
      </c>
      <c r="C47" s="151">
        <f>C43+C46</f>
        <v>-19449326</v>
      </c>
      <c r="D47" s="151">
        <f>D43+D46</f>
        <v>-7420422.2253043614</v>
      </c>
      <c r="E47" s="151">
        <f>E43+E46</f>
        <v>27293262.368512418</v>
      </c>
      <c r="F47" s="151">
        <f>F43+F46</f>
        <v>29048809.200481724</v>
      </c>
      <c r="G47" s="151">
        <f>G43+G46</f>
        <v>31385799.594428204</v>
      </c>
      <c r="H47" s="151">
        <f>H43+H46</f>
        <v>34308933.041763246</v>
      </c>
      <c r="I47" s="151">
        <f>I43+I46</f>
        <v>37814167.306366317</v>
      </c>
      <c r="J47" s="151">
        <f>J43+J46</f>
        <v>41901513.031941682</v>
      </c>
      <c r="K47" s="151">
        <f>K43+K46</f>
        <v>46570981.149573572</v>
      </c>
      <c r="L47" s="151">
        <f>L43+L46</f>
        <v>51822582.885485537</v>
      </c>
      <c r="M47" s="151">
        <f>M43+M46</f>
        <v>57656329.769009121</v>
      </c>
      <c r="N47" s="151">
        <f>N43+N46</f>
        <v>64072233.640767843</v>
      </c>
    </row>
    <row r="48" spans="2:14" x14ac:dyDescent="0.25">
      <c r="B48" s="148" t="s">
        <v>162</v>
      </c>
      <c r="C48" s="152">
        <v>0.17</v>
      </c>
      <c r="D48" s="148"/>
      <c r="E48" s="148"/>
      <c r="F48" s="148"/>
      <c r="G48" s="148"/>
      <c r="H48" s="149"/>
      <c r="I48" s="149"/>
      <c r="J48" s="149"/>
      <c r="K48" s="149"/>
      <c r="L48" s="149"/>
      <c r="M48" s="149"/>
      <c r="N48" s="149"/>
    </row>
    <row r="49" spans="2:14" x14ac:dyDescent="0.25">
      <c r="B49" s="148" t="s">
        <v>163</v>
      </c>
      <c r="C49" s="148"/>
      <c r="D49" s="148"/>
      <c r="E49" s="148"/>
      <c r="F49" s="148"/>
      <c r="G49" s="148"/>
      <c r="H49" s="149"/>
      <c r="I49" s="149"/>
      <c r="J49" s="149"/>
      <c r="K49" s="149"/>
      <c r="L49" s="149"/>
      <c r="M49" s="149"/>
      <c r="N49" s="149"/>
    </row>
    <row r="50" spans="2:14" x14ac:dyDescent="0.25">
      <c r="B50" s="148" t="s">
        <v>164</v>
      </c>
      <c r="C50" s="153">
        <f>NPV(C48,D47:N47)+C47</f>
        <v>122648028.07078606</v>
      </c>
      <c r="D50" s="148"/>
      <c r="E50" s="148"/>
      <c r="F50" s="148"/>
      <c r="G50" s="148"/>
      <c r="H50" s="149"/>
      <c r="I50" s="149"/>
      <c r="J50" s="149"/>
      <c r="K50" s="149"/>
      <c r="L50" s="149"/>
      <c r="M50" s="149"/>
      <c r="N50" s="149"/>
    </row>
    <row r="51" spans="2:14" x14ac:dyDescent="0.25">
      <c r="B51" s="148" t="s">
        <v>32</v>
      </c>
      <c r="C51" s="154">
        <f>IRR(C47:N47)</f>
        <v>0.73785932605494042</v>
      </c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</row>
    <row r="52" spans="2:14" x14ac:dyDescent="0.25">
      <c r="B52" s="131"/>
      <c r="C52" s="131"/>
      <c r="D52" s="131"/>
      <c r="E52" s="131"/>
      <c r="F52" s="131"/>
      <c r="G52" s="131"/>
      <c r="H52" s="155"/>
      <c r="I52" s="155"/>
      <c r="J52" s="155"/>
      <c r="K52" s="155"/>
      <c r="L52" s="155"/>
      <c r="M52" s="155"/>
      <c r="N52" s="155"/>
    </row>
    <row r="53" spans="2:14" x14ac:dyDescent="0.25">
      <c r="B53" s="131"/>
      <c r="C53" s="131"/>
      <c r="D53" s="131"/>
      <c r="E53" s="131"/>
      <c r="F53" s="131"/>
      <c r="G53" s="131"/>
      <c r="H53" s="155"/>
      <c r="I53" s="155"/>
      <c r="J53" s="155"/>
      <c r="K53" s="155"/>
      <c r="L53" s="155"/>
      <c r="M53" s="155"/>
      <c r="N53" s="155"/>
    </row>
    <row r="54" spans="2:14" x14ac:dyDescent="0.25">
      <c r="B54" s="131"/>
      <c r="C54" s="131"/>
      <c r="D54" s="131"/>
      <c r="E54" s="131"/>
      <c r="F54" s="131"/>
      <c r="G54" s="131"/>
      <c r="H54" s="155"/>
      <c r="I54" s="155"/>
      <c r="J54" s="155"/>
      <c r="K54" s="155"/>
      <c r="L54" s="155"/>
      <c r="M54" s="155"/>
      <c r="N54" s="155"/>
    </row>
  </sheetData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BA45-2774-461E-B9D6-B225373DE484}">
  <dimension ref="B3:K40"/>
  <sheetViews>
    <sheetView workbookViewId="0">
      <selection activeCell="G15" sqref="G15"/>
    </sheetView>
  </sheetViews>
  <sheetFormatPr baseColWidth="10" defaultRowHeight="15" x14ac:dyDescent="0.25"/>
  <cols>
    <col min="2" max="2" width="11.42578125" style="14"/>
    <col min="3" max="3" width="12.5703125" style="100" bestFit="1" customWidth="1"/>
    <col min="4" max="4" width="18.140625" style="101" customWidth="1"/>
    <col min="5" max="5" width="8.42578125" style="100" customWidth="1"/>
    <col min="6" max="6" width="17.28515625" style="100" bestFit="1" customWidth="1"/>
    <col min="7" max="7" width="17" style="14" bestFit="1" customWidth="1"/>
  </cols>
  <sheetData>
    <row r="3" spans="3:11" x14ac:dyDescent="0.25">
      <c r="D3" s="145" t="s">
        <v>122</v>
      </c>
      <c r="E3" s="145"/>
      <c r="F3" s="145"/>
    </row>
    <row r="5" spans="3:11" x14ac:dyDescent="0.25">
      <c r="C5" s="112"/>
      <c r="D5" s="113" t="s">
        <v>101</v>
      </c>
      <c r="F5" s="112"/>
      <c r="G5" s="118" t="s">
        <v>100</v>
      </c>
    </row>
    <row r="6" spans="3:11" x14ac:dyDescent="0.25">
      <c r="C6" s="112" t="s">
        <v>71</v>
      </c>
      <c r="D6" s="114">
        <v>18938000</v>
      </c>
      <c r="F6" s="112"/>
      <c r="G6" s="112"/>
    </row>
    <row r="7" spans="3:11" x14ac:dyDescent="0.25">
      <c r="C7" s="112"/>
      <c r="D7" s="115"/>
      <c r="F7" s="112"/>
      <c r="G7" s="112"/>
    </row>
    <row r="8" spans="3:11" x14ac:dyDescent="0.25">
      <c r="C8" s="112"/>
      <c r="D8" s="113" t="s">
        <v>102</v>
      </c>
      <c r="F8" s="112"/>
      <c r="G8" s="118" t="s">
        <v>105</v>
      </c>
    </row>
    <row r="9" spans="3:11" x14ac:dyDescent="0.25">
      <c r="C9" s="112" t="s">
        <v>104</v>
      </c>
      <c r="D9" s="116">
        <v>7000000</v>
      </c>
      <c r="F9" s="112" t="s">
        <v>106</v>
      </c>
      <c r="G9" s="119">
        <f>'4. AMORTIZACION'!H5</f>
        <v>18938000</v>
      </c>
    </row>
    <row r="10" spans="3:11" x14ac:dyDescent="0.25">
      <c r="C10" s="112" t="s">
        <v>103</v>
      </c>
      <c r="D10" s="116">
        <v>3000000</v>
      </c>
      <c r="F10" s="112"/>
      <c r="G10" s="119"/>
    </row>
    <row r="11" spans="3:11" x14ac:dyDescent="0.25">
      <c r="C11" s="112"/>
      <c r="D11" s="116"/>
      <c r="F11" s="112"/>
      <c r="G11" s="119"/>
      <c r="J11" s="102">
        <v>0.1</v>
      </c>
      <c r="K11" t="s">
        <v>111</v>
      </c>
    </row>
    <row r="12" spans="3:11" x14ac:dyDescent="0.25">
      <c r="C12" s="117" t="s">
        <v>107</v>
      </c>
      <c r="D12" s="116">
        <f>+D6+D9+D10</f>
        <v>28938000</v>
      </c>
      <c r="F12" s="117" t="s">
        <v>109</v>
      </c>
      <c r="G12" s="119">
        <f>G9</f>
        <v>18938000</v>
      </c>
      <c r="J12" s="102">
        <v>0.01</v>
      </c>
    </row>
    <row r="13" spans="3:11" x14ac:dyDescent="0.25">
      <c r="J13" s="102">
        <v>0.33</v>
      </c>
      <c r="K13" t="s">
        <v>110</v>
      </c>
    </row>
    <row r="14" spans="3:11" x14ac:dyDescent="0.25">
      <c r="F14" s="112"/>
      <c r="G14" s="118" t="s">
        <v>117</v>
      </c>
    </row>
    <row r="15" spans="3:11" x14ac:dyDescent="0.25">
      <c r="F15" s="117" t="s">
        <v>118</v>
      </c>
      <c r="G15" s="119">
        <f>D12-G9</f>
        <v>10000000</v>
      </c>
    </row>
    <row r="16" spans="3:11" x14ac:dyDescent="0.25">
      <c r="F16" s="112"/>
      <c r="G16" s="120"/>
    </row>
    <row r="17" spans="3:7" x14ac:dyDescent="0.25">
      <c r="F17" s="117" t="s">
        <v>108</v>
      </c>
      <c r="G17" s="121">
        <f>+D12-G9</f>
        <v>10000000</v>
      </c>
    </row>
    <row r="20" spans="3:7" x14ac:dyDescent="0.25">
      <c r="D20" s="145"/>
      <c r="E20" s="145"/>
      <c r="F20" s="145"/>
    </row>
    <row r="22" spans="3:7" x14ac:dyDescent="0.25">
      <c r="C22" s="126"/>
    </row>
    <row r="25" spans="3:7" x14ac:dyDescent="0.25">
      <c r="C25" s="126"/>
    </row>
    <row r="30" spans="3:7" x14ac:dyDescent="0.25">
      <c r="C30" s="126"/>
    </row>
    <row r="35" spans="3:3" x14ac:dyDescent="0.25">
      <c r="C35" s="126"/>
    </row>
    <row r="40" spans="3:3" x14ac:dyDescent="0.25">
      <c r="C40" s="127"/>
    </row>
  </sheetData>
  <mergeCells count="2">
    <mergeCell ref="D3:F3"/>
    <mergeCell ref="D20:F2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1.RECURSO HUMANO</vt:lpstr>
      <vt:lpstr>2.INVERSION</vt:lpstr>
      <vt:lpstr>3.COSTOS-GASTOS</vt:lpstr>
      <vt:lpstr>4. AMORTIZACION</vt:lpstr>
      <vt:lpstr>6. FLUJO DE CAJA</vt:lpstr>
      <vt:lpstr>5.BALANCE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2022-10-08T01:32:14Z</dcterms:created>
  <dcterms:modified xsi:type="dcterms:W3CDTF">2023-07-31T02:31:06Z</dcterms:modified>
</cp:coreProperties>
</file>