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driana\Documents\"/>
    </mc:Choice>
  </mc:AlternateContent>
  <xr:revisionPtr revIDLastSave="0" documentId="8_{6F748382-43A0-469A-96BF-A6B02926335F}" xr6:coauthVersionLast="47" xr6:coauthVersionMax="47" xr10:uidLastSave="{00000000-0000-0000-0000-000000000000}"/>
  <bookViews>
    <workbookView xWindow="780" yWindow="0" windowWidth="14865" windowHeight="10920" tabRatio="806" firstSheet="3" activeTab="3" xr2:uid="{00000000-000D-0000-FFFF-FFFF00000000}"/>
  </bookViews>
  <sheets>
    <sheet name="Inicio" sheetId="7" r:id="rId1"/>
    <sheet name="Estados Financieros" sheetId="1" r:id="rId2"/>
    <sheet name="Proyecciones" sheetId="2" r:id="rId3"/>
    <sheet name="Indicadores" sheetId="11" r:id="rId4"/>
    <sheet name="Valoración Sin Estrategia" sheetId="3" r:id="rId5"/>
    <sheet name="Estrategias Operativas" sheetId="4" r:id="rId6"/>
    <sheet name="Proyecciones + Estrategia" sheetId="5" r:id="rId7"/>
    <sheet name="Valoración + Estrategia" sheetId="6" r:id="rId8"/>
    <sheet name="Indicador Altman" sheetId="8" r:id="rId9"/>
    <sheet name="Springate" sheetId="9" r:id="rId10"/>
    <sheet name="Análisis gráfico" sheetId="12" r:id="rId11"/>
  </sheets>
  <externalReferences>
    <externalReference r:id="rId12"/>
    <externalReference r:id="rId13"/>
  </externalReferences>
  <calcPr calcId="191029"/>
</workbook>
</file>

<file path=xl/calcChain.xml><?xml version="1.0" encoding="utf-8"?>
<calcChain xmlns="http://schemas.openxmlformats.org/spreadsheetml/2006/main">
  <c r="J22" i="11" l="1"/>
  <c r="J23" i="11"/>
  <c r="O46" i="5"/>
  <c r="K58" i="1"/>
  <c r="B29" i="12"/>
  <c r="C29" i="12"/>
  <c r="D29" i="12"/>
  <c r="E29" i="12"/>
  <c r="A29" i="12"/>
  <c r="B28" i="12"/>
  <c r="C28" i="12"/>
  <c r="D28" i="12"/>
  <c r="E28" i="12"/>
  <c r="A28" i="12"/>
  <c r="B27" i="12"/>
  <c r="C27" i="12"/>
  <c r="D27" i="12"/>
  <c r="E27" i="12"/>
  <c r="A27" i="12"/>
  <c r="F19" i="11"/>
  <c r="K39" i="5" l="1"/>
  <c r="N37" i="5"/>
  <c r="M37" i="5"/>
  <c r="L37" i="5"/>
  <c r="K37" i="5"/>
  <c r="K44" i="5"/>
  <c r="K33" i="5"/>
  <c r="J37" i="5"/>
  <c r="C173" i="5"/>
  <c r="E173" i="5"/>
  <c r="C174" i="5"/>
  <c r="C175" i="5" s="1"/>
  <c r="C176" i="5" s="1"/>
  <c r="C177" i="5" s="1"/>
  <c r="C178" i="5" s="1"/>
  <c r="C179" i="5" s="1"/>
  <c r="C180" i="5" s="1"/>
  <c r="C181" i="5" s="1"/>
  <c r="C182" i="5" s="1"/>
  <c r="C183" i="5" s="1"/>
  <c r="C184" i="5" s="1"/>
  <c r="C185" i="5" s="1"/>
  <c r="C186" i="5" s="1"/>
  <c r="C187" i="5" s="1"/>
  <c r="C188" i="5" s="1"/>
  <c r="C189" i="5" s="1"/>
  <c r="C190" i="5" s="1"/>
  <c r="C191" i="5" s="1"/>
  <c r="C192" i="5" s="1"/>
  <c r="C193" i="5" s="1"/>
  <c r="C194" i="5" s="1"/>
  <c r="C195" i="5" s="1"/>
  <c r="C196" i="5" s="1"/>
  <c r="C197" i="5" s="1"/>
  <c r="C198" i="5" s="1"/>
  <c r="C199" i="5" s="1"/>
  <c r="C200" i="5" s="1"/>
  <c r="C201" i="5" s="1"/>
  <c r="C202" i="5" s="1"/>
  <c r="C203" i="5" s="1"/>
  <c r="C204" i="5" s="1"/>
  <c r="C205" i="5" s="1"/>
  <c r="C206" i="5" s="1"/>
  <c r="C207" i="5" s="1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60" i="5"/>
  <c r="C162" i="5"/>
  <c r="C163" i="5"/>
  <c r="C164" i="5" s="1"/>
  <c r="C165" i="5" s="1"/>
  <c r="C166" i="5" s="1"/>
  <c r="C167" i="5" s="1"/>
  <c r="C168" i="5" s="1"/>
  <c r="C169" i="5" s="1"/>
  <c r="C170" i="5" s="1"/>
  <c r="C171" i="5" s="1"/>
  <c r="C172" i="5" s="1"/>
  <c r="D160" i="5"/>
  <c r="C161" i="5"/>
  <c r="C160" i="5"/>
  <c r="B160" i="5"/>
  <c r="A162" i="5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161" i="5"/>
  <c r="F160" i="5" l="1"/>
  <c r="G160" i="5" s="1"/>
  <c r="B161" i="5" s="1"/>
  <c r="D161" i="5" l="1"/>
  <c r="F161" i="5" s="1"/>
  <c r="G161" i="5" s="1"/>
  <c r="B162" i="5" s="1"/>
  <c r="D162" i="5" l="1"/>
  <c r="F162" i="5" s="1"/>
  <c r="G162" i="5"/>
  <c r="B163" i="5" s="1"/>
  <c r="D163" i="5" s="1"/>
  <c r="F163" i="5" s="1"/>
  <c r="G163" i="5" s="1"/>
  <c r="B164" i="5" s="1"/>
  <c r="D164" i="5" l="1"/>
  <c r="F164" i="5" s="1"/>
  <c r="G164" i="5" l="1"/>
  <c r="B165" i="5" s="1"/>
  <c r="D165" i="5" l="1"/>
  <c r="F165" i="5" s="1"/>
  <c r="G165" i="5" l="1"/>
  <c r="B166" i="5" s="1"/>
  <c r="D166" i="5"/>
  <c r="F166" i="5" s="1"/>
  <c r="G166" i="5" l="1"/>
  <c r="B167" i="5" s="1"/>
  <c r="D167" i="5" l="1"/>
  <c r="F167" i="5" s="1"/>
  <c r="G167" i="5"/>
  <c r="B168" i="5" s="1"/>
  <c r="D168" i="5" l="1"/>
  <c r="F168" i="5" s="1"/>
  <c r="G168" i="5" l="1"/>
  <c r="B169" i="5" s="1"/>
  <c r="D169" i="5" l="1"/>
  <c r="F169" i="5" s="1"/>
  <c r="G169" i="5"/>
  <c r="B170" i="5" s="1"/>
  <c r="D170" i="5" l="1"/>
  <c r="F170" i="5" s="1"/>
  <c r="G170" i="5" l="1"/>
  <c r="B171" i="5" s="1"/>
  <c r="D171" i="5" l="1"/>
  <c r="F171" i="5" s="1"/>
  <c r="G171" i="5"/>
  <c r="B172" i="5" s="1"/>
  <c r="D172" i="5" l="1"/>
  <c r="F172" i="5" s="1"/>
  <c r="G172" i="5" l="1"/>
  <c r="B173" i="5" s="1"/>
  <c r="D173" i="5" s="1"/>
  <c r="F173" i="5" s="1"/>
  <c r="G173" i="5" s="1"/>
  <c r="B174" i="5" s="1"/>
  <c r="D174" i="5" l="1"/>
  <c r="F174" i="5" s="1"/>
  <c r="G174" i="5"/>
  <c r="B175" i="5" s="1"/>
  <c r="D175" i="5" l="1"/>
  <c r="F175" i="5" s="1"/>
  <c r="G175" i="5" l="1"/>
  <c r="B176" i="5" s="1"/>
  <c r="D176" i="5" l="1"/>
  <c r="F176" i="5" s="1"/>
  <c r="G176" i="5" l="1"/>
  <c r="B177" i="5" s="1"/>
  <c r="D177" i="5" l="1"/>
  <c r="F177" i="5" s="1"/>
  <c r="G177" i="5"/>
  <c r="B178" i="5" s="1"/>
  <c r="D178" i="5" l="1"/>
  <c r="F178" i="5" s="1"/>
  <c r="G178" i="5"/>
  <c r="B179" i="5" s="1"/>
  <c r="D179" i="5" l="1"/>
  <c r="F179" i="5" s="1"/>
  <c r="G179" i="5"/>
  <c r="B180" i="5" s="1"/>
  <c r="D180" i="5" l="1"/>
  <c r="F180" i="5" s="1"/>
  <c r="G180" i="5"/>
  <c r="B181" i="5" s="1"/>
  <c r="D181" i="5" l="1"/>
  <c r="F181" i="5" s="1"/>
  <c r="G181" i="5"/>
  <c r="B182" i="5" s="1"/>
  <c r="D182" i="5" l="1"/>
  <c r="F182" i="5" s="1"/>
  <c r="G182" i="5"/>
  <c r="B183" i="5" s="1"/>
  <c r="D183" i="5" l="1"/>
  <c r="F183" i="5" s="1"/>
  <c r="G183" i="5"/>
  <c r="B184" i="5" s="1"/>
  <c r="B116" i="12"/>
  <c r="C116" i="12"/>
  <c r="D116" i="12"/>
  <c r="E116" i="12"/>
  <c r="A116" i="12"/>
  <c r="D19" i="8"/>
  <c r="E19" i="8"/>
  <c r="F19" i="8"/>
  <c r="G19" i="8"/>
  <c r="C19" i="8"/>
  <c r="D184" i="5" l="1"/>
  <c r="F184" i="5" s="1"/>
  <c r="D20" i="8"/>
  <c r="E20" i="8"/>
  <c r="F20" i="8"/>
  <c r="G20" i="8"/>
  <c r="C20" i="8"/>
  <c r="D18" i="8"/>
  <c r="E18" i="8"/>
  <c r="F18" i="8"/>
  <c r="G18" i="8"/>
  <c r="C18" i="8"/>
  <c r="D17" i="8"/>
  <c r="E17" i="8"/>
  <c r="F17" i="8"/>
  <c r="G17" i="8"/>
  <c r="C17" i="8"/>
  <c r="D16" i="8"/>
  <c r="E16" i="8"/>
  <c r="F16" i="8"/>
  <c r="G16" i="8"/>
  <c r="C16" i="8"/>
  <c r="D15" i="8"/>
  <c r="E15" i="8"/>
  <c r="F15" i="8"/>
  <c r="G15" i="8"/>
  <c r="C15" i="8"/>
  <c r="C24" i="8" s="1"/>
  <c r="D14" i="8"/>
  <c r="E14" i="8"/>
  <c r="F14" i="8"/>
  <c r="G14" i="8"/>
  <c r="C14" i="8"/>
  <c r="C22" i="8" s="1"/>
  <c r="B99" i="12"/>
  <c r="C99" i="12"/>
  <c r="D99" i="12"/>
  <c r="E99" i="12"/>
  <c r="A99" i="12"/>
  <c r="B98" i="12"/>
  <c r="C98" i="12"/>
  <c r="D98" i="12"/>
  <c r="E98" i="12"/>
  <c r="A98" i="12"/>
  <c r="B83" i="12"/>
  <c r="C83" i="12"/>
  <c r="D83" i="12"/>
  <c r="E83" i="12"/>
  <c r="A83" i="12"/>
  <c r="B82" i="12"/>
  <c r="C82" i="12"/>
  <c r="D82" i="12"/>
  <c r="E82" i="12"/>
  <c r="A82" i="12"/>
  <c r="B81" i="12"/>
  <c r="C81" i="12"/>
  <c r="D81" i="12"/>
  <c r="E81" i="12"/>
  <c r="A81" i="12"/>
  <c r="B65" i="12"/>
  <c r="C65" i="12"/>
  <c r="D65" i="12"/>
  <c r="E65" i="12"/>
  <c r="A65" i="12"/>
  <c r="B64" i="12"/>
  <c r="C64" i="12"/>
  <c r="D64" i="12"/>
  <c r="E64" i="12"/>
  <c r="A64" i="12"/>
  <c r="B63" i="12"/>
  <c r="C63" i="12"/>
  <c r="D63" i="12"/>
  <c r="E63" i="12"/>
  <c r="A63" i="12"/>
  <c r="A21" i="12"/>
  <c r="B21" i="12"/>
  <c r="C21" i="12"/>
  <c r="D21" i="12"/>
  <c r="E21" i="12"/>
  <c r="A22" i="12"/>
  <c r="B22" i="12"/>
  <c r="C22" i="12"/>
  <c r="D22" i="12"/>
  <c r="E22" i="12"/>
  <c r="A23" i="12"/>
  <c r="B23" i="12"/>
  <c r="C23" i="12"/>
  <c r="D23" i="12"/>
  <c r="E23" i="12"/>
  <c r="G184" i="5" l="1"/>
  <c r="B185" i="5" s="1"/>
  <c r="C23" i="8"/>
  <c r="C26" i="8"/>
  <c r="D185" i="5" l="1"/>
  <c r="F185" i="5" s="1"/>
  <c r="G185" i="5"/>
  <c r="B186" i="5" s="1"/>
  <c r="T17" i="2"/>
  <c r="U17" i="2"/>
  <c r="V17" i="2"/>
  <c r="W17" i="2"/>
  <c r="X17" i="2"/>
  <c r="Y17" i="2"/>
  <c r="Z17" i="2"/>
  <c r="AA17" i="2"/>
  <c r="AB17" i="2"/>
  <c r="S17" i="2"/>
  <c r="G75" i="1"/>
  <c r="J73" i="1"/>
  <c r="J75" i="1" s="1"/>
  <c r="I73" i="1"/>
  <c r="I75" i="1" s="1"/>
  <c r="H73" i="1"/>
  <c r="H75" i="1" s="1"/>
  <c r="G73" i="1"/>
  <c r="F73" i="1"/>
  <c r="F75" i="1" s="1"/>
  <c r="J67" i="1"/>
  <c r="F67" i="1"/>
  <c r="J64" i="1"/>
  <c r="I64" i="1"/>
  <c r="I67" i="1" s="1"/>
  <c r="H64" i="1"/>
  <c r="H67" i="1" s="1"/>
  <c r="G64" i="1"/>
  <c r="G67" i="1" s="1"/>
  <c r="F64" i="1"/>
  <c r="J24" i="1"/>
  <c r="I24" i="1"/>
  <c r="H24" i="1"/>
  <c r="G24" i="1"/>
  <c r="F24" i="1"/>
  <c r="J17" i="1"/>
  <c r="I17" i="1"/>
  <c r="H17" i="1"/>
  <c r="G17" i="1"/>
  <c r="F17" i="1"/>
  <c r="J35" i="1"/>
  <c r="I35" i="1"/>
  <c r="H35" i="1"/>
  <c r="G35" i="1"/>
  <c r="F35" i="1"/>
  <c r="J50" i="1"/>
  <c r="I50" i="1"/>
  <c r="H50" i="1"/>
  <c r="G50" i="1"/>
  <c r="F50" i="1"/>
  <c r="D186" i="5" l="1"/>
  <c r="F186" i="5" s="1"/>
  <c r="G186" i="5"/>
  <c r="B187" i="5" s="1"/>
  <c r="X18" i="2"/>
  <c r="D187" i="5" l="1"/>
  <c r="F187" i="5" s="1"/>
  <c r="Z16" i="2"/>
  <c r="Y16" i="2"/>
  <c r="AA16" i="2"/>
  <c r="AB16" i="2"/>
  <c r="G187" i="5" l="1"/>
  <c r="B188" i="5" s="1"/>
  <c r="D188" i="5" s="1"/>
  <c r="F188" i="5" s="1"/>
  <c r="G188" i="5" s="1"/>
  <c r="B189" i="5" s="1"/>
  <c r="G19" i="9"/>
  <c r="F19" i="9"/>
  <c r="E19" i="9"/>
  <c r="D19" i="9"/>
  <c r="C19" i="9"/>
  <c r="G18" i="9"/>
  <c r="F18" i="9"/>
  <c r="E18" i="9"/>
  <c r="D18" i="9"/>
  <c r="C18" i="9"/>
  <c r="G17" i="9"/>
  <c r="F17" i="9"/>
  <c r="E17" i="9"/>
  <c r="D17" i="9"/>
  <c r="D23" i="9" s="1"/>
  <c r="C17" i="9"/>
  <c r="G16" i="9"/>
  <c r="F16" i="9"/>
  <c r="E16" i="9"/>
  <c r="D16" i="9"/>
  <c r="C16" i="9"/>
  <c r="G15" i="9"/>
  <c r="F15" i="9"/>
  <c r="E15" i="9"/>
  <c r="D15" i="9"/>
  <c r="C15" i="9"/>
  <c r="G14" i="9"/>
  <c r="G21" i="9" s="1"/>
  <c r="F14" i="9"/>
  <c r="E14" i="9"/>
  <c r="D14" i="9"/>
  <c r="C14" i="9"/>
  <c r="C21" i="9" s="1"/>
  <c r="D25" i="8"/>
  <c r="F22" i="8"/>
  <c r="D189" i="5" l="1"/>
  <c r="F189" i="5" s="1"/>
  <c r="G189" i="5"/>
  <c r="B190" i="5" s="1"/>
  <c r="E21" i="9"/>
  <c r="C22" i="9"/>
  <c r="G22" i="9"/>
  <c r="F21" i="9"/>
  <c r="D22" i="9"/>
  <c r="E24" i="9"/>
  <c r="E22" i="9"/>
  <c r="C23" i="9"/>
  <c r="G23" i="9"/>
  <c r="F24" i="9"/>
  <c r="D21" i="9"/>
  <c r="F22" i="9"/>
  <c r="E23" i="9"/>
  <c r="C24" i="9"/>
  <c r="G24" i="9"/>
  <c r="F23" i="9"/>
  <c r="D24" i="9"/>
  <c r="G22" i="8"/>
  <c r="G26" i="8"/>
  <c r="C25" i="8"/>
  <c r="C28" i="8" s="1"/>
  <c r="C34" i="8" s="1"/>
  <c r="D26" i="8"/>
  <c r="D22" i="8"/>
  <c r="D23" i="8"/>
  <c r="G24" i="8"/>
  <c r="E22" i="8"/>
  <c r="F25" i="8"/>
  <c r="E23" i="8"/>
  <c r="D24" i="8"/>
  <c r="G25" i="8"/>
  <c r="F23" i="8"/>
  <c r="F28" i="8" s="1"/>
  <c r="E24" i="8"/>
  <c r="F26" i="8"/>
  <c r="E25" i="8"/>
  <c r="G23" i="8"/>
  <c r="F24" i="8"/>
  <c r="E26" i="8"/>
  <c r="D190" i="5" l="1"/>
  <c r="F190" i="5" s="1"/>
  <c r="G190" i="5"/>
  <c r="B191" i="5" s="1"/>
  <c r="D28" i="8"/>
  <c r="G28" i="8"/>
  <c r="G34" i="8" s="1"/>
  <c r="E28" i="8"/>
  <c r="E26" i="9"/>
  <c r="E27" i="9" s="1"/>
  <c r="G26" i="9"/>
  <c r="G27" i="9" s="1"/>
  <c r="D26" i="9"/>
  <c r="D27" i="9" s="1"/>
  <c r="F26" i="9"/>
  <c r="F27" i="9" s="1"/>
  <c r="C26" i="9"/>
  <c r="C27" i="9" s="1"/>
  <c r="D34" i="8"/>
  <c r="F29" i="8"/>
  <c r="D191" i="5" l="1"/>
  <c r="F191" i="5" s="1"/>
  <c r="G191" i="5"/>
  <c r="B192" i="5" s="1"/>
  <c r="D192" i="5" s="1"/>
  <c r="F192" i="5" s="1"/>
  <c r="G192" i="5" s="1"/>
  <c r="B193" i="5" s="1"/>
  <c r="D29" i="8"/>
  <c r="F34" i="8"/>
  <c r="G29" i="8"/>
  <c r="C29" i="8"/>
  <c r="E34" i="8"/>
  <c r="E29" i="8"/>
  <c r="D193" i="5" l="1"/>
  <c r="F193" i="5" s="1"/>
  <c r="G193" i="5"/>
  <c r="B194" i="5" s="1"/>
  <c r="D194" i="5" s="1"/>
  <c r="F194" i="5" s="1"/>
  <c r="G194" i="5" s="1"/>
  <c r="B195" i="5" s="1"/>
  <c r="J59" i="5"/>
  <c r="I59" i="5"/>
  <c r="H59" i="5"/>
  <c r="G59" i="5"/>
  <c r="F59" i="5"/>
  <c r="J58" i="5"/>
  <c r="I58" i="5"/>
  <c r="H58" i="5"/>
  <c r="G58" i="5"/>
  <c r="F58" i="5"/>
  <c r="J57" i="5"/>
  <c r="I57" i="5"/>
  <c r="H57" i="5"/>
  <c r="G57" i="5"/>
  <c r="F57" i="5"/>
  <c r="J54" i="5"/>
  <c r="I54" i="5"/>
  <c r="H54" i="5"/>
  <c r="G54" i="5"/>
  <c r="F54" i="5"/>
  <c r="J53" i="5"/>
  <c r="I53" i="5"/>
  <c r="H53" i="5"/>
  <c r="G53" i="5"/>
  <c r="F53" i="5"/>
  <c r="J51" i="5"/>
  <c r="I51" i="5"/>
  <c r="H51" i="5"/>
  <c r="G51" i="5"/>
  <c r="F51" i="5"/>
  <c r="J50" i="5"/>
  <c r="I50" i="5"/>
  <c r="I52" i="5" s="1"/>
  <c r="H50" i="5"/>
  <c r="G50" i="5"/>
  <c r="F50" i="5"/>
  <c r="K14" i="2"/>
  <c r="D195" i="5" l="1"/>
  <c r="F195" i="5" s="1"/>
  <c r="G195" i="5"/>
  <c r="B196" i="5" s="1"/>
  <c r="I55" i="5"/>
  <c r="H46" i="5"/>
  <c r="J46" i="5"/>
  <c r="I46" i="5"/>
  <c r="F46" i="5"/>
  <c r="G46" i="5"/>
  <c r="F52" i="5"/>
  <c r="F55" i="5" s="1"/>
  <c r="H52" i="5"/>
  <c r="H55" i="5" s="1"/>
  <c r="G52" i="5"/>
  <c r="G55" i="5" s="1"/>
  <c r="J52" i="5"/>
  <c r="J55" i="5" s="1"/>
  <c r="D196" i="5" l="1"/>
  <c r="F196" i="5" s="1"/>
  <c r="G196" i="5"/>
  <c r="B197" i="5" s="1"/>
  <c r="J65" i="2"/>
  <c r="J36" i="11" s="1"/>
  <c r="I65" i="2"/>
  <c r="I36" i="11" s="1"/>
  <c r="H65" i="2"/>
  <c r="H36" i="11" s="1"/>
  <c r="G65" i="2"/>
  <c r="G36" i="11" s="1"/>
  <c r="F65" i="2"/>
  <c r="F36" i="11" s="1"/>
  <c r="J62" i="2"/>
  <c r="J37" i="11" s="1"/>
  <c r="I62" i="2"/>
  <c r="I37" i="11" s="1"/>
  <c r="H62" i="2"/>
  <c r="H37" i="11" s="1"/>
  <c r="G62" i="2"/>
  <c r="G37" i="11" s="1"/>
  <c r="J61" i="2"/>
  <c r="I61" i="2"/>
  <c r="H61" i="2"/>
  <c r="G61" i="2"/>
  <c r="J60" i="2"/>
  <c r="I60" i="2"/>
  <c r="H60" i="2"/>
  <c r="G60" i="2"/>
  <c r="F62" i="2"/>
  <c r="F37" i="11" s="1"/>
  <c r="F61" i="2"/>
  <c r="F60" i="2"/>
  <c r="J57" i="2"/>
  <c r="I57" i="2"/>
  <c r="H57" i="2"/>
  <c r="G57" i="2"/>
  <c r="J56" i="2"/>
  <c r="I56" i="2"/>
  <c r="H56" i="2"/>
  <c r="G56" i="2"/>
  <c r="F57" i="2"/>
  <c r="F56" i="2"/>
  <c r="J54" i="2"/>
  <c r="I54" i="2"/>
  <c r="H54" i="2"/>
  <c r="G54" i="2"/>
  <c r="J53" i="2"/>
  <c r="I53" i="2"/>
  <c r="H53" i="2"/>
  <c r="G53" i="2"/>
  <c r="F54" i="2"/>
  <c r="F53" i="2"/>
  <c r="D197" i="5" l="1"/>
  <c r="F197" i="5" s="1"/>
  <c r="G197" i="5"/>
  <c r="B198" i="5" s="1"/>
  <c r="D198" i="5" s="1"/>
  <c r="F198" i="5" s="1"/>
  <c r="G198" i="5" s="1"/>
  <c r="B199" i="5" s="1"/>
  <c r="D199" i="5"/>
  <c r="F199" i="5" s="1"/>
  <c r="J72" i="2"/>
  <c r="J44" i="11" s="1"/>
  <c r="I72" i="2"/>
  <c r="I44" i="11" s="1"/>
  <c r="H72" i="2"/>
  <c r="H44" i="11" s="1"/>
  <c r="G72" i="2"/>
  <c r="G44" i="11" s="1"/>
  <c r="J71" i="2"/>
  <c r="J43" i="11" s="1"/>
  <c r="I71" i="2"/>
  <c r="I43" i="11" s="1"/>
  <c r="H71" i="2"/>
  <c r="H43" i="11" s="1"/>
  <c r="G71" i="2"/>
  <c r="G43" i="11" s="1"/>
  <c r="F72" i="2"/>
  <c r="F44" i="11" s="1"/>
  <c r="F71" i="2"/>
  <c r="F43" i="11" s="1"/>
  <c r="F26" i="1"/>
  <c r="H26" i="1"/>
  <c r="M14" i="1" s="1"/>
  <c r="I26" i="1"/>
  <c r="N20" i="1" s="1"/>
  <c r="J26" i="1"/>
  <c r="O23" i="1" s="1"/>
  <c r="L10" i="1"/>
  <c r="G26" i="1"/>
  <c r="F40" i="1"/>
  <c r="G40" i="1"/>
  <c r="H40" i="1"/>
  <c r="I40" i="1"/>
  <c r="J40" i="1"/>
  <c r="K45" i="1"/>
  <c r="L45" i="1"/>
  <c r="M49" i="1"/>
  <c r="N49" i="1"/>
  <c r="O49" i="1"/>
  <c r="H79" i="1"/>
  <c r="I79" i="1"/>
  <c r="J79" i="1"/>
  <c r="K62" i="1"/>
  <c r="L62" i="1"/>
  <c r="M62" i="1"/>
  <c r="N62" i="1"/>
  <c r="O62" i="1"/>
  <c r="K63" i="1"/>
  <c r="L63" i="1"/>
  <c r="M63" i="1"/>
  <c r="N63" i="1"/>
  <c r="O63" i="1"/>
  <c r="V63" i="1"/>
  <c r="K67" i="1"/>
  <c r="L64" i="1"/>
  <c r="K64" i="1"/>
  <c r="V64" i="1"/>
  <c r="K65" i="1"/>
  <c r="L65" i="1"/>
  <c r="M65" i="1"/>
  <c r="N65" i="1"/>
  <c r="O65" i="1"/>
  <c r="K66" i="1"/>
  <c r="L66" i="1"/>
  <c r="M66" i="1"/>
  <c r="N66" i="1"/>
  <c r="O66" i="1"/>
  <c r="Z68" i="1"/>
  <c r="K69" i="1"/>
  <c r="L69" i="1"/>
  <c r="M69" i="1"/>
  <c r="N69" i="1"/>
  <c r="O69" i="1"/>
  <c r="Z69" i="1"/>
  <c r="K70" i="1"/>
  <c r="L70" i="1"/>
  <c r="M70" i="1"/>
  <c r="N70" i="1"/>
  <c r="O70" i="1"/>
  <c r="K71" i="1"/>
  <c r="L71" i="1"/>
  <c r="M71" i="1"/>
  <c r="N71" i="1"/>
  <c r="O71" i="1"/>
  <c r="K74" i="1"/>
  <c r="L74" i="1"/>
  <c r="M74" i="1"/>
  <c r="N74" i="1"/>
  <c r="O74" i="1"/>
  <c r="F79" i="1"/>
  <c r="G79" i="1"/>
  <c r="G199" i="5" l="1"/>
  <c r="B200" i="5" s="1"/>
  <c r="V65" i="1"/>
  <c r="P63" i="1"/>
  <c r="S63" i="1" s="1"/>
  <c r="P69" i="1"/>
  <c r="S67" i="1" s="1"/>
  <c r="V67" i="1" s="1"/>
  <c r="P70" i="1"/>
  <c r="P66" i="1"/>
  <c r="K60" i="1"/>
  <c r="P62" i="1"/>
  <c r="S62" i="1" s="1"/>
  <c r="V62" i="1" s="1"/>
  <c r="V66" i="1" s="1"/>
  <c r="P71" i="1"/>
  <c r="P74" i="1"/>
  <c r="S69" i="1" s="1"/>
  <c r="V69" i="1" s="1"/>
  <c r="P65" i="1"/>
  <c r="L49" i="1"/>
  <c r="O48" i="1"/>
  <c r="N48" i="1"/>
  <c r="K48" i="1"/>
  <c r="K49" i="1"/>
  <c r="K46" i="1"/>
  <c r="J42" i="1"/>
  <c r="O39" i="1" s="1"/>
  <c r="I42" i="1"/>
  <c r="N39" i="1" s="1"/>
  <c r="H42" i="1"/>
  <c r="M29" i="1" s="1"/>
  <c r="G42" i="1"/>
  <c r="L34" i="1" s="1"/>
  <c r="F42" i="1"/>
  <c r="K38" i="1" s="1"/>
  <c r="L32" i="1"/>
  <c r="N23" i="1"/>
  <c r="M23" i="1"/>
  <c r="M20" i="1"/>
  <c r="M67" i="1"/>
  <c r="O67" i="1"/>
  <c r="L14" i="1"/>
  <c r="L21" i="1"/>
  <c r="L15" i="1"/>
  <c r="L12" i="1"/>
  <c r="L22" i="1"/>
  <c r="L19" i="1"/>
  <c r="L16" i="1"/>
  <c r="L13" i="1"/>
  <c r="L23" i="1"/>
  <c r="L20" i="1"/>
  <c r="N67" i="1"/>
  <c r="Y68" i="1"/>
  <c r="AA68" i="1" s="1"/>
  <c r="K21" i="1"/>
  <c r="K15" i="1"/>
  <c r="K12" i="1"/>
  <c r="K22" i="1"/>
  <c r="K19" i="1"/>
  <c r="K16" i="1"/>
  <c r="K13" i="1"/>
  <c r="K14" i="1"/>
  <c r="K23" i="1"/>
  <c r="K20" i="1"/>
  <c r="L60" i="1"/>
  <c r="M10" i="1"/>
  <c r="O13" i="1"/>
  <c r="O64" i="1"/>
  <c r="M48" i="1"/>
  <c r="O16" i="1"/>
  <c r="N13" i="1"/>
  <c r="N64" i="1"/>
  <c r="L48" i="1"/>
  <c r="O19" i="1"/>
  <c r="N16" i="1"/>
  <c r="M13" i="1"/>
  <c r="M64" i="1"/>
  <c r="O22" i="1"/>
  <c r="N19" i="1"/>
  <c r="M16" i="1"/>
  <c r="O46" i="1"/>
  <c r="N22" i="1"/>
  <c r="M19" i="1"/>
  <c r="N46" i="1"/>
  <c r="L38" i="1"/>
  <c r="M22" i="1"/>
  <c r="O12" i="1"/>
  <c r="M46" i="1"/>
  <c r="O34" i="1"/>
  <c r="O15" i="1"/>
  <c r="N12" i="1"/>
  <c r="L46" i="1"/>
  <c r="N15" i="1"/>
  <c r="M12" i="1"/>
  <c r="O21" i="1"/>
  <c r="M15" i="1"/>
  <c r="O45" i="1"/>
  <c r="N21" i="1"/>
  <c r="N45" i="1"/>
  <c r="M21" i="1"/>
  <c r="M45" i="1"/>
  <c r="O14" i="1"/>
  <c r="N14" i="1"/>
  <c r="O20" i="1"/>
  <c r="I177" i="6"/>
  <c r="D200" i="5" l="1"/>
  <c r="F200" i="5" s="1"/>
  <c r="G200" i="5"/>
  <c r="B201" i="5" s="1"/>
  <c r="L31" i="1"/>
  <c r="L30" i="1"/>
  <c r="S68" i="1"/>
  <c r="V68" i="1" s="1"/>
  <c r="K39" i="1"/>
  <c r="S64" i="1"/>
  <c r="Y69" i="1" s="1"/>
  <c r="AA69" i="1" s="1"/>
  <c r="N50" i="1"/>
  <c r="M34" i="1"/>
  <c r="M39" i="1"/>
  <c r="M31" i="1"/>
  <c r="M30" i="1"/>
  <c r="O30" i="1"/>
  <c r="M32" i="1"/>
  <c r="H52" i="1"/>
  <c r="H54" i="1" s="1"/>
  <c r="M37" i="1"/>
  <c r="O31" i="1"/>
  <c r="K24" i="1"/>
  <c r="M38" i="1"/>
  <c r="L67" i="1"/>
  <c r="P67" i="1" s="1"/>
  <c r="P64" i="1"/>
  <c r="L50" i="1"/>
  <c r="K50" i="1"/>
  <c r="N32" i="1"/>
  <c r="I52" i="1"/>
  <c r="I54" i="1" s="1"/>
  <c r="N37" i="1"/>
  <c r="L39" i="1"/>
  <c r="N29" i="1"/>
  <c r="O38" i="1"/>
  <c r="O32" i="1"/>
  <c r="J52" i="1"/>
  <c r="J54" i="1" s="1"/>
  <c r="G52" i="1"/>
  <c r="G54" i="1" s="1"/>
  <c r="O29" i="1"/>
  <c r="N34" i="1"/>
  <c r="L37" i="1"/>
  <c r="L40" i="1" s="1"/>
  <c r="O37" i="1"/>
  <c r="N31" i="1"/>
  <c r="K30" i="1"/>
  <c r="L29" i="1"/>
  <c r="L35" i="1" s="1"/>
  <c r="N30" i="1"/>
  <c r="N38" i="1"/>
  <c r="K37" i="1"/>
  <c r="K32" i="1"/>
  <c r="K29" i="1"/>
  <c r="K34" i="1"/>
  <c r="K31" i="1"/>
  <c r="F52" i="1"/>
  <c r="F54" i="1" s="1"/>
  <c r="M24" i="1"/>
  <c r="L24" i="1"/>
  <c r="K73" i="1"/>
  <c r="K75" i="1"/>
  <c r="L17" i="1"/>
  <c r="K17" i="1"/>
  <c r="N24" i="1"/>
  <c r="O50" i="1"/>
  <c r="O75" i="1"/>
  <c r="O73" i="1"/>
  <c r="N75" i="1"/>
  <c r="N73" i="1"/>
  <c r="O17" i="1"/>
  <c r="M60" i="1"/>
  <c r="N10" i="1"/>
  <c r="M73" i="1"/>
  <c r="M75" i="1"/>
  <c r="O24" i="1"/>
  <c r="N17" i="1"/>
  <c r="M50" i="1"/>
  <c r="M17" i="1"/>
  <c r="V70" i="1"/>
  <c r="I85" i="6"/>
  <c r="H85" i="6"/>
  <c r="J68" i="6"/>
  <c r="I68" i="6"/>
  <c r="H68" i="6"/>
  <c r="G68" i="6"/>
  <c r="F68" i="6"/>
  <c r="F23" i="6"/>
  <c r="F20" i="6"/>
  <c r="F17" i="6"/>
  <c r="F27" i="6" s="1"/>
  <c r="F14" i="6"/>
  <c r="F24" i="6" s="1"/>
  <c r="F13" i="6"/>
  <c r="J109" i="5"/>
  <c r="I109" i="5"/>
  <c r="H109" i="5"/>
  <c r="G109" i="5"/>
  <c r="F109" i="5"/>
  <c r="J108" i="5"/>
  <c r="I108" i="5"/>
  <c r="H108" i="5"/>
  <c r="G108" i="5"/>
  <c r="F108" i="5"/>
  <c r="J102" i="5"/>
  <c r="I102" i="5"/>
  <c r="H102" i="5"/>
  <c r="G102" i="5"/>
  <c r="F102" i="5"/>
  <c r="J101" i="5"/>
  <c r="I101" i="5"/>
  <c r="H101" i="5"/>
  <c r="G101" i="5"/>
  <c r="F101" i="5"/>
  <c r="K69" i="5"/>
  <c r="K109" i="5" s="1"/>
  <c r="F67" i="6" s="1"/>
  <c r="K68" i="5"/>
  <c r="H124" i="5"/>
  <c r="G124" i="5"/>
  <c r="I37" i="5"/>
  <c r="H37" i="5"/>
  <c r="G37" i="5"/>
  <c r="F37" i="5"/>
  <c r="J34" i="5"/>
  <c r="J142" i="5" s="1"/>
  <c r="I34" i="5"/>
  <c r="I142" i="5" s="1"/>
  <c r="H34" i="5"/>
  <c r="H142" i="5" s="1"/>
  <c r="G34" i="5"/>
  <c r="G142" i="5" s="1"/>
  <c r="F34" i="5"/>
  <c r="J33" i="5"/>
  <c r="I33" i="5"/>
  <c r="H33" i="5"/>
  <c r="G33" i="5"/>
  <c r="F33" i="5"/>
  <c r="J27" i="5"/>
  <c r="K27" i="5" s="1"/>
  <c r="I27" i="5"/>
  <c r="H27" i="5"/>
  <c r="G27" i="5"/>
  <c r="F27" i="5"/>
  <c r="F94" i="5" s="1"/>
  <c r="J24" i="5"/>
  <c r="I24" i="5"/>
  <c r="I140" i="5" s="1"/>
  <c r="H24" i="5"/>
  <c r="H140" i="5" s="1"/>
  <c r="G24" i="5"/>
  <c r="G140" i="5" s="1"/>
  <c r="F24" i="5"/>
  <c r="F140" i="5" s="1"/>
  <c r="J23" i="5"/>
  <c r="J141" i="5" s="1"/>
  <c r="I23" i="5"/>
  <c r="I141" i="5" s="1"/>
  <c r="H23" i="5"/>
  <c r="H141" i="5" s="1"/>
  <c r="G23" i="5"/>
  <c r="G141" i="5" s="1"/>
  <c r="F23" i="5"/>
  <c r="F141" i="5" s="1"/>
  <c r="J15" i="5"/>
  <c r="I15" i="5"/>
  <c r="H15" i="5"/>
  <c r="G15" i="5"/>
  <c r="F15" i="5"/>
  <c r="I21" i="5"/>
  <c r="J37" i="4"/>
  <c r="J24" i="4"/>
  <c r="J19" i="4"/>
  <c r="J14" i="4"/>
  <c r="G180" i="3"/>
  <c r="J179" i="3"/>
  <c r="I179" i="3"/>
  <c r="L105" i="3"/>
  <c r="L104" i="6" s="1"/>
  <c r="I86" i="3"/>
  <c r="H86" i="3"/>
  <c r="J69" i="3"/>
  <c r="I69" i="3"/>
  <c r="H69" i="3"/>
  <c r="G69" i="3"/>
  <c r="F69" i="3"/>
  <c r="F24" i="3"/>
  <c r="F21" i="3"/>
  <c r="F18" i="3"/>
  <c r="F28" i="3" s="1"/>
  <c r="F15" i="3"/>
  <c r="F25" i="3" s="1"/>
  <c r="F14" i="3"/>
  <c r="K72" i="2"/>
  <c r="K71" i="2"/>
  <c r="J55" i="2"/>
  <c r="I55" i="2"/>
  <c r="H55" i="2"/>
  <c r="G55" i="2"/>
  <c r="F55" i="2"/>
  <c r="I51" i="2"/>
  <c r="I70" i="2" s="1"/>
  <c r="I14" i="11" s="1"/>
  <c r="I21" i="11" s="1"/>
  <c r="H51" i="2"/>
  <c r="H70" i="2" s="1"/>
  <c r="H14" i="11" s="1"/>
  <c r="H21" i="11" s="1"/>
  <c r="G51" i="2"/>
  <c r="G70" i="2" s="1"/>
  <c r="G14" i="11" s="1"/>
  <c r="G21" i="11" s="1"/>
  <c r="I45" i="2"/>
  <c r="I72" i="11" s="1"/>
  <c r="F45" i="2"/>
  <c r="F72" i="11" s="1"/>
  <c r="J40" i="2"/>
  <c r="I40" i="2"/>
  <c r="H40" i="2"/>
  <c r="G40" i="2"/>
  <c r="F40" i="2"/>
  <c r="J38" i="2"/>
  <c r="J37" i="2"/>
  <c r="J77" i="11" s="1"/>
  <c r="I37" i="2"/>
  <c r="I77" i="11" s="1"/>
  <c r="H37" i="2"/>
  <c r="H77" i="11" s="1"/>
  <c r="G37" i="2"/>
  <c r="G77" i="11" s="1"/>
  <c r="F37" i="2"/>
  <c r="F77" i="11" s="1"/>
  <c r="J36" i="2"/>
  <c r="K36" i="2" s="1"/>
  <c r="I36" i="2"/>
  <c r="H36" i="2"/>
  <c r="G36" i="2"/>
  <c r="F36" i="2"/>
  <c r="J31" i="2"/>
  <c r="K31" i="2" s="1"/>
  <c r="H31" i="2"/>
  <c r="G31" i="2"/>
  <c r="F31" i="2"/>
  <c r="J30" i="2"/>
  <c r="I30" i="2"/>
  <c r="H30" i="2"/>
  <c r="G30" i="2"/>
  <c r="F30" i="2"/>
  <c r="F29" i="11" s="1"/>
  <c r="A95" i="12" s="1"/>
  <c r="J28" i="2"/>
  <c r="J27" i="2"/>
  <c r="J75" i="11" s="1"/>
  <c r="I27" i="2"/>
  <c r="I75" i="11" s="1"/>
  <c r="H27" i="2"/>
  <c r="H75" i="11" s="1"/>
  <c r="G27" i="2"/>
  <c r="G75" i="11" s="1"/>
  <c r="F27" i="2"/>
  <c r="F75" i="11" s="1"/>
  <c r="J26" i="2"/>
  <c r="I26" i="2"/>
  <c r="H26" i="2"/>
  <c r="G26" i="2"/>
  <c r="F26" i="2"/>
  <c r="O14" i="2"/>
  <c r="I35" i="4" s="1"/>
  <c r="I38" i="4" s="1"/>
  <c r="O15" i="5" s="1"/>
  <c r="N14" i="2"/>
  <c r="H35" i="4" s="1"/>
  <c r="H38" i="4" s="1"/>
  <c r="N15" i="5" s="1"/>
  <c r="M14" i="2"/>
  <c r="G35" i="4" s="1"/>
  <c r="G38" i="4" s="1"/>
  <c r="M15" i="5" s="1"/>
  <c r="L14" i="2"/>
  <c r="F35" i="4" s="1"/>
  <c r="F38" i="4" s="1"/>
  <c r="L15" i="5" s="1"/>
  <c r="E35" i="4"/>
  <c r="E38" i="4" s="1"/>
  <c r="E39" i="4" s="1"/>
  <c r="K50" i="5" s="1"/>
  <c r="J14" i="2"/>
  <c r="I14" i="2"/>
  <c r="H14" i="2"/>
  <c r="G14" i="2"/>
  <c r="F14" i="2"/>
  <c r="F12" i="6"/>
  <c r="H24" i="2"/>
  <c r="U15" i="2" s="1"/>
  <c r="G24" i="2"/>
  <c r="T15" i="2" s="1"/>
  <c r="F24" i="2"/>
  <c r="S15" i="2" s="1"/>
  <c r="I48" i="5"/>
  <c r="I67" i="5" s="1"/>
  <c r="I79" i="5" s="1"/>
  <c r="I86" i="5" s="1"/>
  <c r="I99" i="5" s="1"/>
  <c r="I122" i="5" s="1"/>
  <c r="I147" i="5" s="1"/>
  <c r="H48" i="5"/>
  <c r="H67" i="5" s="1"/>
  <c r="H79" i="5" s="1"/>
  <c r="H86" i="5" s="1"/>
  <c r="H99" i="5" s="1"/>
  <c r="H122" i="5" s="1"/>
  <c r="H147" i="5" s="1"/>
  <c r="G48" i="5"/>
  <c r="G67" i="5" s="1"/>
  <c r="G79" i="5" s="1"/>
  <c r="G86" i="5" s="1"/>
  <c r="G99" i="5" s="1"/>
  <c r="G122" i="5" s="1"/>
  <c r="G147" i="5" s="1"/>
  <c r="F48" i="5"/>
  <c r="F67" i="5" s="1"/>
  <c r="F79" i="5" s="1"/>
  <c r="F86" i="5" s="1"/>
  <c r="F99" i="5" s="1"/>
  <c r="F122" i="5" s="1"/>
  <c r="F147" i="5" s="1"/>
  <c r="J42" i="5"/>
  <c r="I42" i="5"/>
  <c r="I137" i="5" s="1"/>
  <c r="H42" i="5"/>
  <c r="H137" i="5" s="1"/>
  <c r="G42" i="5"/>
  <c r="G137" i="5" s="1"/>
  <c r="F42" i="5"/>
  <c r="F137" i="5" s="1"/>
  <c r="J35" i="5"/>
  <c r="I35" i="5"/>
  <c r="H35" i="5"/>
  <c r="G35" i="5"/>
  <c r="F35" i="5"/>
  <c r="J28" i="5"/>
  <c r="I28" i="5"/>
  <c r="H28" i="5"/>
  <c r="G28" i="5"/>
  <c r="F28" i="5"/>
  <c r="J25" i="5"/>
  <c r="I25" i="5"/>
  <c r="D201" i="5" l="1"/>
  <c r="F201" i="5" s="1"/>
  <c r="D94" i="12"/>
  <c r="D97" i="12" s="1"/>
  <c r="D76" i="12"/>
  <c r="D80" i="12" s="1"/>
  <c r="C76" i="12"/>
  <c r="C80" i="12" s="1"/>
  <c r="C94" i="12"/>
  <c r="C97" i="12" s="1"/>
  <c r="B76" i="12"/>
  <c r="B80" i="12" s="1"/>
  <c r="B94" i="12"/>
  <c r="B97" i="12" s="1"/>
  <c r="H34" i="11"/>
  <c r="H57" i="11" s="1"/>
  <c r="H82" i="11" s="1"/>
  <c r="C40" i="12"/>
  <c r="I34" i="11"/>
  <c r="I57" i="11" s="1"/>
  <c r="I82" i="11" s="1"/>
  <c r="D40" i="12"/>
  <c r="G34" i="11"/>
  <c r="G57" i="11" s="1"/>
  <c r="G82" i="11" s="1"/>
  <c r="B40" i="12"/>
  <c r="K114" i="5"/>
  <c r="L27" i="5"/>
  <c r="M27" i="5" s="1"/>
  <c r="N27" i="5" s="1"/>
  <c r="O27" i="5" s="1"/>
  <c r="I58" i="2"/>
  <c r="I64" i="2" s="1"/>
  <c r="I66" i="2" s="1"/>
  <c r="I59" i="11"/>
  <c r="H49" i="11"/>
  <c r="H29" i="11"/>
  <c r="C95" i="12" s="1"/>
  <c r="J58" i="2"/>
  <c r="J64" i="2" s="1"/>
  <c r="J59" i="11"/>
  <c r="H76" i="11"/>
  <c r="H78" i="11" s="1"/>
  <c r="H26" i="11"/>
  <c r="H74" i="11"/>
  <c r="J64" i="11"/>
  <c r="J66" i="11"/>
  <c r="J65" i="11"/>
  <c r="J17" i="11"/>
  <c r="I49" i="11"/>
  <c r="I29" i="11"/>
  <c r="D95" i="12" s="1"/>
  <c r="G58" i="2"/>
  <c r="G64" i="2" s="1"/>
  <c r="G66" i="2" s="1"/>
  <c r="G59" i="11"/>
  <c r="K43" i="11"/>
  <c r="F67" i="3" s="1"/>
  <c r="F26" i="11"/>
  <c r="F28" i="11" s="1"/>
  <c r="A77" i="12" s="1"/>
  <c r="F76" i="11"/>
  <c r="F78" i="11" s="1"/>
  <c r="F74" i="11"/>
  <c r="K26" i="2"/>
  <c r="J26" i="11"/>
  <c r="J76" i="11"/>
  <c r="J78" i="11" s="1"/>
  <c r="J74" i="11"/>
  <c r="G49" i="11"/>
  <c r="G29" i="11"/>
  <c r="B95" i="12" s="1"/>
  <c r="G76" i="11"/>
  <c r="G78" i="11" s="1"/>
  <c r="G26" i="11"/>
  <c r="G74" i="11"/>
  <c r="F58" i="2"/>
  <c r="F59" i="11"/>
  <c r="I76" i="11"/>
  <c r="I78" i="11" s="1"/>
  <c r="I26" i="11"/>
  <c r="I74" i="11"/>
  <c r="K30" i="2"/>
  <c r="K49" i="11" s="1"/>
  <c r="F73" i="3" s="1"/>
  <c r="J49" i="11"/>
  <c r="J29" i="11"/>
  <c r="E95" i="12" s="1"/>
  <c r="H58" i="2"/>
  <c r="H59" i="11"/>
  <c r="K44" i="11"/>
  <c r="F68" i="3" s="1"/>
  <c r="F15" i="6"/>
  <c r="K40" i="1"/>
  <c r="F142" i="5"/>
  <c r="F91" i="5"/>
  <c r="F93" i="5" s="1"/>
  <c r="J86" i="3"/>
  <c r="J96" i="3" s="1"/>
  <c r="F25" i="6"/>
  <c r="F28" i="6" s="1"/>
  <c r="J85" i="6"/>
  <c r="J95" i="6" s="1"/>
  <c r="O35" i="1"/>
  <c r="M35" i="1"/>
  <c r="M40" i="1"/>
  <c r="F18" i="6"/>
  <c r="K35" i="1"/>
  <c r="S65" i="1"/>
  <c r="S66" i="1" s="1"/>
  <c r="S70" i="1" s="1"/>
  <c r="K27" i="2"/>
  <c r="K53" i="2"/>
  <c r="I124" i="5"/>
  <c r="O40" i="1"/>
  <c r="N35" i="1"/>
  <c r="K28" i="2"/>
  <c r="F26" i="3"/>
  <c r="F29" i="3" s="1"/>
  <c r="J124" i="5"/>
  <c r="L73" i="1"/>
  <c r="P73" i="1" s="1"/>
  <c r="L75" i="1"/>
  <c r="P75" i="1" s="1"/>
  <c r="L31" i="2"/>
  <c r="M31" i="2" s="1"/>
  <c r="N31" i="2" s="1"/>
  <c r="O31" i="2" s="1"/>
  <c r="L26" i="2"/>
  <c r="F16" i="3"/>
  <c r="F19" i="3" s="1"/>
  <c r="L72" i="2"/>
  <c r="L71" i="2"/>
  <c r="N40" i="1"/>
  <c r="I114" i="5"/>
  <c r="G114" i="5"/>
  <c r="N60" i="1"/>
  <c r="O10" i="1"/>
  <c r="O60" i="1" s="1"/>
  <c r="H114" i="5"/>
  <c r="I24" i="2"/>
  <c r="V15" i="2" s="1"/>
  <c r="J24" i="2"/>
  <c r="F21" i="5"/>
  <c r="H21" i="5"/>
  <c r="F143" i="5"/>
  <c r="G143" i="5"/>
  <c r="H143" i="5"/>
  <c r="I143" i="5"/>
  <c r="K37" i="2"/>
  <c r="F198" i="6"/>
  <c r="J48" i="5"/>
  <c r="J67" i="5" s="1"/>
  <c r="J79" i="5" s="1"/>
  <c r="J86" i="5" s="1"/>
  <c r="J99" i="5" s="1"/>
  <c r="J122" i="5" s="1"/>
  <c r="J147" i="5" s="1"/>
  <c r="J51" i="2"/>
  <c r="J70" i="2" s="1"/>
  <c r="J14" i="11" s="1"/>
  <c r="J21" i="11" s="1"/>
  <c r="D198" i="6"/>
  <c r="E198" i="6"/>
  <c r="F25" i="5"/>
  <c r="F28" i="2"/>
  <c r="G28" i="2"/>
  <c r="G25" i="5"/>
  <c r="F124" i="5"/>
  <c r="I39" i="5"/>
  <c r="I135" i="5" s="1"/>
  <c r="I42" i="2"/>
  <c r="H28" i="2"/>
  <c r="H25" i="5"/>
  <c r="F115" i="6"/>
  <c r="F116" i="3"/>
  <c r="J33" i="2"/>
  <c r="J39" i="5"/>
  <c r="H42" i="2"/>
  <c r="H39" i="5"/>
  <c r="J42" i="2"/>
  <c r="J68" i="11" s="1"/>
  <c r="I131" i="5"/>
  <c r="I82" i="5"/>
  <c r="I129" i="5"/>
  <c r="I130" i="5"/>
  <c r="I31" i="2"/>
  <c r="I88" i="5"/>
  <c r="I90" i="5" s="1"/>
  <c r="I125" i="5"/>
  <c r="J131" i="5"/>
  <c r="J82" i="5"/>
  <c r="J129" i="5"/>
  <c r="J130" i="5"/>
  <c r="J88" i="5"/>
  <c r="J90" i="5" s="1"/>
  <c r="J125" i="5"/>
  <c r="J61" i="5"/>
  <c r="F47" i="6" s="1"/>
  <c r="M71" i="2"/>
  <c r="I30" i="5"/>
  <c r="J30" i="5"/>
  <c r="K40" i="2"/>
  <c r="G45" i="2"/>
  <c r="G72" i="11" s="1"/>
  <c r="J21" i="5"/>
  <c r="K12" i="5"/>
  <c r="K15" i="5"/>
  <c r="J38" i="4"/>
  <c r="F116" i="6"/>
  <c r="F36" i="6"/>
  <c r="F117" i="3"/>
  <c r="F38" i="2"/>
  <c r="H45" i="2"/>
  <c r="H72" i="11" s="1"/>
  <c r="G38" i="2"/>
  <c r="L36" i="2"/>
  <c r="H38" i="2"/>
  <c r="J45" i="2"/>
  <c r="J72" i="11" s="1"/>
  <c r="I61" i="5"/>
  <c r="I63" i="5" s="1"/>
  <c r="J137" i="5"/>
  <c r="I38" i="2"/>
  <c r="F114" i="6"/>
  <c r="F115" i="3"/>
  <c r="F13" i="3"/>
  <c r="K38" i="2"/>
  <c r="K11" i="2"/>
  <c r="F37" i="3"/>
  <c r="K179" i="3"/>
  <c r="K108" i="5"/>
  <c r="F66" i="6" s="1"/>
  <c r="L68" i="5"/>
  <c r="L108" i="5" s="1"/>
  <c r="G66" i="6" s="1"/>
  <c r="I28" i="2"/>
  <c r="F51" i="2"/>
  <c r="F70" i="2" s="1"/>
  <c r="F14" i="11" s="1"/>
  <c r="F21" i="11" s="1"/>
  <c r="G21" i="5"/>
  <c r="J140" i="5"/>
  <c r="J143" i="5" s="1"/>
  <c r="F139" i="5"/>
  <c r="G139" i="5"/>
  <c r="L69" i="5"/>
  <c r="M69" i="5" s="1"/>
  <c r="G94" i="5"/>
  <c r="H139" i="5"/>
  <c r="H94" i="5"/>
  <c r="I139" i="5"/>
  <c r="I94" i="5"/>
  <c r="J139" i="5"/>
  <c r="G91" i="5"/>
  <c r="J94" i="5"/>
  <c r="J114" i="5"/>
  <c r="H91" i="5"/>
  <c r="I91" i="5"/>
  <c r="J91" i="5"/>
  <c r="G201" i="5" l="1"/>
  <c r="B202" i="5" s="1"/>
  <c r="A76" i="12"/>
  <c r="A80" i="12" s="1"/>
  <c r="A94" i="12"/>
  <c r="A97" i="12" s="1"/>
  <c r="E76" i="12"/>
  <c r="E80" i="12" s="1"/>
  <c r="E94" i="12"/>
  <c r="E97" i="12" s="1"/>
  <c r="J34" i="11"/>
  <c r="J57" i="11" s="1"/>
  <c r="J82" i="11" s="1"/>
  <c r="E40" i="12"/>
  <c r="F34" i="11"/>
  <c r="F57" i="11" s="1"/>
  <c r="F82" i="11" s="1"/>
  <c r="A40" i="12"/>
  <c r="F64" i="11"/>
  <c r="L30" i="2"/>
  <c r="L49" i="11" s="1"/>
  <c r="G83" i="11"/>
  <c r="G61" i="11"/>
  <c r="G35" i="11"/>
  <c r="G38" i="11" s="1"/>
  <c r="G62" i="11"/>
  <c r="G22" i="11"/>
  <c r="G24" i="11" s="1"/>
  <c r="F66" i="11"/>
  <c r="F65" i="11"/>
  <c r="F17" i="11"/>
  <c r="L44" i="11"/>
  <c r="G68" i="3" s="1"/>
  <c r="L28" i="2"/>
  <c r="K66" i="11"/>
  <c r="K64" i="11"/>
  <c r="K65" i="11"/>
  <c r="K17" i="11"/>
  <c r="K57" i="2"/>
  <c r="E25" i="4" s="1"/>
  <c r="K74" i="11"/>
  <c r="K29" i="11"/>
  <c r="I83" i="11"/>
  <c r="I62" i="11"/>
  <c r="I61" i="11"/>
  <c r="I35" i="11"/>
  <c r="I38" i="11" s="1"/>
  <c r="I22" i="11"/>
  <c r="I24" i="11" s="1"/>
  <c r="I27" i="11"/>
  <c r="I48" i="11" s="1"/>
  <c r="I50" i="11" s="1"/>
  <c r="I28" i="11"/>
  <c r="D77" i="12" s="1"/>
  <c r="H70" i="11"/>
  <c r="J28" i="11"/>
  <c r="E77" i="12" s="1"/>
  <c r="J27" i="11"/>
  <c r="J48" i="11" s="1"/>
  <c r="J50" i="11" s="1"/>
  <c r="G60" i="11"/>
  <c r="G23" i="11"/>
  <c r="G25" i="11" s="1"/>
  <c r="G16" i="11"/>
  <c r="B42" i="12" s="1"/>
  <c r="I69" i="11"/>
  <c r="H69" i="11"/>
  <c r="M43" i="11"/>
  <c r="H67" i="3" s="1"/>
  <c r="J85" i="11"/>
  <c r="J73" i="11"/>
  <c r="J84" i="11"/>
  <c r="G33" i="2"/>
  <c r="G15" i="11" s="1"/>
  <c r="G66" i="11"/>
  <c r="G64" i="11"/>
  <c r="G65" i="11"/>
  <c r="G17" i="11"/>
  <c r="M26" i="2"/>
  <c r="H64" i="2"/>
  <c r="H66" i="2" s="1"/>
  <c r="H23" i="11"/>
  <c r="H25" i="11" s="1"/>
  <c r="H60" i="11"/>
  <c r="K76" i="11"/>
  <c r="K26" i="11"/>
  <c r="I70" i="11"/>
  <c r="J60" i="11"/>
  <c r="J25" i="11"/>
  <c r="J16" i="11"/>
  <c r="I60" i="11"/>
  <c r="I23" i="11"/>
  <c r="I25" i="11" s="1"/>
  <c r="I16" i="11"/>
  <c r="D42" i="12" s="1"/>
  <c r="I65" i="11"/>
  <c r="I64" i="11"/>
  <c r="I66" i="11"/>
  <c r="I17" i="11"/>
  <c r="H66" i="11"/>
  <c r="H17" i="11"/>
  <c r="H65" i="11"/>
  <c r="H64" i="11"/>
  <c r="F23" i="11"/>
  <c r="F25" i="11" s="1"/>
  <c r="F30" i="11" s="1"/>
  <c r="F60" i="11"/>
  <c r="F64" i="2"/>
  <c r="F66" i="2" s="1"/>
  <c r="F35" i="6"/>
  <c r="W15" i="2"/>
  <c r="L43" i="11"/>
  <c r="G67" i="3" s="1"/>
  <c r="J70" i="11"/>
  <c r="G28" i="11"/>
  <c r="B77" i="12" s="1"/>
  <c r="G27" i="11"/>
  <c r="G48" i="11" s="1"/>
  <c r="G50" i="11" s="1"/>
  <c r="J69" i="11"/>
  <c r="H27" i="11"/>
  <c r="H48" i="11" s="1"/>
  <c r="H50" i="11" s="1"/>
  <c r="H28" i="11"/>
  <c r="C77" i="12" s="1"/>
  <c r="F33" i="2"/>
  <c r="K65" i="2"/>
  <c r="K60" i="2"/>
  <c r="K62" i="2"/>
  <c r="L53" i="2"/>
  <c r="L76" i="11" s="1"/>
  <c r="K61" i="2"/>
  <c r="F30" i="6"/>
  <c r="K54" i="2"/>
  <c r="K77" i="11" s="1"/>
  <c r="K56" i="2"/>
  <c r="E20" i="4" s="1"/>
  <c r="M72" i="2"/>
  <c r="F31" i="3"/>
  <c r="L27" i="2"/>
  <c r="K23" i="5"/>
  <c r="K35" i="5"/>
  <c r="K24" i="5"/>
  <c r="L24" i="5" s="1"/>
  <c r="K28" i="5"/>
  <c r="L28" i="5" s="1"/>
  <c r="M28" i="5" s="1"/>
  <c r="N28" i="5" s="1"/>
  <c r="O28" i="5" s="1"/>
  <c r="K42" i="5"/>
  <c r="L42" i="5" s="1"/>
  <c r="M42" i="5" s="1"/>
  <c r="N42" i="5" s="1"/>
  <c r="O42" i="5" s="1"/>
  <c r="K34" i="5"/>
  <c r="L34" i="5" s="1"/>
  <c r="L33" i="5"/>
  <c r="N71" i="2"/>
  <c r="F144" i="3"/>
  <c r="G36" i="6"/>
  <c r="G37" i="3"/>
  <c r="M109" i="5"/>
  <c r="H67" i="6" s="1"/>
  <c r="F72" i="6"/>
  <c r="G61" i="5"/>
  <c r="G63" i="5" s="1"/>
  <c r="G88" i="5"/>
  <c r="G90" i="5" s="1"/>
  <c r="G125" i="5"/>
  <c r="H44" i="5"/>
  <c r="F119" i="6"/>
  <c r="J180" i="3"/>
  <c r="F120" i="3"/>
  <c r="K45" i="2"/>
  <c r="K72" i="11" s="1"/>
  <c r="F37" i="6"/>
  <c r="F44" i="6" s="1"/>
  <c r="F38" i="3"/>
  <c r="F45" i="3" s="1"/>
  <c r="H135" i="5"/>
  <c r="F61" i="5"/>
  <c r="F63" i="5" s="1"/>
  <c r="F88" i="5"/>
  <c r="F90" i="5" s="1"/>
  <c r="F95" i="5" s="1"/>
  <c r="F125" i="5"/>
  <c r="M36" i="2"/>
  <c r="K25" i="5"/>
  <c r="J149" i="5"/>
  <c r="J138" i="5"/>
  <c r="J150" i="5"/>
  <c r="F57" i="6"/>
  <c r="L11" i="2"/>
  <c r="F58" i="3"/>
  <c r="F100" i="3" s="1"/>
  <c r="F132" i="3" s="1"/>
  <c r="F142" i="3" s="1"/>
  <c r="K24" i="2"/>
  <c r="X15" i="2" s="1"/>
  <c r="F39" i="4"/>
  <c r="F39" i="5"/>
  <c r="F42" i="2"/>
  <c r="G73" i="3"/>
  <c r="M30" i="2"/>
  <c r="M49" i="11" s="1"/>
  <c r="G198" i="6"/>
  <c r="C198" i="6"/>
  <c r="I81" i="5"/>
  <c r="I83" i="5" s="1"/>
  <c r="I47" i="2"/>
  <c r="G30" i="5"/>
  <c r="G131" i="5"/>
  <c r="G82" i="5"/>
  <c r="G129" i="5"/>
  <c r="G130" i="5"/>
  <c r="J133" i="5"/>
  <c r="J44" i="5"/>
  <c r="J134" i="5"/>
  <c r="I33" i="2"/>
  <c r="I68" i="11" s="1"/>
  <c r="K21" i="5"/>
  <c r="K48" i="5" s="1"/>
  <c r="K67" i="5" s="1"/>
  <c r="K79" i="5" s="1"/>
  <c r="K86" i="5" s="1"/>
  <c r="K99" i="5" s="1"/>
  <c r="K122" i="5" s="1"/>
  <c r="K147" i="5" s="1"/>
  <c r="L12" i="5"/>
  <c r="I149" i="5"/>
  <c r="I138" i="5"/>
  <c r="I150" i="5"/>
  <c r="J47" i="2"/>
  <c r="K47" i="2" s="1"/>
  <c r="L47" i="2" s="1"/>
  <c r="M47" i="2" s="1"/>
  <c r="N47" i="2" s="1"/>
  <c r="O47" i="2" s="1"/>
  <c r="K42" i="2"/>
  <c r="K33" i="2"/>
  <c r="I133" i="5"/>
  <c r="I44" i="5"/>
  <c r="I134" i="5"/>
  <c r="J178" i="3"/>
  <c r="G42" i="2"/>
  <c r="G39" i="5"/>
  <c r="L38" i="2"/>
  <c r="I93" i="5"/>
  <c r="I95" i="5" s="1"/>
  <c r="I92" i="5"/>
  <c r="I113" i="5" s="1"/>
  <c r="I115" i="5" s="1"/>
  <c r="H134" i="5"/>
  <c r="H47" i="2"/>
  <c r="I127" i="5"/>
  <c r="I80" i="5"/>
  <c r="I100" i="5"/>
  <c r="I103" i="5" s="1"/>
  <c r="I148" i="5"/>
  <c r="I126" i="5"/>
  <c r="I87" i="5"/>
  <c r="I89" i="5" s="1"/>
  <c r="J135" i="5"/>
  <c r="J63" i="5"/>
  <c r="L37" i="2"/>
  <c r="G93" i="5"/>
  <c r="G92" i="5"/>
  <c r="G113" i="5" s="1"/>
  <c r="G115" i="5" s="1"/>
  <c r="J92" i="5"/>
  <c r="J113" i="5" s="1"/>
  <c r="J115" i="5" s="1"/>
  <c r="J93" i="5"/>
  <c r="J95" i="5" s="1"/>
  <c r="N69" i="5"/>
  <c r="N109" i="5" s="1"/>
  <c r="I67" i="6" s="1"/>
  <c r="L109" i="5"/>
  <c r="G67" i="6" s="1"/>
  <c r="H88" i="5"/>
  <c r="H90" i="5" s="1"/>
  <c r="H125" i="5"/>
  <c r="H61" i="5"/>
  <c r="H63" i="5" s="1"/>
  <c r="M68" i="5"/>
  <c r="N68" i="5" s="1"/>
  <c r="N108" i="5" s="1"/>
  <c r="I66" i="6" s="1"/>
  <c r="L40" i="2"/>
  <c r="J81" i="5"/>
  <c r="J83" i="5" s="1"/>
  <c r="H30" i="5"/>
  <c r="H133" i="5" s="1"/>
  <c r="H131" i="5"/>
  <c r="H82" i="5"/>
  <c r="H129" i="5"/>
  <c r="H130" i="5"/>
  <c r="F130" i="5"/>
  <c r="F30" i="5"/>
  <c r="F131" i="5"/>
  <c r="F82" i="5"/>
  <c r="F129" i="5"/>
  <c r="J66" i="2"/>
  <c r="H93" i="5"/>
  <c r="H92" i="5"/>
  <c r="H113" i="5" s="1"/>
  <c r="H115" i="5" s="1"/>
  <c r="H33" i="2"/>
  <c r="H68" i="11" s="1"/>
  <c r="D202" i="5" l="1"/>
  <c r="F202" i="5" s="1"/>
  <c r="G202" i="5" s="1"/>
  <c r="B203" i="5" s="1"/>
  <c r="I30" i="11"/>
  <c r="J18" i="11"/>
  <c r="E42" i="12"/>
  <c r="I178" i="3"/>
  <c r="K85" i="11"/>
  <c r="G18" i="11"/>
  <c r="G19" i="11" s="1"/>
  <c r="F68" i="11"/>
  <c r="F70" i="11"/>
  <c r="F69" i="11"/>
  <c r="K28" i="11"/>
  <c r="K27" i="11"/>
  <c r="K48" i="11" s="1"/>
  <c r="K50" i="11" s="1"/>
  <c r="M28" i="2"/>
  <c r="L65" i="11"/>
  <c r="L64" i="11"/>
  <c r="L66" i="11"/>
  <c r="L17" i="11"/>
  <c r="J61" i="11"/>
  <c r="J24" i="11"/>
  <c r="J62" i="11"/>
  <c r="J35" i="11"/>
  <c r="J38" i="11" s="1"/>
  <c r="J15" i="11"/>
  <c r="J19" i="11" s="1"/>
  <c r="J83" i="11"/>
  <c r="J86" i="11" s="1"/>
  <c r="E31" i="4"/>
  <c r="K54" i="5" s="1"/>
  <c r="G68" i="11"/>
  <c r="G70" i="11"/>
  <c r="K75" i="11"/>
  <c r="K78" i="11" s="1"/>
  <c r="I18" i="11"/>
  <c r="J30" i="11"/>
  <c r="H83" i="11"/>
  <c r="H62" i="11"/>
  <c r="H61" i="11"/>
  <c r="H22" i="11"/>
  <c r="H24" i="11" s="1"/>
  <c r="H15" i="11"/>
  <c r="H35" i="11"/>
  <c r="H38" i="11" s="1"/>
  <c r="G85" i="11"/>
  <c r="G73" i="11"/>
  <c r="G84" i="11"/>
  <c r="K73" i="11"/>
  <c r="I85" i="11"/>
  <c r="I84" i="11"/>
  <c r="I73" i="11"/>
  <c r="L54" i="2"/>
  <c r="L55" i="2" s="1"/>
  <c r="L59" i="11" s="1"/>
  <c r="L74" i="11"/>
  <c r="L29" i="11"/>
  <c r="F85" i="11"/>
  <c r="F84" i="11"/>
  <c r="F73" i="11"/>
  <c r="F62" i="11"/>
  <c r="F22" i="11"/>
  <c r="F24" i="11" s="1"/>
  <c r="F83" i="11"/>
  <c r="F86" i="11" s="1"/>
  <c r="F35" i="11"/>
  <c r="F38" i="11" s="1"/>
  <c r="F15" i="11"/>
  <c r="F61" i="11"/>
  <c r="F16" i="11"/>
  <c r="K68" i="11"/>
  <c r="M27" i="2"/>
  <c r="K37" i="11"/>
  <c r="F61" i="3" s="1"/>
  <c r="K70" i="11"/>
  <c r="H30" i="11"/>
  <c r="N26" i="2"/>
  <c r="G30" i="11"/>
  <c r="I15" i="11"/>
  <c r="H36" i="6"/>
  <c r="H85" i="11"/>
  <c r="H84" i="11"/>
  <c r="H73" i="11"/>
  <c r="N43" i="11"/>
  <c r="I67" i="3" s="1"/>
  <c r="M44" i="11"/>
  <c r="H68" i="3" s="1"/>
  <c r="K36" i="11"/>
  <c r="F60" i="3" s="1"/>
  <c r="H16" i="11"/>
  <c r="L26" i="11"/>
  <c r="K69" i="11"/>
  <c r="I40" i="11"/>
  <c r="I41" i="11" s="1"/>
  <c r="I46" i="11" s="1"/>
  <c r="I52" i="11" s="1"/>
  <c r="F199" i="6" s="1"/>
  <c r="K84" i="11"/>
  <c r="G40" i="11"/>
  <c r="G41" i="11" s="1"/>
  <c r="G46" i="11" s="1"/>
  <c r="G52" i="11" s="1"/>
  <c r="D199" i="6" s="1"/>
  <c r="G69" i="11"/>
  <c r="N72" i="2"/>
  <c r="L61" i="2"/>
  <c r="L57" i="2"/>
  <c r="F25" i="4" s="1"/>
  <c r="L62" i="2"/>
  <c r="L56" i="2"/>
  <c r="F20" i="4" s="1"/>
  <c r="F30" i="4" s="1"/>
  <c r="L53" i="5" s="1"/>
  <c r="M53" i="2"/>
  <c r="M76" i="11" s="1"/>
  <c r="L60" i="2"/>
  <c r="L65" i="2"/>
  <c r="E15" i="4"/>
  <c r="E29" i="4" s="1"/>
  <c r="K51" i="5" s="1"/>
  <c r="K55" i="2"/>
  <c r="K59" i="11" s="1"/>
  <c r="F143" i="6"/>
  <c r="E30" i="4"/>
  <c r="K53" i="5" s="1"/>
  <c r="G143" i="6"/>
  <c r="K135" i="5"/>
  <c r="O71" i="2"/>
  <c r="G81" i="5"/>
  <c r="G83" i="5" s="1"/>
  <c r="F43" i="6"/>
  <c r="F45" i="6" s="1"/>
  <c r="I151" i="5"/>
  <c r="H37" i="3"/>
  <c r="G47" i="2"/>
  <c r="G149" i="5"/>
  <c r="G138" i="5"/>
  <c r="G150" i="5"/>
  <c r="K57" i="5"/>
  <c r="K94" i="5"/>
  <c r="K139" i="5"/>
  <c r="K59" i="5"/>
  <c r="K102" i="5" s="1"/>
  <c r="F60" i="6" s="1"/>
  <c r="K62" i="5"/>
  <c r="K137" i="5"/>
  <c r="K58" i="5"/>
  <c r="G144" i="3"/>
  <c r="K131" i="5"/>
  <c r="K82" i="5"/>
  <c r="K129" i="5"/>
  <c r="L25" i="5"/>
  <c r="K130" i="5"/>
  <c r="K30" i="5"/>
  <c r="M54" i="2"/>
  <c r="M55" i="2" s="1"/>
  <c r="M59" i="11" s="1"/>
  <c r="H149" i="5"/>
  <c r="H138" i="5"/>
  <c r="H150" i="5"/>
  <c r="F133" i="5"/>
  <c r="F44" i="5"/>
  <c r="F134" i="5"/>
  <c r="F135" i="5"/>
  <c r="G39" i="4"/>
  <c r="L50" i="5"/>
  <c r="K48" i="2"/>
  <c r="F133" i="3"/>
  <c r="L33" i="2"/>
  <c r="N30" i="2"/>
  <c r="N49" i="11" s="1"/>
  <c r="H73" i="3"/>
  <c r="G35" i="6"/>
  <c r="F36" i="3"/>
  <c r="K51" i="2"/>
  <c r="G95" i="5"/>
  <c r="M38" i="2"/>
  <c r="F134" i="3"/>
  <c r="L42" i="2"/>
  <c r="L69" i="11" s="1"/>
  <c r="G127" i="5"/>
  <c r="G80" i="5"/>
  <c r="G100" i="5"/>
  <c r="G103" i="5" s="1"/>
  <c r="G148" i="5"/>
  <c r="G126" i="5"/>
  <c r="G87" i="5"/>
  <c r="G89" i="5" s="1"/>
  <c r="J127" i="5"/>
  <c r="J80" i="5"/>
  <c r="J84" i="5" s="1"/>
  <c r="J100" i="5"/>
  <c r="J103" i="5" s="1"/>
  <c r="J148" i="5"/>
  <c r="J151" i="5" s="1"/>
  <c r="J126" i="5"/>
  <c r="J87" i="5"/>
  <c r="J89" i="5" s="1"/>
  <c r="K178" i="3"/>
  <c r="I84" i="5"/>
  <c r="F133" i="6"/>
  <c r="L39" i="5"/>
  <c r="K134" i="5"/>
  <c r="L35" i="5"/>
  <c r="G57" i="6"/>
  <c r="G58" i="3"/>
  <c r="L24" i="2"/>
  <c r="Y15" i="2" s="1"/>
  <c r="M11" i="2"/>
  <c r="M24" i="5"/>
  <c r="L45" i="2"/>
  <c r="L72" i="11" s="1"/>
  <c r="G37" i="6"/>
  <c r="G38" i="3"/>
  <c r="F47" i="2"/>
  <c r="M40" i="2"/>
  <c r="K141" i="5"/>
  <c r="K91" i="5"/>
  <c r="L23" i="5"/>
  <c r="F99" i="6"/>
  <c r="F131" i="6"/>
  <c r="F141" i="6" s="1"/>
  <c r="G167" i="3"/>
  <c r="F123" i="3"/>
  <c r="M108" i="5"/>
  <c r="H66" i="6" s="1"/>
  <c r="O68" i="5"/>
  <c r="O108" i="5" s="1"/>
  <c r="J66" i="6" s="1"/>
  <c r="M34" i="5"/>
  <c r="F127" i="5"/>
  <c r="F80" i="5"/>
  <c r="F100" i="5"/>
  <c r="F103" i="5" s="1"/>
  <c r="F148" i="5"/>
  <c r="F126" i="5"/>
  <c r="F87" i="5"/>
  <c r="F89" i="5" s="1"/>
  <c r="F122" i="6"/>
  <c r="G166" i="6"/>
  <c r="G167" i="6" s="1"/>
  <c r="G168" i="6" s="1"/>
  <c r="H81" i="5"/>
  <c r="H83" i="5" s="1"/>
  <c r="M37" i="2"/>
  <c r="F81" i="5"/>
  <c r="F83" i="5" s="1"/>
  <c r="L114" i="5"/>
  <c r="G72" i="6" s="1"/>
  <c r="H127" i="5"/>
  <c r="H80" i="5"/>
  <c r="H100" i="5"/>
  <c r="H103" i="5" s="1"/>
  <c r="H148" i="5"/>
  <c r="H126" i="5"/>
  <c r="H87" i="5"/>
  <c r="H89" i="5" s="1"/>
  <c r="I105" i="5"/>
  <c r="I106" i="5" s="1"/>
  <c r="I111" i="5" s="1"/>
  <c r="I117" i="5" s="1"/>
  <c r="F200" i="6" s="1"/>
  <c r="L21" i="5"/>
  <c r="L48" i="5" s="1"/>
  <c r="L67" i="5" s="1"/>
  <c r="L79" i="5" s="1"/>
  <c r="L86" i="5" s="1"/>
  <c r="L99" i="5" s="1"/>
  <c r="L122" i="5" s="1"/>
  <c r="L147" i="5" s="1"/>
  <c r="M12" i="5"/>
  <c r="M33" i="5"/>
  <c r="O69" i="5"/>
  <c r="O109" i="5" s="1"/>
  <c r="J67" i="6" s="1"/>
  <c r="N36" i="2"/>
  <c r="F149" i="5"/>
  <c r="F138" i="5"/>
  <c r="F150" i="5"/>
  <c r="F44" i="3"/>
  <c r="H95" i="5"/>
  <c r="G133" i="5"/>
  <c r="G44" i="5"/>
  <c r="G135" i="5"/>
  <c r="G134" i="5"/>
  <c r="D203" i="5" l="1"/>
  <c r="F203" i="5" s="1"/>
  <c r="H18" i="11"/>
  <c r="H19" i="11" s="1"/>
  <c r="C42" i="12"/>
  <c r="F18" i="11"/>
  <c r="A42" i="12"/>
  <c r="F72" i="3"/>
  <c r="F74" i="3" s="1"/>
  <c r="I86" i="11"/>
  <c r="M75" i="11"/>
  <c r="M78" i="11" s="1"/>
  <c r="L85" i="11"/>
  <c r="G86" i="11"/>
  <c r="L70" i="11"/>
  <c r="M26" i="11"/>
  <c r="M27" i="11" s="1"/>
  <c r="M48" i="11" s="1"/>
  <c r="M50" i="11" s="1"/>
  <c r="H86" i="11"/>
  <c r="L36" i="11"/>
  <c r="G60" i="3" s="1"/>
  <c r="L37" i="11"/>
  <c r="G61" i="3" s="1"/>
  <c r="L27" i="11"/>
  <c r="L48" i="11" s="1"/>
  <c r="L50" i="11" s="1"/>
  <c r="L28" i="11"/>
  <c r="L68" i="11"/>
  <c r="O43" i="11"/>
  <c r="J67" i="3" s="1"/>
  <c r="O26" i="2"/>
  <c r="L73" i="11"/>
  <c r="J40" i="11"/>
  <c r="J41" i="11" s="1"/>
  <c r="J46" i="11" s="1"/>
  <c r="J52" i="11" s="1"/>
  <c r="G199" i="6" s="1"/>
  <c r="N27" i="2"/>
  <c r="N44" i="11"/>
  <c r="I68" i="3" s="1"/>
  <c r="F40" i="11"/>
  <c r="F41" i="11" s="1"/>
  <c r="F46" i="11" s="1"/>
  <c r="F52" i="11" s="1"/>
  <c r="C199" i="6" s="1"/>
  <c r="M77" i="11"/>
  <c r="F15" i="4"/>
  <c r="F29" i="4" s="1"/>
  <c r="L51" i="5" s="1"/>
  <c r="M62" i="2"/>
  <c r="M74" i="11"/>
  <c r="M29" i="11"/>
  <c r="L75" i="11"/>
  <c r="L78" i="11" s="1"/>
  <c r="L84" i="11"/>
  <c r="H40" i="11"/>
  <c r="H41" i="11" s="1"/>
  <c r="H46" i="11" s="1"/>
  <c r="H52" i="11" s="1"/>
  <c r="E199" i="6" s="1"/>
  <c r="I19" i="11"/>
  <c r="M65" i="11"/>
  <c r="M66" i="11"/>
  <c r="M64" i="11"/>
  <c r="M17" i="11"/>
  <c r="N28" i="2"/>
  <c r="L77" i="11"/>
  <c r="N53" i="2"/>
  <c r="N65" i="2" s="1"/>
  <c r="N36" i="11" s="1"/>
  <c r="M56" i="2"/>
  <c r="O72" i="2"/>
  <c r="L135" i="5"/>
  <c r="L58" i="2"/>
  <c r="M61" i="2"/>
  <c r="M60" i="2"/>
  <c r="M65" i="2"/>
  <c r="M36" i="11" s="1"/>
  <c r="H60" i="3" s="1"/>
  <c r="F31" i="4"/>
  <c r="L54" i="5" s="1"/>
  <c r="M57" i="2"/>
  <c r="K52" i="5"/>
  <c r="K124" i="5" s="1"/>
  <c r="K46" i="5"/>
  <c r="K58" i="2"/>
  <c r="K140" i="5"/>
  <c r="K143" i="5" s="1"/>
  <c r="F49" i="6"/>
  <c r="K142" i="5"/>
  <c r="F84" i="5"/>
  <c r="H151" i="5"/>
  <c r="G151" i="5"/>
  <c r="H35" i="6"/>
  <c r="G36" i="3"/>
  <c r="L51" i="2"/>
  <c r="L70" i="2" s="1"/>
  <c r="L14" i="11" s="1"/>
  <c r="L21" i="11" s="1"/>
  <c r="L34" i="11" s="1"/>
  <c r="L57" i="11" s="1"/>
  <c r="L82" i="11" s="1"/>
  <c r="K101" i="5"/>
  <c r="F59" i="6" s="1"/>
  <c r="K92" i="5"/>
  <c r="K113" i="5" s="1"/>
  <c r="K93" i="5"/>
  <c r="F13" i="4"/>
  <c r="F18" i="4" s="1"/>
  <c r="F23" i="4" s="1"/>
  <c r="F28" i="4" s="1"/>
  <c r="G100" i="3"/>
  <c r="G132" i="3" s="1"/>
  <c r="G142" i="3" s="1"/>
  <c r="O30" i="2"/>
  <c r="I73" i="3"/>
  <c r="L131" i="5"/>
  <c r="L82" i="5"/>
  <c r="L129" i="5"/>
  <c r="M25" i="5"/>
  <c r="L130" i="5"/>
  <c r="L30" i="5"/>
  <c r="L138" i="5" s="1"/>
  <c r="N40" i="2"/>
  <c r="G25" i="4"/>
  <c r="F46" i="3"/>
  <c r="F50" i="3"/>
  <c r="M21" i="5"/>
  <c r="M48" i="5" s="1"/>
  <c r="M67" i="5" s="1"/>
  <c r="M79" i="5" s="1"/>
  <c r="M86" i="5" s="1"/>
  <c r="M99" i="5" s="1"/>
  <c r="M122" i="5" s="1"/>
  <c r="M147" i="5" s="1"/>
  <c r="N12" i="5"/>
  <c r="G99" i="6"/>
  <c r="G131" i="6"/>
  <c r="G141" i="6" s="1"/>
  <c r="N38" i="2"/>
  <c r="H39" i="4"/>
  <c r="M50" i="5"/>
  <c r="L134" i="5"/>
  <c r="M35" i="5"/>
  <c r="L48" i="2"/>
  <c r="G133" i="3"/>
  <c r="M33" i="2"/>
  <c r="M73" i="11" s="1"/>
  <c r="G134" i="3"/>
  <c r="M42" i="2"/>
  <c r="K150" i="5"/>
  <c r="F132" i="6"/>
  <c r="F151" i="5"/>
  <c r="F143" i="3"/>
  <c r="F145" i="3" s="1"/>
  <c r="F146" i="3" s="1"/>
  <c r="F147" i="3" s="1"/>
  <c r="F135" i="3"/>
  <c r="F136" i="3" s="1"/>
  <c r="F137" i="3" s="1"/>
  <c r="O53" i="2"/>
  <c r="F105" i="5"/>
  <c r="F106" i="5" s="1"/>
  <c r="F111" i="5" s="1"/>
  <c r="F117" i="5" s="1"/>
  <c r="C200" i="6" s="1"/>
  <c r="G133" i="6"/>
  <c r="L44" i="5"/>
  <c r="M39" i="5"/>
  <c r="N24" i="5"/>
  <c r="O27" i="2"/>
  <c r="N33" i="5"/>
  <c r="H57" i="6"/>
  <c r="H58" i="3"/>
  <c r="M24" i="2"/>
  <c r="Z15" i="2" s="1"/>
  <c r="N11" i="2"/>
  <c r="I37" i="3"/>
  <c r="K133" i="5"/>
  <c r="N37" i="2"/>
  <c r="G105" i="5"/>
  <c r="G106" i="5" s="1"/>
  <c r="G111" i="5" s="1"/>
  <c r="G117" i="5" s="1"/>
  <c r="D200" i="6" s="1"/>
  <c r="G84" i="5"/>
  <c r="L141" i="5"/>
  <c r="L91" i="5"/>
  <c r="M23" i="5"/>
  <c r="M114" i="5"/>
  <c r="H72" i="6" s="1"/>
  <c r="G168" i="3"/>
  <c r="G169" i="3" s="1"/>
  <c r="I180" i="3"/>
  <c r="K180" i="3" s="1"/>
  <c r="G45" i="3"/>
  <c r="G44" i="3"/>
  <c r="J105" i="5"/>
  <c r="J106" i="5" s="1"/>
  <c r="J111" i="5" s="1"/>
  <c r="J117" i="5" s="1"/>
  <c r="G200" i="6" s="1"/>
  <c r="H105" i="5"/>
  <c r="H106" i="5" s="1"/>
  <c r="H111" i="5" s="1"/>
  <c r="H117" i="5" s="1"/>
  <c r="E200" i="6" s="1"/>
  <c r="I36" i="6"/>
  <c r="H84" i="5"/>
  <c r="N34" i="5"/>
  <c r="G44" i="6"/>
  <c r="G43" i="6"/>
  <c r="K138" i="5"/>
  <c r="E13" i="4"/>
  <c r="E18" i="4" s="1"/>
  <c r="E23" i="4" s="1"/>
  <c r="E28" i="4" s="1"/>
  <c r="K70" i="2"/>
  <c r="K14" i="11" s="1"/>
  <c r="K21" i="11" s="1"/>
  <c r="K34" i="11" s="1"/>
  <c r="K57" i="11" s="1"/>
  <c r="K82" i="11" s="1"/>
  <c r="O36" i="2"/>
  <c r="H144" i="3"/>
  <c r="H37" i="6"/>
  <c r="M45" i="2"/>
  <c r="M72" i="11" s="1"/>
  <c r="H38" i="3"/>
  <c r="L94" i="5"/>
  <c r="L139" i="5"/>
  <c r="L59" i="5"/>
  <c r="L102" i="5" s="1"/>
  <c r="G60" i="6" s="1"/>
  <c r="L62" i="5"/>
  <c r="L137" i="5"/>
  <c r="L58" i="5"/>
  <c r="L57" i="5"/>
  <c r="G15" i="4"/>
  <c r="K149" i="5"/>
  <c r="G203" i="5" l="1"/>
  <c r="B204" i="5" s="1"/>
  <c r="M68" i="11"/>
  <c r="M28" i="11"/>
  <c r="N56" i="2"/>
  <c r="N54" i="2"/>
  <c r="N55" i="2" s="1"/>
  <c r="N59" i="11" s="1"/>
  <c r="N76" i="11"/>
  <c r="N61" i="2"/>
  <c r="M58" i="2"/>
  <c r="M23" i="11" s="1"/>
  <c r="M25" i="11" s="1"/>
  <c r="M30" i="11" s="1"/>
  <c r="M70" i="11"/>
  <c r="K60" i="11"/>
  <c r="K23" i="11"/>
  <c r="K25" i="11" s="1"/>
  <c r="K30" i="11" s="1"/>
  <c r="L23" i="11"/>
  <c r="L25" i="11" s="1"/>
  <c r="L30" i="11" s="1"/>
  <c r="L60" i="11"/>
  <c r="G20" i="4"/>
  <c r="G30" i="4" s="1"/>
  <c r="M53" i="5" s="1"/>
  <c r="O74" i="11"/>
  <c r="O29" i="11"/>
  <c r="N60" i="2"/>
  <c r="O44" i="11"/>
  <c r="J68" i="3" s="1"/>
  <c r="M37" i="11"/>
  <c r="H61" i="3" s="1"/>
  <c r="M69" i="11"/>
  <c r="O49" i="11"/>
  <c r="J73" i="3" s="1"/>
  <c r="N74" i="11"/>
  <c r="N29" i="11"/>
  <c r="N26" i="11"/>
  <c r="N57" i="2"/>
  <c r="H25" i="4" s="1"/>
  <c r="H31" i="4" s="1"/>
  <c r="N54" i="5" s="1"/>
  <c r="N62" i="2"/>
  <c r="M85" i="11"/>
  <c r="N64" i="11"/>
  <c r="N65" i="11"/>
  <c r="N66" i="11"/>
  <c r="N17" i="11"/>
  <c r="O28" i="2"/>
  <c r="M84" i="11"/>
  <c r="O76" i="11"/>
  <c r="H143" i="6"/>
  <c r="L64" i="2"/>
  <c r="L16" i="11" s="1"/>
  <c r="L18" i="11" s="1"/>
  <c r="K55" i="5"/>
  <c r="K125" i="5" s="1"/>
  <c r="M135" i="5"/>
  <c r="K64" i="2"/>
  <c r="L52" i="5"/>
  <c r="L124" i="5" s="1"/>
  <c r="L46" i="5"/>
  <c r="I144" i="3"/>
  <c r="L149" i="5"/>
  <c r="L133" i="5"/>
  <c r="J36" i="6"/>
  <c r="J37" i="3"/>
  <c r="L92" i="5"/>
  <c r="L113" i="5" s="1"/>
  <c r="L93" i="5"/>
  <c r="I35" i="6"/>
  <c r="H36" i="3"/>
  <c r="M51" i="2"/>
  <c r="M70" i="2" s="1"/>
  <c r="M14" i="11" s="1"/>
  <c r="M21" i="11" s="1"/>
  <c r="M34" i="11" s="1"/>
  <c r="M57" i="11" s="1"/>
  <c r="M82" i="11" s="1"/>
  <c r="H133" i="6"/>
  <c r="M44" i="5"/>
  <c r="N39" i="5"/>
  <c r="N135" i="5" s="1"/>
  <c r="H134" i="3"/>
  <c r="N42" i="2"/>
  <c r="O40" i="2"/>
  <c r="G31" i="4"/>
  <c r="M54" i="5" s="1"/>
  <c r="G13" i="4"/>
  <c r="G18" i="4" s="1"/>
  <c r="G23" i="4" s="1"/>
  <c r="G28" i="4" s="1"/>
  <c r="H100" i="3"/>
  <c r="H132" i="3" s="1"/>
  <c r="H142" i="3" s="1"/>
  <c r="F71" i="6"/>
  <c r="F73" i="6" s="1"/>
  <c r="K115" i="5"/>
  <c r="O38" i="2"/>
  <c r="I57" i="6"/>
  <c r="I58" i="3"/>
  <c r="N24" i="2"/>
  <c r="AA15" i="2" s="1"/>
  <c r="O11" i="2"/>
  <c r="H99" i="6"/>
  <c r="H131" i="6"/>
  <c r="H141" i="6" s="1"/>
  <c r="L66" i="2"/>
  <c r="G50" i="3"/>
  <c r="H133" i="3"/>
  <c r="M48" i="2"/>
  <c r="N33" i="2"/>
  <c r="N84" i="11" s="1"/>
  <c r="L150" i="5"/>
  <c r="G132" i="6"/>
  <c r="L142" i="5"/>
  <c r="L140" i="5"/>
  <c r="L143" i="5" s="1"/>
  <c r="H45" i="3"/>
  <c r="H44" i="3"/>
  <c r="H44" i="6"/>
  <c r="H43" i="6"/>
  <c r="O62" i="2"/>
  <c r="O65" i="2"/>
  <c r="O36" i="11" s="1"/>
  <c r="O61" i="2"/>
  <c r="O57" i="2"/>
  <c r="O60" i="2"/>
  <c r="O54" i="2"/>
  <c r="O75" i="11" s="1"/>
  <c r="O56" i="2"/>
  <c r="G143" i="3"/>
  <c r="G145" i="3" s="1"/>
  <c r="G146" i="3" s="1"/>
  <c r="G147" i="3" s="1"/>
  <c r="G135" i="3"/>
  <c r="G136" i="3" s="1"/>
  <c r="G137" i="3" s="1"/>
  <c r="I198" i="6"/>
  <c r="I143" i="6"/>
  <c r="O33" i="5"/>
  <c r="H198" i="6"/>
  <c r="I60" i="3"/>
  <c r="M129" i="5"/>
  <c r="N25" i="5"/>
  <c r="M130" i="5"/>
  <c r="M30" i="5"/>
  <c r="M138" i="5" s="1"/>
  <c r="M131" i="5"/>
  <c r="M82" i="5"/>
  <c r="N23" i="5"/>
  <c r="M91" i="5"/>
  <c r="M141" i="5"/>
  <c r="I37" i="6"/>
  <c r="I44" i="6" s="1"/>
  <c r="N45" i="2"/>
  <c r="N72" i="11" s="1"/>
  <c r="I38" i="3"/>
  <c r="I45" i="3" s="1"/>
  <c r="G29" i="4"/>
  <c r="M51" i="5" s="1"/>
  <c r="E36" i="4"/>
  <c r="E34" i="4"/>
  <c r="F142" i="6"/>
  <c r="F144" i="6" s="1"/>
  <c r="F145" i="6" s="1"/>
  <c r="F146" i="6" s="1"/>
  <c r="F134" i="6"/>
  <c r="F135" i="6" s="1"/>
  <c r="F136" i="6" s="1"/>
  <c r="L101" i="5"/>
  <c r="G59" i="6" s="1"/>
  <c r="G46" i="3"/>
  <c r="O37" i="2"/>
  <c r="M134" i="5"/>
  <c r="N35" i="5"/>
  <c r="N21" i="5"/>
  <c r="N48" i="5" s="1"/>
  <c r="N67" i="5" s="1"/>
  <c r="N79" i="5" s="1"/>
  <c r="N86" i="5" s="1"/>
  <c r="N99" i="5" s="1"/>
  <c r="N122" i="5" s="1"/>
  <c r="N147" i="5" s="1"/>
  <c r="O12" i="5"/>
  <c r="O34" i="5"/>
  <c r="F36" i="4"/>
  <c r="F34" i="4"/>
  <c r="G72" i="3"/>
  <c r="G74" i="3" s="1"/>
  <c r="H20" i="4"/>
  <c r="H30" i="4" s="1"/>
  <c r="N53" i="5" s="1"/>
  <c r="M94" i="5"/>
  <c r="M139" i="5"/>
  <c r="M59" i="5"/>
  <c r="M102" i="5" s="1"/>
  <c r="H60" i="6" s="1"/>
  <c r="M62" i="5"/>
  <c r="M137" i="5"/>
  <c r="M58" i="5"/>
  <c r="M57" i="5"/>
  <c r="H72" i="3"/>
  <c r="H74" i="3" s="1"/>
  <c r="N114" i="5"/>
  <c r="I72" i="6" s="1"/>
  <c r="O114" i="5"/>
  <c r="J72" i="6" s="1"/>
  <c r="G45" i="6"/>
  <c r="O24" i="5"/>
  <c r="I39" i="4"/>
  <c r="O50" i="5" s="1"/>
  <c r="N50" i="5"/>
  <c r="D204" i="5" l="1"/>
  <c r="F204" i="5" s="1"/>
  <c r="G204" i="5"/>
  <c r="B205" i="5" s="1"/>
  <c r="M64" i="2"/>
  <c r="M16" i="11" s="1"/>
  <c r="M18" i="11" s="1"/>
  <c r="N75" i="11"/>
  <c r="N78" i="11" s="1"/>
  <c r="H15" i="4"/>
  <c r="H29" i="4" s="1"/>
  <c r="N51" i="5" s="1"/>
  <c r="N46" i="5" s="1"/>
  <c r="M60" i="11"/>
  <c r="N77" i="11"/>
  <c r="K16" i="11"/>
  <c r="K18" i="11" s="1"/>
  <c r="K66" i="2"/>
  <c r="K83" i="11" s="1"/>
  <c r="K86" i="11" s="1"/>
  <c r="N73" i="11"/>
  <c r="G39" i="3"/>
  <c r="G41" i="3" s="1"/>
  <c r="G51" i="3" s="1"/>
  <c r="G52" i="3" s="1"/>
  <c r="G101" i="3" s="1"/>
  <c r="N68" i="11"/>
  <c r="N69" i="11"/>
  <c r="K88" i="5"/>
  <c r="K90" i="5" s="1"/>
  <c r="K95" i="5" s="1"/>
  <c r="L83" i="11"/>
  <c r="L86" i="11" s="1"/>
  <c r="L22" i="11"/>
  <c r="L24" i="11" s="1"/>
  <c r="L62" i="11"/>
  <c r="L35" i="11"/>
  <c r="L38" i="11" s="1"/>
  <c r="L15" i="11"/>
  <c r="L19" i="11" s="1"/>
  <c r="L61" i="11"/>
  <c r="N37" i="11"/>
  <c r="I61" i="3" s="1"/>
  <c r="O37" i="11"/>
  <c r="J61" i="3" s="1"/>
  <c r="O78" i="11"/>
  <c r="N28" i="11"/>
  <c r="N27" i="11"/>
  <c r="N48" i="11" s="1"/>
  <c r="N50" i="11" s="1"/>
  <c r="N70" i="11"/>
  <c r="J144" i="3"/>
  <c r="O77" i="11"/>
  <c r="N85" i="11"/>
  <c r="K35" i="11"/>
  <c r="K38" i="11" s="1"/>
  <c r="O26" i="11"/>
  <c r="O66" i="11"/>
  <c r="O64" i="11"/>
  <c r="O65" i="11"/>
  <c r="O17" i="11"/>
  <c r="K61" i="5"/>
  <c r="K63" i="5" s="1"/>
  <c r="F39" i="3"/>
  <c r="F41" i="3" s="1"/>
  <c r="F51" i="3" s="1"/>
  <c r="F52" i="3" s="1"/>
  <c r="F101" i="3" s="1"/>
  <c r="L55" i="5"/>
  <c r="L125" i="5" s="1"/>
  <c r="M52" i="5"/>
  <c r="M55" i="5" s="1"/>
  <c r="M46" i="5"/>
  <c r="O55" i="2"/>
  <c r="O59" i="11" s="1"/>
  <c r="I44" i="3"/>
  <c r="I46" i="3" s="1"/>
  <c r="M149" i="5"/>
  <c r="M92" i="5"/>
  <c r="M113" i="5" s="1"/>
  <c r="M93" i="5"/>
  <c r="J143" i="6"/>
  <c r="M66" i="2"/>
  <c r="H39" i="3"/>
  <c r="H41" i="3" s="1"/>
  <c r="H51" i="3" s="1"/>
  <c r="I133" i="6"/>
  <c r="N44" i="5"/>
  <c r="O39" i="5"/>
  <c r="O135" i="5" s="1"/>
  <c r="O23" i="5"/>
  <c r="O139" i="5" s="1"/>
  <c r="N91" i="5"/>
  <c r="N141" i="5"/>
  <c r="J60" i="3"/>
  <c r="N58" i="2"/>
  <c r="M133" i="5"/>
  <c r="N94" i="5"/>
  <c r="N139" i="5"/>
  <c r="N59" i="5"/>
  <c r="N102" i="5" s="1"/>
  <c r="I60" i="6" s="1"/>
  <c r="N62" i="5"/>
  <c r="N137" i="5"/>
  <c r="N58" i="5"/>
  <c r="N57" i="5"/>
  <c r="M150" i="5"/>
  <c r="H132" i="6"/>
  <c r="G142" i="6"/>
  <c r="G144" i="6" s="1"/>
  <c r="G145" i="6" s="1"/>
  <c r="G146" i="6" s="1"/>
  <c r="G134" i="6"/>
  <c r="G135" i="6" s="1"/>
  <c r="G136" i="6" s="1"/>
  <c r="J198" i="6"/>
  <c r="L88" i="5"/>
  <c r="L90" i="5" s="1"/>
  <c r="L95" i="5" s="1"/>
  <c r="N129" i="5"/>
  <c r="O25" i="5"/>
  <c r="N130" i="5"/>
  <c r="N30" i="5"/>
  <c r="N149" i="5" s="1"/>
  <c r="N131" i="5"/>
  <c r="N82" i="5"/>
  <c r="G36" i="4"/>
  <c r="G34" i="4"/>
  <c r="I43" i="6"/>
  <c r="M101" i="5"/>
  <c r="H59" i="6" s="1"/>
  <c r="I20" i="4"/>
  <c r="J20" i="4" s="1"/>
  <c r="I133" i="3"/>
  <c r="N48" i="2"/>
  <c r="O33" i="2"/>
  <c r="G71" i="6"/>
  <c r="G73" i="6" s="1"/>
  <c r="L115" i="5"/>
  <c r="O21" i="5"/>
  <c r="O48" i="5" s="1"/>
  <c r="O67" i="5" s="1"/>
  <c r="O79" i="5" s="1"/>
  <c r="O86" i="5" s="1"/>
  <c r="O99" i="5" s="1"/>
  <c r="O122" i="5" s="1"/>
  <c r="O147" i="5" s="1"/>
  <c r="I15" i="4"/>
  <c r="J58" i="3"/>
  <c r="J57" i="6"/>
  <c r="O24" i="2"/>
  <c r="AB15" i="2" s="1"/>
  <c r="M140" i="5"/>
  <c r="M143" i="5" s="1"/>
  <c r="M142" i="5"/>
  <c r="H45" i="6"/>
  <c r="J35" i="6"/>
  <c r="I36" i="3"/>
  <c r="N51" i="2"/>
  <c r="N70" i="2" s="1"/>
  <c r="N14" i="11" s="1"/>
  <c r="N21" i="11" s="1"/>
  <c r="N34" i="11" s="1"/>
  <c r="N57" i="11" s="1"/>
  <c r="N82" i="11" s="1"/>
  <c r="N134" i="5"/>
  <c r="O35" i="5"/>
  <c r="H135" i="3"/>
  <c r="H136" i="3" s="1"/>
  <c r="H137" i="3" s="1"/>
  <c r="H143" i="3"/>
  <c r="H145" i="3" s="1"/>
  <c r="H146" i="3" s="1"/>
  <c r="H147" i="3" s="1"/>
  <c r="H13" i="4"/>
  <c r="H18" i="4" s="1"/>
  <c r="H23" i="4" s="1"/>
  <c r="H28" i="4" s="1"/>
  <c r="I100" i="3"/>
  <c r="I132" i="3" s="1"/>
  <c r="I142" i="3" s="1"/>
  <c r="I134" i="3"/>
  <c r="O42" i="2"/>
  <c r="O69" i="11" s="1"/>
  <c r="I25" i="4"/>
  <c r="J25" i="4" s="1"/>
  <c r="H46" i="3"/>
  <c r="H50" i="3"/>
  <c r="O94" i="5"/>
  <c r="O59" i="5"/>
  <c r="O102" i="5" s="1"/>
  <c r="J60" i="6" s="1"/>
  <c r="O62" i="5"/>
  <c r="O137" i="5"/>
  <c r="O58" i="5"/>
  <c r="O57" i="5"/>
  <c r="J37" i="6"/>
  <c r="O45" i="2"/>
  <c r="O72" i="11" s="1"/>
  <c r="J38" i="3"/>
  <c r="I99" i="6"/>
  <c r="I131" i="6"/>
  <c r="I141" i="6" s="1"/>
  <c r="D205" i="5" l="1"/>
  <c r="F205" i="5" s="1"/>
  <c r="K62" i="11"/>
  <c r="I72" i="3"/>
  <c r="I74" i="3" s="1"/>
  <c r="J15" i="4"/>
  <c r="N52" i="5"/>
  <c r="N55" i="5" s="1"/>
  <c r="N142" i="5"/>
  <c r="K15" i="11"/>
  <c r="K19" i="11" s="1"/>
  <c r="K61" i="11"/>
  <c r="F38" i="6"/>
  <c r="F40" i="6" s="1"/>
  <c r="F50" i="6" s="1"/>
  <c r="F51" i="6" s="1"/>
  <c r="F101" i="6" s="1"/>
  <c r="G47" i="6"/>
  <c r="G49" i="6" s="1"/>
  <c r="N140" i="5"/>
  <c r="K22" i="11"/>
  <c r="K24" i="11" s="1"/>
  <c r="O68" i="11"/>
  <c r="K40" i="11"/>
  <c r="K41" i="11" s="1"/>
  <c r="K46" i="11" s="1"/>
  <c r="K52" i="11" s="1"/>
  <c r="K81" i="5"/>
  <c r="K83" i="5" s="1"/>
  <c r="O70" i="11"/>
  <c r="N60" i="11"/>
  <c r="N23" i="11"/>
  <c r="N25" i="11" s="1"/>
  <c r="N30" i="11" s="1"/>
  <c r="L40" i="11"/>
  <c r="L41" i="11" s="1"/>
  <c r="L46" i="11" s="1"/>
  <c r="L52" i="11" s="1"/>
  <c r="M83" i="11"/>
  <c r="M86" i="11" s="1"/>
  <c r="M62" i="11"/>
  <c r="M61" i="11"/>
  <c r="M35" i="11"/>
  <c r="M38" i="11" s="1"/>
  <c r="M22" i="11"/>
  <c r="M24" i="11" s="1"/>
  <c r="M15" i="11"/>
  <c r="M19" i="11" s="1"/>
  <c r="O28" i="11"/>
  <c r="O27" i="11"/>
  <c r="O48" i="11" s="1"/>
  <c r="O50" i="11" s="1"/>
  <c r="O85" i="11"/>
  <c r="O84" i="11"/>
  <c r="O73" i="11"/>
  <c r="F102" i="3"/>
  <c r="G102" i="3" s="1"/>
  <c r="L61" i="5"/>
  <c r="M124" i="5"/>
  <c r="O58" i="2"/>
  <c r="I50" i="3"/>
  <c r="O134" i="5"/>
  <c r="N143" i="5"/>
  <c r="I30" i="4"/>
  <c r="O53" i="5" s="1"/>
  <c r="I31" i="4"/>
  <c r="O54" i="5" s="1"/>
  <c r="N133" i="5"/>
  <c r="K80" i="5"/>
  <c r="K100" i="5"/>
  <c r="K148" i="5"/>
  <c r="K151" i="5" s="1"/>
  <c r="K126" i="5"/>
  <c r="K87" i="5"/>
  <c r="K89" i="5" s="1"/>
  <c r="K127" i="5"/>
  <c r="J134" i="3"/>
  <c r="J133" i="3"/>
  <c r="O48" i="2"/>
  <c r="N138" i="5"/>
  <c r="M125" i="5"/>
  <c r="M61" i="5"/>
  <c r="I47" i="6" s="1"/>
  <c r="M88" i="5"/>
  <c r="M90" i="5" s="1"/>
  <c r="M95" i="5" s="1"/>
  <c r="N64" i="2"/>
  <c r="N16" i="11" s="1"/>
  <c r="N18" i="11" s="1"/>
  <c r="I143" i="3"/>
  <c r="I145" i="3" s="1"/>
  <c r="I146" i="3" s="1"/>
  <c r="I147" i="3" s="1"/>
  <c r="I135" i="3"/>
  <c r="I136" i="3" s="1"/>
  <c r="I137" i="3" s="1"/>
  <c r="J36" i="3"/>
  <c r="O51" i="2"/>
  <c r="O70" i="2" s="1"/>
  <c r="O14" i="11" s="1"/>
  <c r="O21" i="11" s="1"/>
  <c r="O34" i="11" s="1"/>
  <c r="O57" i="11" s="1"/>
  <c r="O82" i="11" s="1"/>
  <c r="F59" i="3"/>
  <c r="F62" i="3" s="1"/>
  <c r="J99" i="6"/>
  <c r="J82" i="6"/>
  <c r="J131" i="6"/>
  <c r="J141" i="6" s="1"/>
  <c r="N101" i="5"/>
  <c r="I59" i="6" s="1"/>
  <c r="G59" i="3"/>
  <c r="G62" i="3" s="1"/>
  <c r="N150" i="5"/>
  <c r="I132" i="6"/>
  <c r="H142" i="6"/>
  <c r="H144" i="6" s="1"/>
  <c r="H145" i="6" s="1"/>
  <c r="H146" i="6" s="1"/>
  <c r="H134" i="6"/>
  <c r="H135" i="6" s="1"/>
  <c r="H136" i="6" s="1"/>
  <c r="I29" i="4"/>
  <c r="O51" i="5" s="1"/>
  <c r="O129" i="5"/>
  <c r="O130" i="5"/>
  <c r="O30" i="5"/>
  <c r="O133" i="5" s="1"/>
  <c r="O131" i="5"/>
  <c r="O82" i="5"/>
  <c r="N92" i="5"/>
  <c r="N113" i="5" s="1"/>
  <c r="N93" i="5"/>
  <c r="O101" i="5"/>
  <c r="J59" i="6" s="1"/>
  <c r="I13" i="4"/>
  <c r="I18" i="4" s="1"/>
  <c r="I23" i="4" s="1"/>
  <c r="I28" i="4" s="1"/>
  <c r="J83" i="3"/>
  <c r="J100" i="3"/>
  <c r="J132" i="3" s="1"/>
  <c r="J142" i="3" s="1"/>
  <c r="O141" i="5"/>
  <c r="O91" i="5"/>
  <c r="H71" i="6"/>
  <c r="H73" i="6" s="1"/>
  <c r="M115" i="5"/>
  <c r="H36" i="4"/>
  <c r="H34" i="4"/>
  <c r="K198" i="6"/>
  <c r="J45" i="3"/>
  <c r="J44" i="3"/>
  <c r="J44" i="6"/>
  <c r="J43" i="6"/>
  <c r="I45" i="6"/>
  <c r="H52" i="3"/>
  <c r="H101" i="3" s="1"/>
  <c r="O44" i="5"/>
  <c r="J133" i="6"/>
  <c r="G205" i="5" l="1"/>
  <c r="B206" i="5" s="1"/>
  <c r="F100" i="6"/>
  <c r="N124" i="5"/>
  <c r="L63" i="5"/>
  <c r="H47" i="6"/>
  <c r="H49" i="6" s="1"/>
  <c r="J72" i="3"/>
  <c r="J74" i="3" s="1"/>
  <c r="K84" i="5"/>
  <c r="G38" i="6"/>
  <c r="G40" i="6" s="1"/>
  <c r="G50" i="6" s="1"/>
  <c r="G51" i="6" s="1"/>
  <c r="G100" i="6" s="1"/>
  <c r="G101" i="6" s="1"/>
  <c r="L81" i="5"/>
  <c r="L83" i="5" s="1"/>
  <c r="O60" i="11"/>
  <c r="O23" i="11"/>
  <c r="O25" i="11" s="1"/>
  <c r="O30" i="11" s="1"/>
  <c r="O64" i="2"/>
  <c r="J39" i="3" s="1"/>
  <c r="J41" i="3" s="1"/>
  <c r="J51" i="3" s="1"/>
  <c r="M40" i="11"/>
  <c r="M41" i="11" s="1"/>
  <c r="M46" i="11" s="1"/>
  <c r="M52" i="11" s="1"/>
  <c r="H102" i="3"/>
  <c r="O140" i="5"/>
  <c r="O143" i="5" s="1"/>
  <c r="O52" i="5"/>
  <c r="O142" i="5"/>
  <c r="J135" i="3"/>
  <c r="J143" i="3"/>
  <c r="J145" i="3" s="1"/>
  <c r="N66" i="2"/>
  <c r="I39" i="3"/>
  <c r="I41" i="3" s="1"/>
  <c r="I51" i="3" s="1"/>
  <c r="I52" i="3" s="1"/>
  <c r="I101" i="3" s="1"/>
  <c r="J50" i="3"/>
  <c r="L80" i="5"/>
  <c r="L100" i="5"/>
  <c r="L148" i="5"/>
  <c r="L151" i="5" s="1"/>
  <c r="L126" i="5"/>
  <c r="L87" i="5"/>
  <c r="L89" i="5" s="1"/>
  <c r="L127" i="5"/>
  <c r="I34" i="4"/>
  <c r="I36" i="4"/>
  <c r="M63" i="5"/>
  <c r="I49" i="6"/>
  <c r="H38" i="6"/>
  <c r="H40" i="6" s="1"/>
  <c r="H50" i="6" s="1"/>
  <c r="H51" i="6" s="1"/>
  <c r="H100" i="6" s="1"/>
  <c r="J45" i="6"/>
  <c r="I142" i="6"/>
  <c r="I144" i="6" s="1"/>
  <c r="I145" i="6" s="1"/>
  <c r="I146" i="6" s="1"/>
  <c r="I134" i="6"/>
  <c r="I135" i="6" s="1"/>
  <c r="I136" i="6" s="1"/>
  <c r="M81" i="5"/>
  <c r="M83" i="5" s="1"/>
  <c r="F64" i="3"/>
  <c r="F65" i="3" s="1"/>
  <c r="F70" i="3" s="1"/>
  <c r="F76" i="3" s="1"/>
  <c r="F104" i="3" s="1"/>
  <c r="F107" i="3" s="1"/>
  <c r="G64" i="3"/>
  <c r="G65" i="3" s="1"/>
  <c r="G70" i="3" s="1"/>
  <c r="G76" i="3" s="1"/>
  <c r="G104" i="3" s="1"/>
  <c r="G107" i="3" s="1"/>
  <c r="J46" i="3"/>
  <c r="I71" i="6"/>
  <c r="I73" i="6" s="1"/>
  <c r="N115" i="5"/>
  <c r="F58" i="6"/>
  <c r="F61" i="6" s="1"/>
  <c r="K103" i="5"/>
  <c r="N125" i="5"/>
  <c r="N61" i="5"/>
  <c r="J47" i="6" s="1"/>
  <c r="N88" i="5"/>
  <c r="N90" i="5" s="1"/>
  <c r="N95" i="5" s="1"/>
  <c r="H59" i="3"/>
  <c r="H62" i="3" s="1"/>
  <c r="O92" i="5"/>
  <c r="O113" i="5" s="1"/>
  <c r="O93" i="5"/>
  <c r="O150" i="5"/>
  <c r="J132" i="6"/>
  <c r="O138" i="5"/>
  <c r="O149" i="5"/>
  <c r="L198" i="6"/>
  <c r="D206" i="5" l="1"/>
  <c r="F206" i="5" s="1"/>
  <c r="L84" i="5"/>
  <c r="O16" i="11"/>
  <c r="O18" i="11" s="1"/>
  <c r="O66" i="2"/>
  <c r="O61" i="11" s="1"/>
  <c r="N22" i="11"/>
  <c r="N24" i="11" s="1"/>
  <c r="N83" i="11"/>
  <c r="N86" i="11" s="1"/>
  <c r="N61" i="11"/>
  <c r="N35" i="11"/>
  <c r="N38" i="11" s="1"/>
  <c r="N62" i="11"/>
  <c r="N15" i="11"/>
  <c r="N19" i="11" s="1"/>
  <c r="I102" i="3"/>
  <c r="J52" i="3"/>
  <c r="J85" i="3" s="1"/>
  <c r="J90" i="3" s="1"/>
  <c r="H101" i="6"/>
  <c r="N63" i="5"/>
  <c r="I38" i="6"/>
  <c r="I40" i="6" s="1"/>
  <c r="I50" i="6" s="1"/>
  <c r="I51" i="6" s="1"/>
  <c r="I100" i="6" s="1"/>
  <c r="J49" i="6"/>
  <c r="F168" i="3"/>
  <c r="H168" i="3" s="1"/>
  <c r="J168" i="3" s="1"/>
  <c r="J146" i="3"/>
  <c r="J147" i="3" s="1"/>
  <c r="K105" i="5"/>
  <c r="F63" i="6" s="1"/>
  <c r="F64" i="6" s="1"/>
  <c r="F69" i="6" s="1"/>
  <c r="J142" i="6"/>
  <c r="J144" i="6" s="1"/>
  <c r="J134" i="6"/>
  <c r="I199" i="6"/>
  <c r="F167" i="3"/>
  <c r="J136" i="3"/>
  <c r="J137" i="3" s="1"/>
  <c r="N81" i="5"/>
  <c r="N83" i="5" s="1"/>
  <c r="M80" i="5"/>
  <c r="M84" i="5" s="1"/>
  <c r="M100" i="5"/>
  <c r="M148" i="5"/>
  <c r="M151" i="5" s="1"/>
  <c r="M126" i="5"/>
  <c r="M87" i="5"/>
  <c r="M89" i="5" s="1"/>
  <c r="M127" i="5"/>
  <c r="J71" i="6"/>
  <c r="J73" i="6" s="1"/>
  <c r="O115" i="5"/>
  <c r="H64" i="3"/>
  <c r="H65" i="3" s="1"/>
  <c r="H70" i="3" s="1"/>
  <c r="H76" i="3" s="1"/>
  <c r="H104" i="3" s="1"/>
  <c r="H107" i="3" s="1"/>
  <c r="H199" i="6"/>
  <c r="O55" i="5"/>
  <c r="O124" i="5"/>
  <c r="G58" i="6"/>
  <c r="G61" i="6" s="1"/>
  <c r="L103" i="5"/>
  <c r="G206" i="5" l="1"/>
  <c r="B207" i="5" s="1"/>
  <c r="O83" i="11"/>
  <c r="O86" i="11" s="1"/>
  <c r="O15" i="11"/>
  <c r="O62" i="11"/>
  <c r="O35" i="11"/>
  <c r="O38" i="11" s="1"/>
  <c r="O40" i="11" s="1"/>
  <c r="O41" i="11" s="1"/>
  <c r="O46" i="11" s="1"/>
  <c r="O52" i="11" s="1"/>
  <c r="O22" i="11"/>
  <c r="O24" i="11" s="1"/>
  <c r="O19" i="11"/>
  <c r="N40" i="11"/>
  <c r="N41" i="11" s="1"/>
  <c r="N46" i="11" s="1"/>
  <c r="N52" i="11" s="1"/>
  <c r="F75" i="6"/>
  <c r="F103" i="6" s="1"/>
  <c r="F106" i="6" s="1"/>
  <c r="I59" i="3"/>
  <c r="I62" i="3" s="1"/>
  <c r="I101" i="6"/>
  <c r="J145" i="6"/>
  <c r="J146" i="6" s="1"/>
  <c r="F167" i="6"/>
  <c r="H167" i="6" s="1"/>
  <c r="J167" i="6" s="1"/>
  <c r="K106" i="5"/>
  <c r="K111" i="5" s="1"/>
  <c r="K117" i="5" s="1"/>
  <c r="H200" i="6" s="1"/>
  <c r="O61" i="5"/>
  <c r="O88" i="5"/>
  <c r="O90" i="5" s="1"/>
  <c r="O95" i="5" s="1"/>
  <c r="O125" i="5"/>
  <c r="H167" i="3"/>
  <c r="J167" i="3" s="1"/>
  <c r="J135" i="6"/>
  <c r="J136" i="6" s="1"/>
  <c r="F166" i="6"/>
  <c r="J199" i="6"/>
  <c r="N80" i="5"/>
  <c r="N84" i="5" s="1"/>
  <c r="N100" i="5"/>
  <c r="N148" i="5"/>
  <c r="N151" i="5" s="1"/>
  <c r="N126" i="5"/>
  <c r="N87" i="5"/>
  <c r="N89" i="5" s="1"/>
  <c r="N127" i="5"/>
  <c r="L105" i="5"/>
  <c r="G63" i="6" s="1"/>
  <c r="G64" i="6" s="1"/>
  <c r="G69" i="6" s="1"/>
  <c r="G75" i="6" s="1"/>
  <c r="G103" i="6" s="1"/>
  <c r="G106" i="6" s="1"/>
  <c r="H58" i="6"/>
  <c r="H61" i="6" s="1"/>
  <c r="M103" i="5"/>
  <c r="J101" i="3"/>
  <c r="J102" i="3" s="1"/>
  <c r="D207" i="5" l="1"/>
  <c r="F207" i="5" s="1"/>
  <c r="J59" i="3"/>
  <c r="J62" i="3" s="1"/>
  <c r="O63" i="5"/>
  <c r="J38" i="6"/>
  <c r="J40" i="6" s="1"/>
  <c r="J50" i="6" s="1"/>
  <c r="J51" i="6" s="1"/>
  <c r="M105" i="5"/>
  <c r="H63" i="6" s="1"/>
  <c r="H64" i="6" s="1"/>
  <c r="H69" i="6" s="1"/>
  <c r="H75" i="6" s="1"/>
  <c r="H103" i="6" s="1"/>
  <c r="H106" i="6" s="1"/>
  <c r="J64" i="3"/>
  <c r="H166" i="6"/>
  <c r="J166" i="6" s="1"/>
  <c r="L106" i="5"/>
  <c r="L111" i="5" s="1"/>
  <c r="L117" i="5" s="1"/>
  <c r="I200" i="6" s="1"/>
  <c r="I64" i="3"/>
  <c r="I65" i="3" s="1"/>
  <c r="I70" i="3" s="1"/>
  <c r="I76" i="3" s="1"/>
  <c r="I104" i="3" s="1"/>
  <c r="I107" i="3" s="1"/>
  <c r="O81" i="5"/>
  <c r="O83" i="5" s="1"/>
  <c r="I58" i="6"/>
  <c r="I61" i="6" s="1"/>
  <c r="N103" i="5"/>
  <c r="J95" i="3"/>
  <c r="G207" i="5" l="1"/>
  <c r="J65" i="3"/>
  <c r="J70" i="3" s="1"/>
  <c r="J76" i="3" s="1"/>
  <c r="J89" i="3" s="1"/>
  <c r="J91" i="3" s="1"/>
  <c r="L199" i="6"/>
  <c r="J84" i="3"/>
  <c r="J94" i="3" s="1"/>
  <c r="J97" i="3" s="1"/>
  <c r="J84" i="6"/>
  <c r="J100" i="6"/>
  <c r="J101" i="6" s="1"/>
  <c r="M106" i="5"/>
  <c r="M111" i="5" s="1"/>
  <c r="M117" i="5" s="1"/>
  <c r="J200" i="6" s="1"/>
  <c r="N105" i="5"/>
  <c r="I63" i="6" s="1"/>
  <c r="I64" i="6" s="1"/>
  <c r="I69" i="6" s="1"/>
  <c r="I75" i="6" s="1"/>
  <c r="I103" i="6" s="1"/>
  <c r="I106" i="6" s="1"/>
  <c r="O80" i="5"/>
  <c r="O84" i="5" s="1"/>
  <c r="O100" i="5"/>
  <c r="O148" i="5"/>
  <c r="O151" i="5" s="1"/>
  <c r="O126" i="5"/>
  <c r="O87" i="5"/>
  <c r="O89" i="5" s="1"/>
  <c r="O127" i="5"/>
  <c r="K199" i="6"/>
  <c r="J104" i="3" l="1"/>
  <c r="J107" i="3" s="1"/>
  <c r="F110" i="3" s="1"/>
  <c r="J105" i="3"/>
  <c r="J108" i="3" s="1"/>
  <c r="F111" i="3" s="1"/>
  <c r="F112" i="3" s="1"/>
  <c r="F114" i="3" s="1"/>
  <c r="F118" i="3" s="1"/>
  <c r="F124" i="3" s="1"/>
  <c r="F125" i="3" s="1"/>
  <c r="J94" i="6"/>
  <c r="J89" i="6"/>
  <c r="J58" i="6"/>
  <c r="J61" i="6" s="1"/>
  <c r="O103" i="5"/>
  <c r="N106" i="5"/>
  <c r="N111" i="5" s="1"/>
  <c r="N117" i="5" s="1"/>
  <c r="K200" i="6" s="1"/>
  <c r="F169" i="3" l="1"/>
  <c r="O105" i="5"/>
  <c r="J63" i="6" s="1"/>
  <c r="J64" i="6" s="1"/>
  <c r="J69" i="6" s="1"/>
  <c r="J75" i="6" s="1"/>
  <c r="N165" i="3" l="1"/>
  <c r="N167" i="3"/>
  <c r="H169" i="3"/>
  <c r="J169" i="3" s="1"/>
  <c r="J83" i="6"/>
  <c r="J93" i="6" s="1"/>
  <c r="J96" i="6" s="1"/>
  <c r="J104" i="6" s="1"/>
  <c r="J107" i="6" s="1"/>
  <c r="F110" i="6" s="1"/>
  <c r="J103" i="6"/>
  <c r="J106" i="6" s="1"/>
  <c r="F109" i="6" s="1"/>
  <c r="J88" i="6"/>
  <c r="J90" i="6" s="1"/>
  <c r="O106" i="5"/>
  <c r="O111" i="5" s="1"/>
  <c r="O117" i="5" s="1"/>
  <c r="L200" i="6" s="1"/>
  <c r="M202" i="6" s="1"/>
  <c r="N166" i="3" l="1"/>
  <c r="L168" i="3" s="1"/>
  <c r="F179" i="3" s="1"/>
  <c r="H179" i="3" s="1"/>
  <c r="F111" i="6"/>
  <c r="F113" i="6" s="1"/>
  <c r="F117" i="6" s="1"/>
  <c r="F168" i="6" s="1"/>
  <c r="H168" i="6" s="1"/>
  <c r="F180" i="3" l="1"/>
  <c r="F179" i="6" s="1"/>
  <c r="N168" i="3"/>
  <c r="F186" i="6" s="1"/>
  <c r="F178" i="3"/>
  <c r="H178" i="3" s="1"/>
  <c r="L170" i="3"/>
  <c r="F178" i="6"/>
  <c r="F123" i="6"/>
  <c r="F124" i="6" s="1"/>
  <c r="H180" i="3" l="1"/>
  <c r="F177" i="6"/>
  <c r="J168" i="6"/>
  <c r="N164" i="6"/>
  <c r="N166" i="6"/>
  <c r="N165" i="6" l="1"/>
  <c r="L167" i="6" s="1"/>
  <c r="G178" i="6" s="1"/>
  <c r="H178" i="6" l="1"/>
  <c r="J178" i="6" s="1"/>
  <c r="G179" i="6"/>
  <c r="H179" i="6" s="1"/>
  <c r="J179" i="6" s="1"/>
  <c r="G177" i="6"/>
  <c r="H177" i="6" s="1"/>
  <c r="J177" i="6" s="1"/>
  <c r="L169" i="6"/>
  <c r="N167" i="6"/>
  <c r="F187" i="6" l="1"/>
  <c r="G18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8" authorId="0" shapeId="0" xr:uid="{00000000-0006-0000-0100-00000A000000}">
      <text>
        <r>
          <rPr>
            <sz val="11"/>
            <rFont val="Calibri"/>
            <family val="2"/>
            <scheme val="minor"/>
          </rPr>
          <t xml:space="preserve">SAPR403-23:
tendria que mejorar la rentabilidad es decir disminuir el pkt y aumentar el margen  e. 
</t>
        </r>
      </text>
    </comment>
    <comment ref="O29" authorId="0" shapeId="0" xr:uid="{00000000-0006-0000-0100-00000C000000}">
      <text>
        <r>
          <rPr>
            <sz val="11"/>
            <rFont val="Calibri"/>
            <family val="2"/>
            <scheme val="minor"/>
          </rPr>
          <t xml:space="preserve">SAPR403-23:
GENERA 14,33 SU VALOR ES DECIR EL PORCENTAJE DE VENTAS 
ESTO ME DEJA SABER Q NO SE NECESITAN TANTOS ACTIVOS PARA PRODUCIR VENTAS ES DECIR QUE ROA ES MAS ALTO. 
ENTRE MAS ALTO EL PAF
 es mejor </t>
        </r>
      </text>
    </comment>
    <comment ref="A46" authorId="0" shapeId="0" xr:uid="{00000000-0006-0000-0100-00000F000000}">
      <text>
        <r>
          <rPr>
            <sz val="11"/>
            <rFont val="Calibri"/>
            <family val="2"/>
            <scheme val="minor"/>
          </rPr>
          <t xml:space="preserve">SAPR403-23:
la uodi+depreciacion + amarotizacion 
una empresa potencializa a mayor flujo bruto mas vale la compañía porque deja mas plata 
y amenor flujo mayor destruccion de la compañía 
</t>
        </r>
      </text>
    </comment>
    <comment ref="A49" authorId="0" shapeId="0" xr:uid="{00000000-0006-0000-0100-000010000000}">
      <text>
        <r>
          <rPr>
            <sz val="11"/>
            <rFont val="Calibri"/>
            <family val="2"/>
            <scheme val="minor"/>
          </rPr>
          <t xml:space="preserve">SAPR403-23:
yo tengo 5 pesos en ppye y al año sigueinte tengo 10 inverti 5 pesos y tuve que sacar de caja5 pesos. 
Si vendo un activo entra dinero a a caja.
Si la cuenta de ppye auemneta sale del flujo bruto todos los valores positios restan cajsa y todos los valores negativos aumenta caja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41" authorId="0" shapeId="0" xr:uid="{00000000-0006-0000-0200-000001000000}">
      <text>
        <r>
          <rPr>
            <sz val="11"/>
            <rFont val="Calibri"/>
            <family val="2"/>
            <scheme val="minor"/>
          </rPr>
          <t xml:space="preserve">SAPR403-24:
lo que nos cuesta a nosotoros (EMPRESA) pagarle a los accionista los rendimientos. 
Esperan un 27,13% de rendimientos 
Estono quiere decir q la empresa genere ese rendimiento y se compara contra el indicadorfinanciero ROE (ES LO QUE RENTA EL PATRIMONIO) 
EL ROE PARA EMPRESASS MAS PEQUEÑAS ES COSTO DE PATRIMONIO 
lO QUE DEBERIA LA EMPRESA PAGAR A SUS DUEÑOS 
</t>
        </r>
      </text>
    </comment>
    <comment ref="J44" authorId="0" shapeId="0" xr:uid="{00000000-0006-0000-0200-000002000000}">
      <text>
        <r>
          <rPr>
            <sz val="11"/>
            <rFont val="Calibri"/>
            <family val="2"/>
            <scheme val="minor"/>
          </rPr>
          <t xml:space="preserve">SAPR403-24:
SE REFLEJA QUE ES MAS VIABLE APALANCARSE CON EL PATRIMONIO 
</t>
        </r>
      </text>
    </comment>
    <comment ref="A48" authorId="0" shapeId="0" xr:uid="{00000000-0006-0000-0200-000003000000}">
      <text>
        <r>
          <rPr>
            <sz val="11"/>
            <rFont val="Calibri"/>
            <family val="2"/>
            <scheme val="minor"/>
          </rPr>
          <t xml:space="preserve">SAPR403-24:
ESTO ES LO QUE SE DEDUCE A LOS IMPUESTOS QUE PAGAMOS DE LA DEUDA ES DECIR LOS INTERESES </t>
        </r>
      </text>
    </comment>
    <comment ref="J52" authorId="0" shapeId="0" xr:uid="{00000000-0006-0000-0200-000004000000}">
      <text>
        <r>
          <rPr>
            <sz val="11"/>
            <rFont val="Calibri"/>
            <family val="2"/>
            <scheme val="minor"/>
          </rPr>
          <t xml:space="preserve">SAPR403-24:
DISMINUYE PORQUE LA INFLACION A LARGO PLAZO VA A CEDER Y ESTO VA DISMINUYENDO
</t>
        </r>
      </text>
    </comment>
    <comment ref="J168" authorId="0" shapeId="0" xr:uid="{00000000-0006-0000-0200-000005000000}">
      <text>
        <r>
          <rPr>
            <sz val="11"/>
            <rFont val="Calibri"/>
            <family val="2"/>
            <scheme val="minor"/>
          </rPr>
          <t xml:space="preserve">SAPR403-24:
ESTA ES LA QUE MAS SE ACERCA 
</t>
        </r>
      </text>
    </comment>
    <comment ref="I178" authorId="0" shapeId="0" xr:uid="{00000000-0006-0000-0200-000008000000}">
      <text>
        <r>
          <rPr>
            <sz val="11"/>
            <rFont val="Calibri"/>
            <family val="2"/>
            <scheme val="minor"/>
          </rPr>
          <t>SAPR403-24:
ESTA VALORANDOLO POR MULTIPLOS NO ES COHERENTE POR LAS CONDICIONES PROPIAS DE MERCARDO Y SI SE SACO EL DATO POR DAMODARAN  QUE SON A NIVEL GLOBAL SIN VER LAS AFECTACIONES DEL ENTORNO ESTA SUBVALORADA</t>
        </r>
      </text>
    </comment>
    <comment ref="K178" authorId="0" shapeId="0" xr:uid="{00000000-0006-0000-0200-000009000000}">
      <text>
        <r>
          <rPr>
            <sz val="11"/>
            <rFont val="Calibri"/>
            <family val="2"/>
            <scheme val="minor"/>
          </rPr>
          <t xml:space="preserve">SAPR403-24:
CUANTO ESTA POR DEBAJO EL EBITDA DEL MERCADO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SAPR403-19</author>
    <author/>
    <author>Adriana</author>
  </authors>
  <commentList>
    <comment ref="E14" authorId="0" shapeId="0" xr:uid="{12981529-02AC-4CC5-8DBC-75AF4FA7A386}">
      <text>
        <r>
          <rPr>
            <b/>
            <sz val="9"/>
            <color indexed="81"/>
            <rFont val="Tahoma"/>
            <family val="2"/>
          </rPr>
          <t>SAPR403-19:</t>
        </r>
        <r>
          <rPr>
            <sz val="9"/>
            <color indexed="81"/>
            <rFont val="Tahoma"/>
            <family val="2"/>
          </rPr>
          <t xml:space="preserve">
CAMBIO DE PROVEEDORES, DESCUENTO POR PAGOS ANTICIPADOS</t>
        </r>
      </text>
    </comment>
    <comment ref="A18" authorId="1" shapeId="0" xr:uid="{00000000-0006-0000-0300-000002000000}">
      <text>
        <r>
          <rPr>
            <sz val="11"/>
            <rFont val="Calibri"/>
            <family val="2"/>
            <scheme val="minor"/>
          </rPr>
          <t xml:space="preserve">SAPR403-24:
</t>
        </r>
      </text>
    </comment>
    <comment ref="E19" authorId="0" shapeId="0" xr:uid="{AEA86053-208A-4EDA-B233-610E970E85AC}">
      <text>
        <r>
          <rPr>
            <b/>
            <sz val="9"/>
            <color indexed="81"/>
            <rFont val="Tahoma"/>
            <family val="2"/>
          </rPr>
          <t>SAPR403-19:</t>
        </r>
        <r>
          <rPr>
            <sz val="9"/>
            <color indexed="81"/>
            <rFont val="Tahoma"/>
            <family val="2"/>
          </rPr>
          <t xml:space="preserve">
REDUCCIÒN GASTO DE VIAJES</t>
        </r>
      </text>
    </comment>
    <comment ref="E24" authorId="0" shapeId="0" xr:uid="{97C34949-BEF9-4E28-95E2-AB5DBEDF704E}">
      <text>
        <r>
          <rPr>
            <b/>
            <sz val="9"/>
            <color indexed="81"/>
            <rFont val="Tahoma"/>
            <family val="2"/>
          </rPr>
          <t>SAPR403-19:</t>
        </r>
        <r>
          <rPr>
            <sz val="9"/>
            <color indexed="81"/>
            <rFont val="Tahoma"/>
            <family val="2"/>
          </rPr>
          <t xml:space="preserve">
REDUCCIÒN VENDEDORES TAT</t>
        </r>
      </text>
    </comment>
    <comment ref="F24" authorId="2" shapeId="0" xr:uid="{6FBCF982-1A26-4D54-B859-8189F57F042D}">
      <text>
        <r>
          <rPr>
            <b/>
            <sz val="9"/>
            <color indexed="81"/>
            <rFont val="Tahoma"/>
            <family val="2"/>
          </rPr>
          <t>Adriana: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7" authorId="0" shapeId="0" xr:uid="{4C51ACCB-8D2F-4844-BF95-264938D72934}">
      <text>
        <r>
          <rPr>
            <b/>
            <sz val="9"/>
            <color indexed="81"/>
            <rFont val="Tahoma"/>
            <family val="2"/>
          </rPr>
          <t>SAPR403-19:</t>
        </r>
        <r>
          <rPr>
            <sz val="9"/>
            <color indexed="81"/>
            <rFont val="Tahoma"/>
            <family val="2"/>
          </rPr>
          <t xml:space="preserve">
AUMENTO DE VENTAS POR ALCANCE DE NUEVOS MERCADOS DIGITALES Y B2B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67" authorId="0" shapeId="0" xr:uid="{00000000-0006-0000-0500-000001000000}">
      <text>
        <r>
          <rPr>
            <sz val="11"/>
            <rFont val="Calibri"/>
            <family val="2"/>
            <scheme val="minor"/>
          </rPr>
          <t xml:space="preserve">SAPR403-24:
ESTA ES LA QUE MAS SE ACERCA 
</t>
        </r>
      </text>
    </comment>
    <comment ref="N167" authorId="0" shapeId="0" xr:uid="{00000000-0006-0000-0500-000002000000}">
      <text>
        <r>
          <rPr>
            <sz val="11"/>
            <rFont val="Calibri"/>
            <family val="2"/>
            <scheme val="minor"/>
          </rPr>
          <t xml:space="preserve">SAPR403-24:
QUE EL PATRIMONIO TIENE UN VALOR DE 1,90X 
</t>
        </r>
      </text>
    </comment>
  </commentList>
</comments>
</file>

<file path=xl/sharedStrings.xml><?xml version="1.0" encoding="utf-8"?>
<sst xmlns="http://schemas.openxmlformats.org/spreadsheetml/2006/main" count="711" uniqueCount="373">
  <si>
    <t>ACTIVO</t>
  </si>
  <si>
    <t>Activo Corriente</t>
  </si>
  <si>
    <t>ANÁLISIS VERTICAL</t>
  </si>
  <si>
    <t>Efectivo y equivalentes de efectivo</t>
  </si>
  <si>
    <t>Activos financieros</t>
  </si>
  <si>
    <t>Deudores comerciales y otros</t>
  </si>
  <si>
    <t>Inventarios</t>
  </si>
  <si>
    <t>Pagos anticipados</t>
  </si>
  <si>
    <t>TOTAL ACTIVO CORRIENTE</t>
  </si>
  <si>
    <t>Activo No Corriente</t>
  </si>
  <si>
    <t>Deudores</t>
  </si>
  <si>
    <t>Propiedades, planta y equipo</t>
  </si>
  <si>
    <t>Activos intangibles</t>
  </si>
  <si>
    <t>Activos por impuestos diferidos</t>
  </si>
  <si>
    <t>TOTAL ACTIVO NO CORRIENTE</t>
  </si>
  <si>
    <t>Pasivo Corriente</t>
  </si>
  <si>
    <t>Obligaciones financieras</t>
  </si>
  <si>
    <t>Proveedores</t>
  </si>
  <si>
    <t>Cuentas por pagar Varios</t>
  </si>
  <si>
    <t>Impuestos corrientes por pagar</t>
  </si>
  <si>
    <t>Otros pasivos</t>
  </si>
  <si>
    <t>TOTAL PASIVO CORRIENTE</t>
  </si>
  <si>
    <t>Pasivo No Corriente</t>
  </si>
  <si>
    <t>Provisiones</t>
  </si>
  <si>
    <t>TOTAL PASIVO NO CORRIENTE</t>
  </si>
  <si>
    <t>TOTAL PASIVO</t>
  </si>
  <si>
    <t>Patrimonio</t>
  </si>
  <si>
    <t>Capital suscrito y pagado</t>
  </si>
  <si>
    <t>Superavit de capital</t>
  </si>
  <si>
    <t>Resultados del Ejercicio</t>
  </si>
  <si>
    <t>TOTAL PASIVO Y PATRIMONIO</t>
  </si>
  <si>
    <t>CONTROL (Pasivo y Patrimonio - Activo)</t>
  </si>
  <si>
    <t xml:space="preserve">CUENTAS DE RESULTADO </t>
  </si>
  <si>
    <t>Promedio Estructural</t>
  </si>
  <si>
    <t>Cuentas</t>
  </si>
  <si>
    <t>Estructuras</t>
  </si>
  <si>
    <t>Operacional</t>
  </si>
  <si>
    <t>ANÁLISIS VERTICAL - BASE EN VENTAS</t>
  </si>
  <si>
    <t>Estructura Promedio</t>
  </si>
  <si>
    <t>Simulación</t>
  </si>
  <si>
    <t>Rangos Estructurales</t>
  </si>
  <si>
    <t>Ventas, Ingresos de actividades ordinarias</t>
  </si>
  <si>
    <t>Ventas</t>
  </si>
  <si>
    <t>Mínimo</t>
  </si>
  <si>
    <t>Central</t>
  </si>
  <si>
    <t>Máximo</t>
  </si>
  <si>
    <t>Manufactura</t>
  </si>
  <si>
    <t>Costo de Ventas</t>
  </si>
  <si>
    <t>Costos</t>
  </si>
  <si>
    <t>UTILIDAD BRUTA</t>
  </si>
  <si>
    <t>Gastos</t>
  </si>
  <si>
    <t>Gastos de administración</t>
  </si>
  <si>
    <t>Total Erogación</t>
  </si>
  <si>
    <t>Gastos de ventas y distribución</t>
  </si>
  <si>
    <t>Total operación</t>
  </si>
  <si>
    <t>Gestión Costos y Gastos</t>
  </si>
  <si>
    <t>UTILIDAD OPERACIONAL</t>
  </si>
  <si>
    <t>Ingresos no ope</t>
  </si>
  <si>
    <t>Promedio</t>
  </si>
  <si>
    <t>Rango Objetivo</t>
  </si>
  <si>
    <t>Gestión</t>
  </si>
  <si>
    <t>No Operacional</t>
  </si>
  <si>
    <t>Gastos no ope</t>
  </si>
  <si>
    <t>Otros ingresos</t>
  </si>
  <si>
    <t>Tx</t>
  </si>
  <si>
    <t>Gasto no operacional</t>
  </si>
  <si>
    <t>Margen Neto</t>
  </si>
  <si>
    <t>Gasto Financiero</t>
  </si>
  <si>
    <t>Resultados Netos</t>
  </si>
  <si>
    <t>UTILIDAD ANTES DE IMPUESTOS</t>
  </si>
  <si>
    <t>Gasto por impuesto</t>
  </si>
  <si>
    <t>UTILIDAD NETA</t>
  </si>
  <si>
    <t xml:space="preserve">      </t>
  </si>
  <si>
    <t>Detalles de Depreciación y Amortización</t>
  </si>
  <si>
    <t>Depreciaciones</t>
  </si>
  <si>
    <t>Amortizaciones</t>
  </si>
  <si>
    <t>ESTADOS FINANCIEROS PROYECTADOS</t>
  </si>
  <si>
    <t>TASAS DE DEUDA PROYECCIÓN</t>
  </si>
  <si>
    <t>TASAS DE DEUDA</t>
  </si>
  <si>
    <t>TASA Kd E.A.</t>
  </si>
  <si>
    <t>IPC</t>
  </si>
  <si>
    <t xml:space="preserve">PLANES, POLITICAS Y EXPECTATIVAS </t>
  </si>
  <si>
    <t>CIFRAS HISTÓRICAS</t>
  </si>
  <si>
    <t>CIFRAS PROYECTADAS</t>
  </si>
  <si>
    <t>VARIABLES</t>
  </si>
  <si>
    <t>Inflación en Colombia IPC</t>
  </si>
  <si>
    <t>PIB</t>
  </si>
  <si>
    <t>Tasa de Crecimiento</t>
  </si>
  <si>
    <t>Crecimiento Historico Economía</t>
  </si>
  <si>
    <t>Crecimiento Proyectado</t>
  </si>
  <si>
    <t>Crecimiento historico</t>
  </si>
  <si>
    <t>TOTAL ACTIVO</t>
  </si>
  <si>
    <t>TOTAL PATRIMONIO</t>
  </si>
  <si>
    <t>INDUCTORES DE VALOR Y RAZONES FINANCIERAS</t>
  </si>
  <si>
    <t>Inductores de Rentabilidad</t>
  </si>
  <si>
    <t>ROA</t>
  </si>
  <si>
    <t>UODI</t>
  </si>
  <si>
    <t>Activos Netos de Operación</t>
  </si>
  <si>
    <t>RAN</t>
  </si>
  <si>
    <t>Distancia Rentabilidad</t>
  </si>
  <si>
    <t>Inductores de Operativos y Financieros</t>
  </si>
  <si>
    <t>EBITDA Modelo General</t>
  </si>
  <si>
    <t>EBITDA Operacional</t>
  </si>
  <si>
    <t>Margen EBITDA Modelo General</t>
  </si>
  <si>
    <t>Margen EBITDA Operacional</t>
  </si>
  <si>
    <t>KTNO</t>
  </si>
  <si>
    <t>Variación de KTNO</t>
  </si>
  <si>
    <t>Productividad del Capital de trabajo PKT</t>
  </si>
  <si>
    <t>Productividad del Activo Fijo PAF</t>
  </si>
  <si>
    <t>Palanca de Crecimiento PDC</t>
  </si>
  <si>
    <t>FLIJO DE CAJA LIBRE</t>
  </si>
  <si>
    <t>UTILIDAD DEL EJERCICIO</t>
  </si>
  <si>
    <t>(+) Impuestos CAUSADOS</t>
  </si>
  <si>
    <t>(+) Gastos financiero</t>
  </si>
  <si>
    <t>EBIT</t>
  </si>
  <si>
    <t>(-) Impuestos AJUSTADOS
Impuestos operacionales</t>
  </si>
  <si>
    <t>UODI   RODI   NOPAT  NOPLAT   EBIT (1 - tx)</t>
  </si>
  <si>
    <t>(+) Depreciación</t>
  </si>
  <si>
    <t>(+) Amortizacion</t>
  </si>
  <si>
    <t>(+) Provisiones</t>
  </si>
  <si>
    <t>1 Flujo operativo o flujo bruto</t>
  </si>
  <si>
    <t>(-) Variación del capital de trabajo</t>
  </si>
  <si>
    <t>(-) Inversión en activos</t>
  </si>
  <si>
    <t>2 Financiación de inversiones</t>
  </si>
  <si>
    <t>(1 - 2) FCLO</t>
  </si>
  <si>
    <t>RAZONES FINANCIERAS</t>
  </si>
  <si>
    <t>Rentabilidad</t>
  </si>
  <si>
    <t>Liquidez</t>
  </si>
  <si>
    <t>Endeudamiento</t>
  </si>
  <si>
    <t>Actividad</t>
  </si>
  <si>
    <t>Rotacion del Patrimonio</t>
  </si>
  <si>
    <t>Ventas / Patrimonio</t>
  </si>
  <si>
    <t>Rotacion del Activo</t>
  </si>
  <si>
    <t>Ventas / Activo Total</t>
  </si>
  <si>
    <t>Rotacion de Cartera</t>
  </si>
  <si>
    <t>Ventas / Cuentas Por Cobrar Clientes</t>
  </si>
  <si>
    <t>Rotacion de Inventarios</t>
  </si>
  <si>
    <t>(Inventarios / Costo de Ventas) * 365</t>
  </si>
  <si>
    <t>Periodo de Cobro</t>
  </si>
  <si>
    <t>(Cuentas Por Cobrar Clientes / Ventas ) * 365</t>
  </si>
  <si>
    <t>Periodo de Pago a Proveedores</t>
  </si>
  <si>
    <t>(Cuentas por pagar Proveedores / Costo de Ventas) * 365</t>
  </si>
  <si>
    <t>Ciclo Operacional</t>
  </si>
  <si>
    <t>Periodo de Cobro +  Rotacion de Inventarios</t>
  </si>
  <si>
    <t>DUPONT</t>
  </si>
  <si>
    <t>Rentabilidad del patrimonio (ROE)</t>
  </si>
  <si>
    <t>TASAS HISTORICAS</t>
  </si>
  <si>
    <t>CONCEPTO</t>
  </si>
  <si>
    <t>Años</t>
  </si>
  <si>
    <t>Rentabilidad acciones USA S&amp;P</t>
  </si>
  <si>
    <t>Rentabilidad Bonos del Tesoro USA</t>
  </si>
  <si>
    <t>Inflación USA</t>
  </si>
  <si>
    <t>Inflación Colombia</t>
  </si>
  <si>
    <t>RIESGO PAÍS</t>
  </si>
  <si>
    <t>Inflación en USA</t>
  </si>
  <si>
    <t>Inflación COLOMBIA</t>
  </si>
  <si>
    <t>Riesgo país Colombia</t>
  </si>
  <si>
    <t xml:space="preserve">Beta Desapalancada BU Sectorial </t>
  </si>
  <si>
    <t xml:space="preserve"> Fuente: Damodaran</t>
  </si>
  <si>
    <t>MODELO CRECIMIENTO CONSTANTE</t>
  </si>
  <si>
    <t>COSTO DE CAPITAL - WACC</t>
  </si>
  <si>
    <t>FLUJO DE CAJA PROYECTADO</t>
  </si>
  <si>
    <t xml:space="preserve"> </t>
  </si>
  <si>
    <t>º</t>
  </si>
  <si>
    <t>MODELO ANUALIDAD PERPETUA</t>
  </si>
  <si>
    <t>MÉTODO FLUJO DE CAJA DESCONTADO FCLD</t>
  </si>
  <si>
    <t>Ultimo FCLO conocido</t>
  </si>
  <si>
    <t>Ultimo costo de capital conocido</t>
  </si>
  <si>
    <t>g</t>
  </si>
  <si>
    <t>Gradiente a perpetuidad</t>
  </si>
  <si>
    <t>Elegir Modelo de Perpetuidad</t>
  </si>
  <si>
    <t>M1</t>
  </si>
  <si>
    <t>FCLO (último valor conocido)</t>
  </si>
  <si>
    <t>Representa una serie de pagos Futuros Constantes y perpetuos</t>
  </si>
  <si>
    <t>WACC (último valor conocido)</t>
  </si>
  <si>
    <t>M2</t>
  </si>
  <si>
    <t>Representa pagos perpetuos con un grado de crecimiento constante</t>
  </si>
  <si>
    <t>Tasa de crecimiento o perpetuidad  g</t>
  </si>
  <si>
    <t>VALOR PRESENTE FLUJOS DE CAJA PROYECTADOS</t>
  </si>
  <si>
    <t>MÉTODO FLUJO DE CAJA LIBRE DESCONTADO</t>
  </si>
  <si>
    <t>Costo de Capital</t>
  </si>
  <si>
    <t>Tasa Acumulada</t>
  </si>
  <si>
    <t>FCL</t>
  </si>
  <si>
    <t>Valor Terminal</t>
  </si>
  <si>
    <t>Valor presente Flujos de caja Proyectados</t>
  </si>
  <si>
    <t>(+) VALOR PRESENTE DE LOS FLUJOS</t>
  </si>
  <si>
    <t>(+) VALOR PRESENTE DEL VALOR TERMINAL</t>
  </si>
  <si>
    <t>(=)VALOR DE LAS OPERACIONES O DE MERCADO (EV)</t>
  </si>
  <si>
    <t>Valor de mercado de la empresa</t>
  </si>
  <si>
    <t>(Más) Activo corriente</t>
  </si>
  <si>
    <t>(Menos) Deuda financiera CP + LP</t>
  </si>
  <si>
    <t>VALOR DE MERCADO DEL PATRIMONIO</t>
  </si>
  <si>
    <t>Patrimonio contable</t>
  </si>
  <si>
    <t>Numero de Acciones</t>
  </si>
  <si>
    <t>Valor Hipotético</t>
  </si>
  <si>
    <t>Valor en Libros por acción</t>
  </si>
  <si>
    <t>Valor de Mercado de la Acción</t>
  </si>
  <si>
    <t>P/BV</t>
  </si>
  <si>
    <t>MÉTODOS CONTABLES O DE BALANCE</t>
  </si>
  <si>
    <t>VALOR PATRIMONIAL O VALOR EN LIBROS</t>
  </si>
  <si>
    <t>MÉTODOS CONTABLES O DEL BALANCE</t>
  </si>
  <si>
    <t>Activos Totales</t>
  </si>
  <si>
    <t>Pasivos Totales</t>
  </si>
  <si>
    <t>Valor en Libros Acción</t>
  </si>
  <si>
    <t>VALOR SUSTANCIAL NETO</t>
  </si>
  <si>
    <t>Activos totales</t>
  </si>
  <si>
    <t>Valor de la Acción</t>
  </si>
  <si>
    <t>Niveles</t>
  </si>
  <si>
    <t>Valor</t>
  </si>
  <si>
    <t>Nivel Alto</t>
  </si>
  <si>
    <t>Método</t>
  </si>
  <si>
    <t>Valor Empresa 
Ultimo Conocido</t>
  </si>
  <si>
    <t>Ultimo Patrimonio 
Real</t>
  </si>
  <si>
    <t>P/BV Sector 
(Damodaran)</t>
  </si>
  <si>
    <t>Diferencia</t>
  </si>
  <si>
    <t>Nivel Medio</t>
  </si>
  <si>
    <t>Patrimonial</t>
  </si>
  <si>
    <t>Nivel Bajo</t>
  </si>
  <si>
    <t>Sustancial  Neto</t>
  </si>
  <si>
    <t>FCLD</t>
  </si>
  <si>
    <t xml:space="preserve">Valor Medio </t>
  </si>
  <si>
    <t>Precio Por Acción</t>
  </si>
  <si>
    <t>MULTIPLOS RESULTANTES</t>
  </si>
  <si>
    <t>Sector Damodaran</t>
  </si>
  <si>
    <t>Distancia</t>
  </si>
  <si>
    <t>Resultado Según Sector</t>
  </si>
  <si>
    <t>Último Cierre</t>
  </si>
  <si>
    <t>VME / EBITDA</t>
  </si>
  <si>
    <t>VME / VENTAS</t>
  </si>
  <si>
    <t>VME / VALOR EN LIBROS</t>
  </si>
  <si>
    <t>El Valor de la empresa es X veces respecto al comparativo</t>
  </si>
  <si>
    <t>COSTOS</t>
  </si>
  <si>
    <t>Objetivo</t>
  </si>
  <si>
    <t>REDUCCIÓN DE COSTOS</t>
  </si>
  <si>
    <t>REDUCCIÓN DE COSTOS $ Proyección</t>
  </si>
  <si>
    <t>GASTOS ADMINISTRATIVOS</t>
  </si>
  <si>
    <t>REDUCCIÓN DE GASTOS ADMINISTRATIVOS</t>
  </si>
  <si>
    <t>GASTOS DE VENTAS</t>
  </si>
  <si>
    <t>REDUCCIÓN DE GASTOS DE VENTAS</t>
  </si>
  <si>
    <t>PLAN DE REDUCCIÓN EN PESOS</t>
  </si>
  <si>
    <t xml:space="preserve">COSTO DE VENTAS Y DE PRESTACIÓN DE SERVICIOS </t>
  </si>
  <si>
    <t xml:space="preserve">GASTOS OPERACIONALES DE ADMINISTRACIÓN </t>
  </si>
  <si>
    <t xml:space="preserve">GASTOS OPERACIONALES DE VENTAS </t>
  </si>
  <si>
    <t>Crecimiento Valoración Natural</t>
  </si>
  <si>
    <t>INCREMENTO EN VENTAS</t>
  </si>
  <si>
    <t>CRECIMIENTO ADICIONAL DE VENTAS</t>
  </si>
  <si>
    <t>INCREMENTO DE CRECIMIENTO</t>
  </si>
  <si>
    <t>VENTAS CON TRATAMIENTO</t>
  </si>
  <si>
    <t>Proyección con Tasa de Crecimiento + Estrategia</t>
  </si>
  <si>
    <t>'</t>
  </si>
  <si>
    <t>Crecimiento Constante</t>
  </si>
  <si>
    <t>Tasa de crecimiento - perpetuidad  g</t>
  </si>
  <si>
    <t>(=)VALOR DE LAS OPERACIONES O DE MERCADO</t>
  </si>
  <si>
    <t>RESUMEN RESULTADOS DE VALORACIÓN + ESTRATEGIA</t>
  </si>
  <si>
    <t>MÚLTIPLOS RESULTANTES DE LA VALORACIÓN + ESTRATEGIA</t>
  </si>
  <si>
    <t>Antes de Estrategias</t>
  </si>
  <si>
    <t>Resultado + Estrategias</t>
  </si>
  <si>
    <t>Variación</t>
  </si>
  <si>
    <t>GESTIÓN DE VALOR RESULTANTE</t>
  </si>
  <si>
    <t>MULTIPLO P/BV</t>
  </si>
  <si>
    <t>RESULTADO</t>
  </si>
  <si>
    <t>GESTIÓN</t>
  </si>
  <si>
    <t>P/BV SIN ESTRATEGIAS</t>
  </si>
  <si>
    <t>P/BV + ESTRATEGIAS</t>
  </si>
  <si>
    <t>GESTIÓN DE VALOR FLUJO DE CAJA</t>
  </si>
  <si>
    <t>INDUCTOR</t>
  </si>
  <si>
    <t>FCLO SIN ESTRATEGIAS</t>
  </si>
  <si>
    <t>FCLO + ESTRATEGIAS</t>
  </si>
  <si>
    <t>Beneficios a empleados</t>
  </si>
  <si>
    <t>Otros pasivos no financieros</t>
  </si>
  <si>
    <t>Reservas Ocasionales</t>
  </si>
  <si>
    <t>Reservas Obligatorias</t>
  </si>
  <si>
    <t xml:space="preserve">   </t>
  </si>
  <si>
    <t>Cifras expresadas en miles de pesos</t>
  </si>
  <si>
    <t xml:space="preserve">PROCESADORA COLOMBIANA DE CARNES PCC LTDA. </t>
  </si>
  <si>
    <r>
      <t xml:space="preserve">Rentabilidad Bruta                             </t>
    </r>
    <r>
      <rPr>
        <b/>
        <sz val="12"/>
        <rFont val="Times New Roman"/>
        <family val="1"/>
      </rPr>
      <t>Utilidad Bruta / Ventas</t>
    </r>
  </si>
  <si>
    <r>
      <t xml:space="preserve">Rentabilidad Operacional             </t>
    </r>
    <r>
      <rPr>
        <b/>
        <sz val="12"/>
        <rFont val="Times New Roman"/>
        <family val="1"/>
      </rPr>
      <t>Utilidad Operacional / Ventas</t>
    </r>
  </si>
  <si>
    <r>
      <t xml:space="preserve">Rentabilidad Neta                             </t>
    </r>
    <r>
      <rPr>
        <b/>
        <sz val="12"/>
        <rFont val="Times New Roman"/>
        <family val="1"/>
      </rPr>
      <t xml:space="preserve">    Utilidad Neta / Ventas</t>
    </r>
  </si>
  <si>
    <r>
      <t xml:space="preserve">ROE                                                        </t>
    </r>
    <r>
      <rPr>
        <b/>
        <sz val="12"/>
        <rFont val="Times New Roman"/>
        <family val="1"/>
      </rPr>
      <t>Utilidad Neta / Patrimonio</t>
    </r>
  </si>
  <si>
    <r>
      <t xml:space="preserve">Capital de Trabajo                    </t>
    </r>
    <r>
      <rPr>
        <b/>
        <sz val="12"/>
        <rFont val="Times New Roman"/>
        <family val="1"/>
      </rPr>
      <t>Activo Corriente - Pasivo Corriente</t>
    </r>
  </si>
  <si>
    <r>
      <t xml:space="preserve">Razon Corriente                       </t>
    </r>
    <r>
      <rPr>
        <b/>
        <sz val="12"/>
        <rFont val="Times New Roman"/>
        <family val="1"/>
      </rPr>
      <t>Activo Corriente / Pasivo Corriente</t>
    </r>
  </si>
  <si>
    <r>
      <t xml:space="preserve">Prueba Acida                    </t>
    </r>
    <r>
      <rPr>
        <b/>
        <sz val="12"/>
        <rFont val="Times New Roman"/>
        <family val="1"/>
      </rPr>
      <t>(Activo Corriente - Inventarios) / Pasivo Corriente</t>
    </r>
  </si>
  <si>
    <r>
      <t xml:space="preserve">Nivel de Endeudamiento              </t>
    </r>
    <r>
      <rPr>
        <b/>
        <sz val="12"/>
        <rFont val="Times New Roman"/>
        <family val="1"/>
      </rPr>
      <t xml:space="preserve"> Total Pasivo / Total Activo</t>
    </r>
  </si>
  <si>
    <r>
      <t xml:space="preserve">Concentracion CP        </t>
    </r>
    <r>
      <rPr>
        <b/>
        <sz val="12"/>
        <rFont val="Times New Roman"/>
        <family val="1"/>
      </rPr>
      <t xml:space="preserve">                      Pasivo Corriente / Pasivo Total</t>
    </r>
  </si>
  <si>
    <r>
      <t xml:space="preserve">Concentracion LP                   </t>
    </r>
    <r>
      <rPr>
        <b/>
        <sz val="12"/>
        <rFont val="Times New Roman"/>
        <family val="1"/>
      </rPr>
      <t xml:space="preserve">       Pasivo No Corriente / Pasivo Total</t>
    </r>
  </si>
  <si>
    <r>
      <t xml:space="preserve">Utilidad / ventas      </t>
    </r>
    <r>
      <rPr>
        <b/>
        <sz val="12"/>
        <rFont val="Times New Roman"/>
        <family val="1"/>
      </rPr>
      <t xml:space="preserve"> MARGEN</t>
    </r>
  </si>
  <si>
    <r>
      <t xml:space="preserve">Ventas / activo        </t>
    </r>
    <r>
      <rPr>
        <b/>
        <sz val="12"/>
        <rFont val="Times New Roman"/>
        <family val="1"/>
      </rPr>
      <t>ROTACIÓN</t>
    </r>
  </si>
  <si>
    <r>
      <t xml:space="preserve">Activo / patrimonio   </t>
    </r>
    <r>
      <rPr>
        <b/>
        <sz val="12"/>
        <rFont val="Times New Roman"/>
        <family val="1"/>
      </rPr>
      <t>ENDEUDAMIENTO</t>
    </r>
  </si>
  <si>
    <t>Rentabilidad del Mercado en $COL</t>
  </si>
  <si>
    <r>
      <t xml:space="preserve">Tasa libre de riesgo </t>
    </r>
    <r>
      <rPr>
        <b/>
        <u/>
        <sz val="12"/>
        <rFont val="Times New Roman"/>
        <family val="1"/>
      </rPr>
      <t>nominal</t>
    </r>
    <r>
      <rPr>
        <sz val="12"/>
        <rFont val="Times New Roman"/>
        <family val="1"/>
      </rPr>
      <t xml:space="preserve"> en dólares      KL</t>
    </r>
    <r>
      <rPr>
        <b/>
        <vertAlign val="subscript"/>
        <sz val="12"/>
        <rFont val="Times New Roman"/>
        <family val="1"/>
      </rPr>
      <t xml:space="preserve">  USA</t>
    </r>
  </si>
  <si>
    <r>
      <t xml:space="preserve">Tasa libre de riesgo </t>
    </r>
    <r>
      <rPr>
        <b/>
        <u/>
        <sz val="12"/>
        <rFont val="Times New Roman"/>
        <family val="1"/>
      </rPr>
      <t>real</t>
    </r>
    <r>
      <rPr>
        <sz val="12"/>
        <rFont val="Times New Roman"/>
        <family val="1"/>
      </rPr>
      <t xml:space="preserve"> en dólares</t>
    </r>
  </si>
  <si>
    <r>
      <t xml:space="preserve">Tasa libre de riesgo  </t>
    </r>
    <r>
      <rPr>
        <b/>
        <u/>
        <sz val="12"/>
        <rFont val="Times New Roman"/>
        <family val="1"/>
      </rPr>
      <t>nominal</t>
    </r>
    <r>
      <rPr>
        <sz val="12"/>
        <rFont val="Times New Roman"/>
        <family val="1"/>
      </rPr>
      <t xml:space="preserve"> en $COL</t>
    </r>
  </si>
  <si>
    <r>
      <t xml:space="preserve">Rentabilidad Mercado en dólares                </t>
    </r>
    <r>
      <rPr>
        <b/>
        <sz val="12"/>
        <rFont val="Times New Roman"/>
        <family val="1"/>
      </rPr>
      <t>K</t>
    </r>
    <r>
      <rPr>
        <b/>
        <vertAlign val="subscript"/>
        <sz val="12"/>
        <rFont val="Times New Roman"/>
        <family val="1"/>
      </rPr>
      <t>m</t>
    </r>
    <r>
      <rPr>
        <b/>
        <sz val="12"/>
        <rFont val="Times New Roman"/>
        <family val="1"/>
      </rPr>
      <t xml:space="preserve"> USA</t>
    </r>
  </si>
  <si>
    <r>
      <t xml:space="preserve">Rentabilidad del Mercado </t>
    </r>
    <r>
      <rPr>
        <b/>
        <u/>
        <sz val="12"/>
        <rFont val="Times New Roman"/>
        <family val="1"/>
      </rPr>
      <t>real</t>
    </r>
    <r>
      <rPr>
        <sz val="12"/>
        <rFont val="Times New Roman"/>
        <family val="1"/>
      </rPr>
      <t xml:space="preserve"> en dólares  </t>
    </r>
    <r>
      <rPr>
        <b/>
        <sz val="12"/>
        <rFont val="Times New Roman"/>
        <family val="1"/>
      </rPr>
      <t>Km USA</t>
    </r>
  </si>
  <si>
    <r>
      <t xml:space="preserve">Prima de riesgo del mercado                </t>
    </r>
    <r>
      <rPr>
        <b/>
        <sz val="12"/>
        <rFont val="Times New Roman"/>
        <family val="1"/>
      </rPr>
      <t>(K</t>
    </r>
    <r>
      <rPr>
        <b/>
        <vertAlign val="subscript"/>
        <sz val="12"/>
        <rFont val="Times New Roman"/>
        <family val="1"/>
      </rPr>
      <t>m</t>
    </r>
    <r>
      <rPr>
        <b/>
        <sz val="12"/>
        <rFont val="Times New Roman"/>
        <family val="1"/>
      </rPr>
      <t xml:space="preserve"> - KL)</t>
    </r>
  </si>
  <si>
    <r>
      <t xml:space="preserve">Beta Apalancada     </t>
    </r>
    <r>
      <rPr>
        <b/>
        <sz val="12"/>
        <rFont val="Times New Roman"/>
        <family val="1"/>
      </rPr>
      <t>BL = BU * ( 1 + (1-t) * D/P)</t>
    </r>
  </si>
  <si>
    <r>
      <t xml:space="preserve">Costo del Patrimonio   </t>
    </r>
    <r>
      <rPr>
        <b/>
        <sz val="12"/>
        <rFont val="Times New Roman"/>
        <family val="1"/>
      </rPr>
      <t xml:space="preserve"> Ke =         Kl +    (K</t>
    </r>
    <r>
      <rPr>
        <b/>
        <vertAlign val="subscript"/>
        <sz val="12"/>
        <rFont val="Times New Roman"/>
        <family val="1"/>
      </rPr>
      <t>m</t>
    </r>
    <r>
      <rPr>
        <b/>
        <sz val="12"/>
        <rFont val="Times New Roman"/>
        <family val="1"/>
      </rPr>
      <t xml:space="preserve"> - KL)*B + RP</t>
    </r>
  </si>
  <si>
    <r>
      <t xml:space="preserve">Estructura Deuda       </t>
    </r>
    <r>
      <rPr>
        <b/>
        <sz val="12"/>
        <rFont val="Times New Roman"/>
        <family val="1"/>
      </rPr>
      <t>D/(D+ K)</t>
    </r>
  </si>
  <si>
    <r>
      <t xml:space="preserve">Estructura Patrimonio      </t>
    </r>
    <r>
      <rPr>
        <b/>
        <sz val="12"/>
        <rFont val="Times New Roman"/>
        <family val="1"/>
      </rPr>
      <t>K/(D+ K)</t>
    </r>
  </si>
  <si>
    <r>
      <rPr>
        <sz val="12"/>
        <rFont val="Times New Roman"/>
        <family val="1"/>
      </rPr>
      <t>Total Estructura de Capital</t>
    </r>
    <r>
      <rPr>
        <b/>
        <sz val="12"/>
        <rFont val="Times New Roman"/>
        <family val="1"/>
      </rPr>
      <t xml:space="preserve">   D+K</t>
    </r>
  </si>
  <si>
    <r>
      <t xml:space="preserve">Costo Despues de Impuestos (Escudo Fiscal)  </t>
    </r>
    <r>
      <rPr>
        <b/>
        <sz val="12"/>
        <rFont val="Times New Roman"/>
        <family val="1"/>
      </rPr>
      <t>Kd*(1- tx)</t>
    </r>
  </si>
  <si>
    <r>
      <t xml:space="preserve">Aporte Costo de la Deuda    </t>
    </r>
    <r>
      <rPr>
        <b/>
        <sz val="12"/>
        <rFont val="Times New Roman"/>
        <family val="1"/>
      </rPr>
      <t>Estructura deuda * Costo</t>
    </r>
  </si>
  <si>
    <r>
      <t xml:space="preserve">Aporte Costo Patrimonio     </t>
    </r>
    <r>
      <rPr>
        <b/>
        <sz val="12"/>
        <rFont val="Times New Roman"/>
        <family val="1"/>
      </rPr>
      <t>Estructura Patromonio * Costo</t>
    </r>
  </si>
  <si>
    <r>
      <t>FCLO</t>
    </r>
    <r>
      <rPr>
        <b/>
        <vertAlign val="subscript"/>
        <sz val="12"/>
        <rFont val="Times New Roman"/>
        <family val="1"/>
      </rPr>
      <t>n</t>
    </r>
  </si>
  <si>
    <r>
      <t xml:space="preserve">WACC </t>
    </r>
    <r>
      <rPr>
        <b/>
        <vertAlign val="subscript"/>
        <sz val="12"/>
        <rFont val="Times New Roman"/>
        <family val="1"/>
      </rPr>
      <t>n</t>
    </r>
  </si>
  <si>
    <t>VALOR TERMINAL      (FCLO / WACC)</t>
  </si>
  <si>
    <t>VALOR TERMINAL                                  FCLO*(1+g) / (WAAC - g)</t>
  </si>
  <si>
    <t>(Menos) Deuda operacional (Pasivo Corriente - Oblig.Finan CP)</t>
  </si>
  <si>
    <t>Patrimonio            A - P = Pat</t>
  </si>
  <si>
    <t>Pasivo Exigible Deudas    Financiacion con terceros  FIN  CP + FIN LP + PROVE</t>
  </si>
  <si>
    <t>Patrimonio            Act   -    financiacion con terceros = Pat</t>
  </si>
  <si>
    <r>
      <t xml:space="preserve">Tasa libre de riesgo  </t>
    </r>
    <r>
      <rPr>
        <b/>
        <u/>
        <sz val="12"/>
        <rFont val="Times New Roman"/>
        <family val="1"/>
      </rPr>
      <t>nominal</t>
    </r>
    <r>
      <rPr>
        <b/>
        <sz val="12"/>
        <rFont val="Times New Roman"/>
        <family val="1"/>
      </rPr>
      <t xml:space="preserve"> en $COL</t>
    </r>
  </si>
  <si>
    <r>
      <t>Rentabilidad Mercado en dólares                K</t>
    </r>
    <r>
      <rPr>
        <b/>
        <vertAlign val="subscript"/>
        <sz val="12"/>
        <rFont val="Times New Roman"/>
        <family val="1"/>
      </rPr>
      <t>m</t>
    </r>
    <r>
      <rPr>
        <b/>
        <sz val="12"/>
        <rFont val="Times New Roman"/>
        <family val="1"/>
      </rPr>
      <t xml:space="preserve"> USA</t>
    </r>
  </si>
  <si>
    <r>
      <t xml:space="preserve">Rentabilidad del Mercado </t>
    </r>
    <r>
      <rPr>
        <b/>
        <u/>
        <sz val="12"/>
        <rFont val="Times New Roman"/>
        <family val="1"/>
      </rPr>
      <t>real</t>
    </r>
    <r>
      <rPr>
        <b/>
        <sz val="12"/>
        <rFont val="Times New Roman"/>
        <family val="1"/>
      </rPr>
      <t xml:space="preserve"> en dólares  Km USA</t>
    </r>
  </si>
  <si>
    <t>Beta Apalancada     BL = BU * ( 1 + (1-t) * D/P)</t>
  </si>
  <si>
    <t xml:space="preserve">Deuda    </t>
  </si>
  <si>
    <t xml:space="preserve">Patrimonio       </t>
  </si>
  <si>
    <t xml:space="preserve">ESTRATEGIA 1 </t>
  </si>
  <si>
    <t>REDUCCIÓN DE GASTOS ADMON</t>
  </si>
  <si>
    <t>REDUCCIÓN GASTOS DE VENTAS</t>
  </si>
  <si>
    <t>Indicador de Altman</t>
  </si>
  <si>
    <t>Activo corriente</t>
  </si>
  <si>
    <t>Total Activos</t>
  </si>
  <si>
    <t>Total Pasivos</t>
  </si>
  <si>
    <t>Beneficios No Distribuidos</t>
  </si>
  <si>
    <t>EBITDA</t>
  </si>
  <si>
    <t>Factores</t>
  </si>
  <si>
    <t>X1</t>
  </si>
  <si>
    <t>X1= Activos Circulantes / Total activos</t>
  </si>
  <si>
    <t>X2</t>
  </si>
  <si>
    <t>X2= Beneficios no distribuidos / Total activos</t>
  </si>
  <si>
    <t>X3</t>
  </si>
  <si>
    <t>X3= EBITDA/ Total activos</t>
  </si>
  <si>
    <t>X4</t>
  </si>
  <si>
    <t>X4= Patrimonio / pasivo total</t>
  </si>
  <si>
    <t>X5</t>
  </si>
  <si>
    <t>X5= Ventas / Total activos</t>
  </si>
  <si>
    <t>Peligro de quiebra</t>
  </si>
  <si>
    <t>Zona Gris</t>
  </si>
  <si>
    <t>Situación normal</t>
  </si>
  <si>
    <t>PCC</t>
  </si>
  <si>
    <t>Z = 1.03A + 3.07B + 0.66C + 0.40D</t>
  </si>
  <si>
    <t>Indicador Springate</t>
  </si>
  <si>
    <t>Capital de trabajo</t>
  </si>
  <si>
    <t>Activo total</t>
  </si>
  <si>
    <t>Utilidad neta antes de intereses e impuestos</t>
  </si>
  <si>
    <t>Utilidad neta antes de impuestos</t>
  </si>
  <si>
    <t>Pasivo corriente</t>
  </si>
  <si>
    <t>A</t>
  </si>
  <si>
    <t>B</t>
  </si>
  <si>
    <t>C</t>
  </si>
  <si>
    <t>D</t>
  </si>
  <si>
    <t>Insolvencia</t>
  </si>
  <si>
    <r>
      <t xml:space="preserve">Deuda     </t>
    </r>
    <r>
      <rPr>
        <b/>
        <sz val="12"/>
        <rFont val="Times New Roman"/>
        <family val="1"/>
      </rPr>
      <t>D</t>
    </r>
  </si>
  <si>
    <r>
      <t xml:space="preserve">Patrimonio       </t>
    </r>
    <r>
      <rPr>
        <b/>
        <sz val="12"/>
        <rFont val="Times New Roman"/>
        <family val="1"/>
      </rPr>
      <t>K</t>
    </r>
  </si>
  <si>
    <t xml:space="preserve">MÚLTIPLOS RESULTANTES DE LA VALORACIÓN SIN ESTRATEGIA </t>
  </si>
  <si>
    <t>RESUMEN RESULTADOS DE VALORACIÓN SIN ESTRATEGIA</t>
  </si>
  <si>
    <t>ESTRATEGIA 2</t>
  </si>
  <si>
    <t>ESTRATEGIA 3</t>
  </si>
  <si>
    <t xml:space="preserve"> INCREMENTO EN VENTAS</t>
  </si>
  <si>
    <t>CREDITO ADQUIRIDO</t>
  </si>
  <si>
    <t xml:space="preserve">PLAZO </t>
  </si>
  <si>
    <t>TASA</t>
  </si>
  <si>
    <t>48 MESES</t>
  </si>
  <si>
    <t xml:space="preserve">PERIODO </t>
  </si>
  <si>
    <t>DEUDA INICIAL</t>
  </si>
  <si>
    <t>TASA DE INTERES</t>
  </si>
  <si>
    <t xml:space="preserve">INTERESES </t>
  </si>
  <si>
    <t xml:space="preserve">AMORTIZACION </t>
  </si>
  <si>
    <t>PAGO</t>
  </si>
  <si>
    <t>DEUDA FINAL</t>
  </si>
  <si>
    <t>E.A.</t>
  </si>
  <si>
    <t>TABLA DE AMORTIZACION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</si>
</sst>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"/>
    <numFmt numFmtId="165" formatCode="_-* #,##0_-;\-* #,##0_-;_-* &quot;-&quot;_-;_-@"/>
    <numFmt numFmtId="166" formatCode="_(* #,##0_);_(* \(#,##0\);_(* &quot;-&quot;_);_(@_)"/>
    <numFmt numFmtId="167" formatCode="0.0%"/>
    <numFmt numFmtId="168" formatCode="_-* #,##0.0_-;\-* #,##0.0_-;_-* &quot;-&quot;?_-;_-@"/>
    <numFmt numFmtId="169" formatCode="_-* #,##0.00_-;\-* #,##0.00_-;_-* &quot;-&quot;??_-;_-@"/>
    <numFmt numFmtId="170" formatCode="0\ &quot;p&quot;"/>
    <numFmt numFmtId="171" formatCode="_(&quot;$&quot;* #,##0_);_(&quot;$&quot;* \(#,##0\);_(&quot;$&quot;* &quot;-&quot;??_);_(@_)"/>
    <numFmt numFmtId="172" formatCode="0.00%\ ;\(0.00%\)"/>
    <numFmt numFmtId="173" formatCode="&quot;PIB = &quot;0.00%"/>
    <numFmt numFmtId="174" formatCode="&quot;Inflación = &quot;0.00%"/>
    <numFmt numFmtId="175" formatCode="#,##0.00%_ ;\(#,##0.00%\)"/>
    <numFmt numFmtId="176" formatCode="#,##0.0%_ ;\(#,##0.0%\)"/>
    <numFmt numFmtId="177" formatCode="_(&quot;$&quot;\ * #,##0_);_(&quot;$&quot;\ * \(#,##0\);_(&quot;$&quot;\ * &quot;-&quot;??_);_(@_)"/>
    <numFmt numFmtId="178" formatCode="_(* #,##0_);_(* \(#,##0\);_(* &quot;-&quot;??_);_(@_)"/>
    <numFmt numFmtId="179" formatCode="_-* #,##0.00_-;\-* #,##0.00_-;_-* &quot;-&quot;_-;_-@"/>
    <numFmt numFmtId="180" formatCode="_(&quot;$&quot;\ * #,##0.00_);_(&quot;$&quot;\ * \(#,##0.00\);_(&quot;$&quot;\ * &quot;-&quot;??_);_(@_)"/>
    <numFmt numFmtId="181" formatCode="0.00\ \X"/>
    <numFmt numFmtId="182" formatCode="_(* #,##0.00_);_(* \(#,##0.00\);_(* &quot;-&quot;??_);_(@_)"/>
    <numFmt numFmtId="183" formatCode="_-&quot;$&quot;* #,##0_-;\-&quot;$&quot;* #,##0_-;_-&quot;$&quot;* &quot;-&quot;??_-;_-@"/>
    <numFmt numFmtId="184" formatCode="_-&quot;$&quot;* #,##0.00_-;\-&quot;$&quot;* #,##0.00_-;_-&quot;$&quot;* &quot;-&quot;??_-;_-@"/>
    <numFmt numFmtId="185" formatCode="_-&quot;$&quot;\ * #,##0_-;\-&quot;$&quot;\ * #,##0_-;_-&quot;$&quot;\ * &quot;-&quot;??_-;_-@"/>
    <numFmt numFmtId="186" formatCode="_-* #,##0.00\ _€_-;\-* #,##0.00\ _€_-;_-* &quot;-&quot;??\ _€_-;_-@"/>
    <numFmt numFmtId="187" formatCode="0.000%"/>
    <numFmt numFmtId="188" formatCode="0.000"/>
    <numFmt numFmtId="189" formatCode="_-&quot;$&quot;\ * #,##0_-;\-&quot;$&quot;\ * #,##0_-;_-&quot;$&quot;\ * &quot;-&quot;??_-;_-@_-"/>
  </numFmts>
  <fonts count="33">
    <font>
      <sz val="1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16"/>
      <name val="Teko"/>
    </font>
    <font>
      <b/>
      <sz val="11"/>
      <color rgb="FF00B0F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2F2F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2"/>
      <color rgb="FFF2F2F2"/>
      <name val="Times New Roman"/>
      <family val="1"/>
    </font>
    <font>
      <b/>
      <sz val="12"/>
      <name val="Times New Roman"/>
      <family val="1"/>
    </font>
    <font>
      <b/>
      <i/>
      <u/>
      <sz val="1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name val="Times New Roman"/>
      <family val="1"/>
    </font>
    <font>
      <b/>
      <vertAlign val="subscript"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0"/>
      <name val="Times New Roman"/>
      <family val="1"/>
    </font>
    <font>
      <sz val="12"/>
      <color rgb="FF00B050"/>
      <name val="Times New Roman"/>
      <family val="1"/>
    </font>
    <font>
      <i/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0"/>
      <name val="Times New Roman"/>
      <family val="1"/>
    </font>
    <font>
      <sz val="12"/>
      <color theme="0"/>
      <name val="Calibri"/>
      <family val="2"/>
    </font>
  </fonts>
  <fills count="7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2E75B5"/>
        <bgColor rgb="FF2E75B5"/>
      </patternFill>
    </fill>
    <fill>
      <patternFill patternType="solid">
        <fgColor rgb="FFFFFF00"/>
        <bgColor rgb="FFFFFF00"/>
      </patternFill>
    </fill>
    <fill>
      <patternFill patternType="solid">
        <fgColor rgb="FF0070C0"/>
        <bgColor rgb="FF0070C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rgb="FFC00000"/>
      </patternFill>
    </fill>
    <fill>
      <patternFill patternType="solid">
        <fgColor rgb="FF9CC2E5"/>
        <bgColor rgb="FF9CC2E5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E7E6E6"/>
        <bgColor rgb="FFE7E6E6"/>
      </patternFill>
    </fill>
    <fill>
      <patternFill patternType="solid">
        <fgColor rgb="FFDEEAF6"/>
        <bgColor rgb="FFDEEAF6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B4C6E7"/>
        <bgColor rgb="FFB4C6E7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FFE598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theme="1"/>
      </patternFill>
    </fill>
    <fill>
      <patternFill patternType="solid">
        <fgColor theme="4" tint="-0.249977111117893"/>
        <bgColor rgb="FF00B0F0"/>
      </patternFill>
    </fill>
    <fill>
      <patternFill patternType="solid">
        <fgColor theme="4" tint="-0.249977111117893"/>
        <bgColor rgb="FF2E75B5"/>
      </patternFill>
    </fill>
    <fill>
      <patternFill patternType="solid">
        <fgColor theme="4" tint="-0.249977111117893"/>
        <bgColor rgb="FF0070C0"/>
      </patternFill>
    </fill>
    <fill>
      <patternFill patternType="solid">
        <fgColor theme="4" tint="0.39997558519241921"/>
        <bgColor rgb="FFF4B083"/>
      </patternFill>
    </fill>
    <fill>
      <patternFill patternType="solid">
        <fgColor theme="4" tint="0.39997558519241921"/>
        <bgColor rgb="FF7030A0"/>
      </patternFill>
    </fill>
    <fill>
      <patternFill patternType="solid">
        <fgColor theme="0"/>
        <bgColor rgb="FF00B050"/>
      </patternFill>
    </fill>
    <fill>
      <patternFill patternType="solid">
        <fgColor theme="4" tint="-0.249977111117893"/>
        <bgColor rgb="FF00B05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00B05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2060"/>
      </patternFill>
    </fill>
    <fill>
      <patternFill patternType="solid">
        <fgColor theme="4" tint="0.39997558519241921"/>
        <bgColor rgb="FFFFC000"/>
      </patternFill>
    </fill>
    <fill>
      <patternFill patternType="solid">
        <fgColor theme="0"/>
        <bgColor rgb="FFF7CAAC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4" tint="0.39997558519241921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8EAADB"/>
      </patternFill>
    </fill>
    <fill>
      <patternFill patternType="solid">
        <fgColor theme="4" tint="-0.249977111117893"/>
        <bgColor rgb="FF92D050"/>
      </patternFill>
    </fill>
    <fill>
      <patternFill patternType="solid">
        <fgColor theme="0"/>
        <bgColor rgb="FFFEF2CB"/>
      </patternFill>
    </fill>
    <fill>
      <patternFill patternType="solid">
        <fgColor theme="4" tint="0.39997558519241921"/>
        <bgColor rgb="FFA8D08D"/>
      </patternFill>
    </fill>
    <fill>
      <patternFill patternType="solid">
        <fgColor theme="4" tint="-0.249977111117893"/>
        <bgColor rgb="FFFFFF00"/>
      </patternFill>
    </fill>
    <fill>
      <patternFill patternType="solid">
        <fgColor theme="4" tint="-0.249977111117893"/>
        <bgColor rgb="FFAEABAB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E598"/>
      </patternFill>
    </fill>
    <fill>
      <patternFill patternType="solid">
        <fgColor theme="4" tint="0.39997558519241921"/>
        <bgColor rgb="FFFFE598"/>
      </patternFill>
    </fill>
    <fill>
      <patternFill patternType="solid">
        <fgColor theme="4" tint="-0.249977111117893"/>
        <bgColor rgb="FFBFBFBF"/>
      </patternFill>
    </fill>
    <fill>
      <patternFill patternType="solid">
        <fgColor theme="0"/>
        <bgColor rgb="FF0070C0"/>
      </patternFill>
    </fill>
    <fill>
      <patternFill patternType="solid">
        <fgColor theme="4" tint="-0.249977111117893"/>
        <bgColor theme="1"/>
      </patternFill>
    </fill>
    <fill>
      <patternFill patternType="solid">
        <fgColor theme="4" tint="0.39997558519241921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4" tint="-0.499984740745262"/>
        <bgColor theme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rgb="FF595959"/>
      </patternFill>
    </fill>
    <fill>
      <patternFill patternType="solid">
        <fgColor theme="0" tint="-4.9989318521683403E-2"/>
        <bgColor rgb="FFFEF2CB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-0.499984740745262"/>
        <bgColor rgb="FFF2F2F2"/>
      </patternFill>
    </fill>
    <fill>
      <patternFill patternType="solid">
        <fgColor theme="4" tint="-0.499984740745262"/>
        <bgColor rgb="FF007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FFE598"/>
      </patternFill>
    </fill>
    <fill>
      <patternFill patternType="solid">
        <fgColor theme="0" tint="-0.14999847407452621"/>
        <bgColor rgb="FFFEF2CB"/>
      </patternFill>
    </fill>
    <fill>
      <patternFill patternType="solid">
        <fgColor theme="0"/>
        <bgColor rgb="FF2E75B5"/>
      </patternFill>
    </fill>
    <fill>
      <patternFill patternType="solid">
        <fgColor theme="4" tint="0.39997558519241921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43" fontId="1" fillId="0" borderId="6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408">
    <xf numFmtId="0" fontId="0" fillId="0" borderId="0" xfId="0"/>
    <xf numFmtId="0" fontId="3" fillId="0" borderId="7" xfId="0" applyFont="1" applyBorder="1"/>
    <xf numFmtId="0" fontId="3" fillId="10" borderId="8" xfId="0" applyFont="1" applyFill="1" applyBorder="1"/>
    <xf numFmtId="0" fontId="3" fillId="10" borderId="9" xfId="0" applyFont="1" applyFill="1" applyBorder="1"/>
    <xf numFmtId="0" fontId="3" fillId="6" borderId="7" xfId="0" applyFont="1" applyFill="1" applyBorder="1"/>
    <xf numFmtId="0" fontId="3" fillId="6" borderId="8" xfId="0" applyFont="1" applyFill="1" applyBorder="1"/>
    <xf numFmtId="0" fontId="3" fillId="6" borderId="9" xfId="0" applyFont="1" applyFill="1" applyBorder="1"/>
    <xf numFmtId="0" fontId="3" fillId="0" borderId="10" xfId="0" applyFont="1" applyBorder="1"/>
    <xf numFmtId="10" fontId="6" fillId="0" borderId="1" xfId="0" applyNumberFormat="1" applyFont="1" applyBorder="1"/>
    <xf numFmtId="0" fontId="3" fillId="0" borderId="12" xfId="0" applyFont="1" applyBorder="1"/>
    <xf numFmtId="10" fontId="7" fillId="0" borderId="14" xfId="0" applyNumberFormat="1" applyFont="1" applyBorder="1"/>
    <xf numFmtId="0" fontId="2" fillId="0" borderId="6" xfId="0" applyFont="1" applyBorder="1"/>
    <xf numFmtId="10" fontId="3" fillId="23" borderId="10" xfId="0" applyNumberFormat="1" applyFont="1" applyFill="1" applyBorder="1"/>
    <xf numFmtId="0" fontId="15" fillId="25" borderId="6" xfId="0" applyFont="1" applyFill="1" applyBorder="1" applyAlignment="1">
      <alignment vertical="center"/>
    </xf>
    <xf numFmtId="0" fontId="16" fillId="20" borderId="6" xfId="0" applyFont="1" applyFill="1" applyBorder="1"/>
    <xf numFmtId="0" fontId="17" fillId="23" borderId="6" xfId="0" applyFont="1" applyFill="1" applyBorder="1"/>
    <xf numFmtId="0" fontId="18" fillId="0" borderId="0" xfId="0" applyFont="1"/>
    <xf numFmtId="0" fontId="20" fillId="26" borderId="6" xfId="0" applyFont="1" applyFill="1" applyBorder="1"/>
    <xf numFmtId="0" fontId="21" fillId="23" borderId="6" xfId="0" applyFont="1" applyFill="1" applyBorder="1"/>
    <xf numFmtId="0" fontId="17" fillId="0" borderId="0" xfId="0" applyFont="1"/>
    <xf numFmtId="164" fontId="16" fillId="20" borderId="1" xfId="0" applyNumberFormat="1" applyFont="1" applyFill="1" applyBorder="1"/>
    <xf numFmtId="0" fontId="17" fillId="0" borderId="6" xfId="0" applyFont="1" applyBorder="1"/>
    <xf numFmtId="0" fontId="21" fillId="0" borderId="6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10" fontId="17" fillId="0" borderId="6" xfId="0" applyNumberFormat="1" applyFont="1" applyBorder="1" applyAlignment="1">
      <alignment horizontal="center"/>
    </xf>
    <xf numFmtId="0" fontId="21" fillId="32" borderId="6" xfId="0" applyFont="1" applyFill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0" fontId="21" fillId="0" borderId="6" xfId="0" applyFont="1" applyBorder="1"/>
    <xf numFmtId="0" fontId="18" fillId="28" borderId="6" xfId="0" applyFont="1" applyFill="1" applyBorder="1"/>
    <xf numFmtId="0" fontId="21" fillId="30" borderId="6" xfId="0" applyFont="1" applyFill="1" applyBorder="1"/>
    <xf numFmtId="0" fontId="16" fillId="27" borderId="6" xfId="0" applyFont="1" applyFill="1" applyBorder="1"/>
    <xf numFmtId="0" fontId="17" fillId="0" borderId="6" xfId="0" applyFont="1" applyBorder="1" applyAlignment="1">
      <alignment horizontal="left"/>
    </xf>
    <xf numFmtId="164" fontId="17" fillId="0" borderId="6" xfId="0" applyNumberFormat="1" applyFont="1" applyBorder="1"/>
    <xf numFmtId="10" fontId="21" fillId="0" borderId="6" xfId="0" applyNumberFormat="1" applyFont="1" applyBorder="1"/>
    <xf numFmtId="10" fontId="17" fillId="0" borderId="6" xfId="0" applyNumberFormat="1" applyFont="1" applyBorder="1"/>
    <xf numFmtId="10" fontId="17" fillId="23" borderId="6" xfId="0" applyNumberFormat="1" applyFont="1" applyFill="1" applyBorder="1"/>
    <xf numFmtId="165" fontId="21" fillId="0" borderId="6" xfId="0" applyNumberFormat="1" applyFont="1" applyBorder="1"/>
    <xf numFmtId="0" fontId="17" fillId="27" borderId="6" xfId="0" applyFont="1" applyFill="1" applyBorder="1"/>
    <xf numFmtId="10" fontId="21" fillId="23" borderId="6" xfId="0" applyNumberFormat="1" applyFont="1" applyFill="1" applyBorder="1"/>
    <xf numFmtId="165" fontId="21" fillId="29" borderId="6" xfId="0" applyNumberFormat="1" applyFont="1" applyFill="1" applyBorder="1"/>
    <xf numFmtId="0" fontId="18" fillId="0" borderId="6" xfId="0" applyFont="1" applyBorder="1"/>
    <xf numFmtId="0" fontId="19" fillId="0" borderId="6" xfId="0" applyFont="1" applyBorder="1"/>
    <xf numFmtId="164" fontId="16" fillId="20" borderId="6" xfId="0" applyNumberFormat="1" applyFont="1" applyFill="1" applyBorder="1"/>
    <xf numFmtId="165" fontId="17" fillId="0" borderId="6" xfId="0" applyNumberFormat="1" applyFont="1" applyBorder="1"/>
    <xf numFmtId="165" fontId="21" fillId="5" borderId="6" xfId="0" applyNumberFormat="1" applyFont="1" applyFill="1" applyBorder="1"/>
    <xf numFmtId="1" fontId="17" fillId="2" borderId="6" xfId="0" applyNumberFormat="1" applyFont="1" applyFill="1" applyBorder="1"/>
    <xf numFmtId="0" fontId="21" fillId="28" borderId="6" xfId="0" applyFont="1" applyFill="1" applyBorder="1"/>
    <xf numFmtId="0" fontId="21" fillId="31" borderId="6" xfId="0" applyFont="1" applyFill="1" applyBorder="1"/>
    <xf numFmtId="0" fontId="21" fillId="31" borderId="6" xfId="0" applyFont="1" applyFill="1" applyBorder="1" applyAlignment="1">
      <alignment horizontal="center"/>
    </xf>
    <xf numFmtId="0" fontId="21" fillId="37" borderId="6" xfId="0" applyFont="1" applyFill="1" applyBorder="1" applyAlignment="1">
      <alignment horizontal="center"/>
    </xf>
    <xf numFmtId="0" fontId="17" fillId="31" borderId="6" xfId="0" applyFont="1" applyFill="1" applyBorder="1"/>
    <xf numFmtId="0" fontId="21" fillId="6" borderId="6" xfId="0" applyFont="1" applyFill="1" applyBorder="1" applyAlignment="1">
      <alignment horizontal="center"/>
    </xf>
    <xf numFmtId="0" fontId="21" fillId="7" borderId="6" xfId="0" applyFont="1" applyFill="1" applyBorder="1" applyAlignment="1">
      <alignment horizontal="center"/>
    </xf>
    <xf numFmtId="0" fontId="21" fillId="8" borderId="6" xfId="0" applyFont="1" applyFill="1" applyBorder="1" applyAlignment="1">
      <alignment horizontal="center"/>
    </xf>
    <xf numFmtId="0" fontId="21" fillId="9" borderId="6" xfId="0" applyFont="1" applyFill="1" applyBorder="1" applyAlignment="1">
      <alignment horizontal="center"/>
    </xf>
    <xf numFmtId="9" fontId="17" fillId="0" borderId="6" xfId="0" applyNumberFormat="1" applyFont="1" applyBorder="1" applyAlignment="1">
      <alignment horizontal="center"/>
    </xf>
    <xf numFmtId="9" fontId="17" fillId="21" borderId="6" xfId="0" applyNumberFormat="1" applyFont="1" applyFill="1" applyBorder="1" applyAlignment="1">
      <alignment horizontal="center"/>
    </xf>
    <xf numFmtId="3" fontId="21" fillId="0" borderId="6" xfId="0" applyNumberFormat="1" applyFont="1" applyBorder="1"/>
    <xf numFmtId="0" fontId="17" fillId="0" borderId="6" xfId="0" applyFont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10" fontId="17" fillId="31" borderId="6" xfId="0" applyNumberFormat="1" applyFont="1" applyFill="1" applyBorder="1"/>
    <xf numFmtId="10" fontId="21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9" fontId="17" fillId="0" borderId="6" xfId="0" applyNumberFormat="1" applyFont="1" applyBorder="1"/>
    <xf numFmtId="3" fontId="17" fillId="0" borderId="6" xfId="0" applyNumberFormat="1" applyFont="1" applyBorder="1"/>
    <xf numFmtId="166" fontId="17" fillId="0" borderId="6" xfId="0" applyNumberFormat="1" applyFont="1" applyBorder="1"/>
    <xf numFmtId="0" fontId="17" fillId="34" borderId="6" xfId="0" applyFont="1" applyFill="1" applyBorder="1"/>
    <xf numFmtId="0" fontId="21" fillId="3" borderId="6" xfId="0" applyFont="1" applyFill="1" applyBorder="1"/>
    <xf numFmtId="0" fontId="21" fillId="35" borderId="6" xfId="0" applyFont="1" applyFill="1" applyBorder="1"/>
    <xf numFmtId="0" fontId="21" fillId="25" borderId="6" xfId="0" applyFont="1" applyFill="1" applyBorder="1"/>
    <xf numFmtId="10" fontId="21" fillId="11" borderId="6" xfId="0" applyNumberFormat="1" applyFont="1" applyFill="1" applyBorder="1"/>
    <xf numFmtId="10" fontId="17" fillId="12" borderId="6" xfId="0" applyNumberFormat="1" applyFont="1" applyFill="1" applyBorder="1"/>
    <xf numFmtId="0" fontId="21" fillId="11" borderId="6" xfId="0" applyFont="1" applyFill="1" applyBorder="1" applyAlignment="1">
      <alignment horizontal="center"/>
    </xf>
    <xf numFmtId="0" fontId="17" fillId="35" borderId="6" xfId="0" applyFont="1" applyFill="1" applyBorder="1"/>
    <xf numFmtId="164" fontId="21" fillId="0" borderId="6" xfId="0" applyNumberFormat="1" applyFont="1" applyBorder="1"/>
    <xf numFmtId="165" fontId="21" fillId="35" borderId="6" xfId="0" applyNumberFormat="1" applyFont="1" applyFill="1" applyBorder="1"/>
    <xf numFmtId="168" fontId="17" fillId="0" borderId="6" xfId="0" applyNumberFormat="1" applyFont="1" applyBorder="1"/>
    <xf numFmtId="167" fontId="17" fillId="0" borderId="6" xfId="0" applyNumberFormat="1" applyFont="1" applyBorder="1"/>
    <xf numFmtId="9" fontId="17" fillId="0" borderId="6" xfId="1" applyFont="1" applyBorder="1"/>
    <xf numFmtId="0" fontId="21" fillId="34" borderId="6" xfId="0" applyFont="1" applyFill="1" applyBorder="1"/>
    <xf numFmtId="0" fontId="21" fillId="27" borderId="6" xfId="0" applyFont="1" applyFill="1" applyBorder="1"/>
    <xf numFmtId="0" fontId="22" fillId="0" borderId="6" xfId="0" applyFont="1" applyBorder="1"/>
    <xf numFmtId="0" fontId="22" fillId="0" borderId="6" xfId="0" applyFont="1" applyBorder="1" applyAlignment="1">
      <alignment horizontal="left"/>
    </xf>
    <xf numFmtId="0" fontId="17" fillId="11" borderId="6" xfId="0" applyFont="1" applyFill="1" applyBorder="1"/>
    <xf numFmtId="2" fontId="17" fillId="0" borderId="6" xfId="0" applyNumberFormat="1" applyFont="1" applyBorder="1"/>
    <xf numFmtId="169" fontId="17" fillId="0" borderId="6" xfId="0" applyNumberFormat="1" applyFont="1" applyBorder="1"/>
    <xf numFmtId="0" fontId="21" fillId="13" borderId="6" xfId="0" applyFont="1" applyFill="1" applyBorder="1"/>
    <xf numFmtId="0" fontId="17" fillId="13" borderId="6" xfId="0" applyFont="1" applyFill="1" applyBorder="1"/>
    <xf numFmtId="0" fontId="17" fillId="21" borderId="6" xfId="0" applyFont="1" applyFill="1" applyBorder="1"/>
    <xf numFmtId="0" fontId="21" fillId="21" borderId="6" xfId="0" applyFont="1" applyFill="1" applyBorder="1"/>
    <xf numFmtId="2" fontId="17" fillId="21" borderId="6" xfId="0" applyNumberFormat="1" applyFont="1" applyFill="1" applyBorder="1"/>
    <xf numFmtId="0" fontId="21" fillId="13" borderId="6" xfId="0" applyFont="1" applyFill="1" applyBorder="1" applyAlignment="1">
      <alignment vertical="center"/>
    </xf>
    <xf numFmtId="10" fontId="21" fillId="14" borderId="6" xfId="0" applyNumberFormat="1" applyFont="1" applyFill="1" applyBorder="1"/>
    <xf numFmtId="0" fontId="21" fillId="32" borderId="6" xfId="0" applyFont="1" applyFill="1" applyBorder="1" applyAlignment="1">
      <alignment horizontal="center" vertical="center"/>
    </xf>
    <xf numFmtId="0" fontId="21" fillId="33" borderId="6" xfId="0" applyFont="1" applyFill="1" applyBorder="1" applyAlignment="1">
      <alignment horizontal="center" vertical="center" wrapText="1"/>
    </xf>
    <xf numFmtId="0" fontId="21" fillId="34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0" fontId="17" fillId="23" borderId="6" xfId="0" applyNumberFormat="1" applyFont="1" applyFill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21" fillId="36" borderId="6" xfId="0" applyFont="1" applyFill="1" applyBorder="1"/>
    <xf numFmtId="167" fontId="17" fillId="0" borderId="6" xfId="0" applyNumberFormat="1" applyFont="1" applyBorder="1" applyAlignment="1">
      <alignment horizontal="center"/>
    </xf>
    <xf numFmtId="167" fontId="21" fillId="0" borderId="6" xfId="0" applyNumberFormat="1" applyFont="1" applyBorder="1" applyAlignment="1">
      <alignment horizontal="center"/>
    </xf>
    <xf numFmtId="0" fontId="26" fillId="0" borderId="6" xfId="0" applyFont="1" applyBorder="1"/>
    <xf numFmtId="0" fontId="17" fillId="22" borderId="6" xfId="0" applyFont="1" applyFill="1" applyBorder="1"/>
    <xf numFmtId="0" fontId="21" fillId="33" borderId="6" xfId="0" applyFont="1" applyFill="1" applyBorder="1"/>
    <xf numFmtId="2" fontId="21" fillId="0" borderId="6" xfId="0" applyNumberFormat="1" applyFont="1" applyBorder="1"/>
    <xf numFmtId="0" fontId="21" fillId="0" borderId="6" xfId="0" applyFont="1" applyBorder="1" applyAlignment="1">
      <alignment vertical="center"/>
    </xf>
    <xf numFmtId="0" fontId="21" fillId="23" borderId="6" xfId="0" applyFont="1" applyFill="1" applyBorder="1" applyAlignment="1">
      <alignment vertical="center"/>
    </xf>
    <xf numFmtId="170" fontId="27" fillId="33" borderId="6" xfId="0" applyNumberFormat="1" applyFont="1" applyFill="1" applyBorder="1" applyAlignment="1">
      <alignment horizontal="right" vertical="center" wrapText="1"/>
    </xf>
    <xf numFmtId="170" fontId="21" fillId="0" borderId="6" xfId="0" applyNumberFormat="1" applyFont="1" applyBorder="1" applyAlignment="1">
      <alignment horizontal="right" vertical="center" wrapText="1"/>
    </xf>
    <xf numFmtId="3" fontId="21" fillId="45" borderId="6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vertical="center"/>
    </xf>
    <xf numFmtId="171" fontId="17" fillId="45" borderId="6" xfId="0" applyNumberFormat="1" applyFont="1" applyFill="1" applyBorder="1" applyAlignment="1">
      <alignment vertical="center"/>
    </xf>
    <xf numFmtId="171" fontId="17" fillId="0" borderId="6" xfId="0" applyNumberFormat="1" applyFont="1" applyBorder="1" applyAlignment="1">
      <alignment vertical="center"/>
    </xf>
    <xf numFmtId="171" fontId="21" fillId="45" borderId="6" xfId="0" applyNumberFormat="1" applyFont="1" applyFill="1" applyBorder="1" applyAlignment="1">
      <alignment vertical="center"/>
    </xf>
    <xf numFmtId="171" fontId="21" fillId="0" borderId="6" xfId="0" applyNumberFormat="1" applyFont="1" applyBorder="1" applyAlignment="1">
      <alignment vertical="center"/>
    </xf>
    <xf numFmtId="0" fontId="17" fillId="23" borderId="6" xfId="0" applyFont="1" applyFill="1" applyBorder="1" applyAlignment="1">
      <alignment vertical="center"/>
    </xf>
    <xf numFmtId="170" fontId="21" fillId="33" borderId="6" xfId="0" applyNumberFormat="1" applyFont="1" applyFill="1" applyBorder="1" applyAlignment="1">
      <alignment horizontal="right" vertical="center" wrapText="1"/>
    </xf>
    <xf numFmtId="0" fontId="21" fillId="45" borderId="6" xfId="0" applyFont="1" applyFill="1" applyBorder="1" applyAlignment="1">
      <alignment horizontal="center" vertical="center"/>
    </xf>
    <xf numFmtId="172" fontId="17" fillId="45" borderId="6" xfId="0" applyNumberFormat="1" applyFont="1" applyFill="1" applyBorder="1" applyAlignment="1">
      <alignment vertical="center"/>
    </xf>
    <xf numFmtId="0" fontId="21" fillId="45" borderId="6" xfId="0" quotePrefix="1" applyFont="1" applyFill="1" applyBorder="1" applyAlignment="1">
      <alignment vertical="center"/>
    </xf>
    <xf numFmtId="0" fontId="17" fillId="45" borderId="6" xfId="0" applyFont="1" applyFill="1" applyBorder="1" applyAlignment="1">
      <alignment vertical="center"/>
    </xf>
    <xf numFmtId="173" fontId="21" fillId="45" borderId="6" xfId="0" applyNumberFormat="1" applyFont="1" applyFill="1" applyBorder="1" applyAlignment="1">
      <alignment vertical="center"/>
    </xf>
    <xf numFmtId="174" fontId="21" fillId="45" borderId="6" xfId="0" applyNumberFormat="1" applyFont="1" applyFill="1" applyBorder="1" applyAlignment="1">
      <alignment horizontal="left" vertical="center"/>
    </xf>
    <xf numFmtId="175" fontId="21" fillId="45" borderId="6" xfId="0" applyNumberFormat="1" applyFont="1" applyFill="1" applyBorder="1" applyAlignment="1">
      <alignment vertical="center"/>
    </xf>
    <xf numFmtId="0" fontId="16" fillId="0" borderId="6" xfId="0" applyFont="1" applyBorder="1"/>
    <xf numFmtId="0" fontId="21" fillId="16" borderId="6" xfId="0" applyFont="1" applyFill="1" applyBorder="1" applyAlignment="1">
      <alignment horizontal="center" vertical="center"/>
    </xf>
    <xf numFmtId="171" fontId="17" fillId="16" borderId="6" xfId="0" applyNumberFormat="1" applyFont="1" applyFill="1" applyBorder="1" applyAlignment="1">
      <alignment vertical="center"/>
    </xf>
    <xf numFmtId="175" fontId="17" fillId="16" borderId="6" xfId="0" applyNumberFormat="1" applyFont="1" applyFill="1" applyBorder="1" applyAlignment="1">
      <alignment vertical="center"/>
    </xf>
    <xf numFmtId="0" fontId="21" fillId="16" borderId="6" xfId="0" applyFont="1" applyFill="1" applyBorder="1" applyAlignment="1">
      <alignment horizontal="left" vertical="center"/>
    </xf>
    <xf numFmtId="171" fontId="21" fillId="16" borderId="6" xfId="0" applyNumberFormat="1" applyFont="1" applyFill="1" applyBorder="1" applyAlignment="1">
      <alignment vertical="center"/>
    </xf>
    <xf numFmtId="0" fontId="21" fillId="11" borderId="6" xfId="0" applyFont="1" applyFill="1" applyBorder="1"/>
    <xf numFmtId="171" fontId="21" fillId="0" borderId="6" xfId="0" applyNumberFormat="1" applyFont="1" applyBorder="1"/>
    <xf numFmtId="171" fontId="21" fillId="47" borderId="6" xfId="0" applyNumberFormat="1" applyFont="1" applyFill="1" applyBorder="1"/>
    <xf numFmtId="177" fontId="17" fillId="0" borderId="6" xfId="0" applyNumberFormat="1" applyFont="1" applyBorder="1"/>
    <xf numFmtId="178" fontId="21" fillId="33" borderId="6" xfId="0" applyNumberFormat="1" applyFont="1" applyFill="1" applyBorder="1" applyAlignment="1">
      <alignment horizontal="center"/>
    </xf>
    <xf numFmtId="178" fontId="21" fillId="0" borderId="6" xfId="0" applyNumberFormat="1" applyFont="1" applyBorder="1"/>
    <xf numFmtId="179" fontId="17" fillId="0" borderId="6" xfId="0" applyNumberFormat="1" applyFont="1" applyBorder="1"/>
    <xf numFmtId="178" fontId="17" fillId="0" borderId="6" xfId="0" applyNumberFormat="1" applyFont="1" applyBorder="1"/>
    <xf numFmtId="180" fontId="17" fillId="0" borderId="6" xfId="0" applyNumberFormat="1" applyFont="1" applyBorder="1"/>
    <xf numFmtId="181" fontId="21" fillId="33" borderId="6" xfId="0" applyNumberFormat="1" applyFont="1" applyFill="1" applyBorder="1" applyAlignment="1">
      <alignment horizontal="right"/>
    </xf>
    <xf numFmtId="170" fontId="21" fillId="33" borderId="6" xfId="0" applyNumberFormat="1" applyFont="1" applyFill="1" applyBorder="1"/>
    <xf numFmtId="179" fontId="21" fillId="0" borderId="6" xfId="0" applyNumberFormat="1" applyFont="1" applyBorder="1"/>
    <xf numFmtId="0" fontId="21" fillId="35" borderId="6" xfId="0" applyFont="1" applyFill="1" applyBorder="1" applyAlignment="1">
      <alignment horizontal="center" vertical="center" wrapText="1"/>
    </xf>
    <xf numFmtId="182" fontId="17" fillId="0" borderId="6" xfId="0" applyNumberFormat="1" applyFont="1" applyBorder="1"/>
    <xf numFmtId="0" fontId="21" fillId="46" borderId="6" xfId="0" applyFont="1" applyFill="1" applyBorder="1" applyAlignment="1">
      <alignment horizontal="center" vertical="center" wrapText="1"/>
    </xf>
    <xf numFmtId="0" fontId="21" fillId="46" borderId="6" xfId="0" applyFont="1" applyFill="1" applyBorder="1" applyAlignment="1">
      <alignment horizontal="center" vertical="center"/>
    </xf>
    <xf numFmtId="181" fontId="21" fillId="0" borderId="6" xfId="0" applyNumberFormat="1" applyFont="1" applyBorder="1"/>
    <xf numFmtId="183" fontId="21" fillId="11" borderId="6" xfId="0" applyNumberFormat="1" applyFont="1" applyFill="1" applyBorder="1" applyAlignment="1">
      <alignment vertical="center"/>
    </xf>
    <xf numFmtId="181" fontId="21" fillId="11" borderId="6" xfId="0" applyNumberFormat="1" applyFont="1" applyFill="1" applyBorder="1"/>
    <xf numFmtId="184" fontId="21" fillId="11" borderId="6" xfId="0" applyNumberFormat="1" applyFont="1" applyFill="1" applyBorder="1" applyAlignment="1">
      <alignment horizontal="left" vertical="center"/>
    </xf>
    <xf numFmtId="184" fontId="21" fillId="11" borderId="6" xfId="0" applyNumberFormat="1" applyFont="1" applyFill="1" applyBorder="1" applyAlignment="1">
      <alignment vertical="center"/>
    </xf>
    <xf numFmtId="170" fontId="21" fillId="33" borderId="6" xfId="0" applyNumberFormat="1" applyFont="1" applyFill="1" applyBorder="1" applyAlignment="1">
      <alignment horizontal="center" vertical="center" wrapText="1"/>
    </xf>
    <xf numFmtId="181" fontId="17" fillId="0" borderId="6" xfId="0" applyNumberFormat="1" applyFont="1" applyBorder="1"/>
    <xf numFmtId="185" fontId="17" fillId="0" borderId="6" xfId="0" applyNumberFormat="1" applyFont="1" applyBorder="1"/>
    <xf numFmtId="0" fontId="29" fillId="0" borderId="6" xfId="0" applyFont="1" applyBorder="1"/>
    <xf numFmtId="0" fontId="26" fillId="34" borderId="6" xfId="0" applyFont="1" applyFill="1" applyBorder="1"/>
    <xf numFmtId="165" fontId="3" fillId="0" borderId="6" xfId="0" applyNumberFormat="1" applyFont="1" applyBorder="1"/>
    <xf numFmtId="165" fontId="17" fillId="23" borderId="6" xfId="0" applyNumberFormat="1" applyFont="1" applyFill="1" applyBorder="1"/>
    <xf numFmtId="167" fontId="17" fillId="23" borderId="6" xfId="0" applyNumberFormat="1" applyFont="1" applyFill="1" applyBorder="1"/>
    <xf numFmtId="0" fontId="21" fillId="49" borderId="6" xfId="0" applyFont="1" applyFill="1" applyBorder="1"/>
    <xf numFmtId="10" fontId="21" fillId="23" borderId="6" xfId="0" applyNumberFormat="1" applyFont="1" applyFill="1" applyBorder="1" applyAlignment="1">
      <alignment horizontal="right" vertical="center" wrapText="1"/>
    </xf>
    <xf numFmtId="10" fontId="21" fillId="38" borderId="6" xfId="0" applyNumberFormat="1" applyFont="1" applyFill="1" applyBorder="1" applyAlignment="1">
      <alignment horizontal="right" vertical="center" wrapText="1"/>
    </xf>
    <xf numFmtId="165" fontId="21" fillId="38" borderId="6" xfId="0" applyNumberFormat="1" applyFont="1" applyFill="1" applyBorder="1"/>
    <xf numFmtId="187" fontId="21" fillId="23" borderId="6" xfId="0" applyNumberFormat="1" applyFont="1" applyFill="1" applyBorder="1" applyAlignment="1">
      <alignment horizontal="right" vertical="center" wrapText="1"/>
    </xf>
    <xf numFmtId="9" fontId="21" fillId="23" borderId="6" xfId="0" applyNumberFormat="1" applyFont="1" applyFill="1" applyBorder="1" applyAlignment="1">
      <alignment horizontal="right" vertical="center" wrapText="1"/>
    </xf>
    <xf numFmtId="2" fontId="17" fillId="23" borderId="6" xfId="1" applyNumberFormat="1" applyFont="1" applyFill="1" applyBorder="1"/>
    <xf numFmtId="167" fontId="17" fillId="23" borderId="6" xfId="1" applyNumberFormat="1" applyFont="1" applyFill="1" applyBorder="1"/>
    <xf numFmtId="3" fontId="17" fillId="23" borderId="6" xfId="0" applyNumberFormat="1" applyFont="1" applyFill="1" applyBorder="1"/>
    <xf numFmtId="10" fontId="21" fillId="23" borderId="6" xfId="0" quotePrefix="1" applyNumberFormat="1" applyFont="1" applyFill="1" applyBorder="1" applyAlignment="1">
      <alignment horizontal="right" vertical="center" wrapText="1"/>
    </xf>
    <xf numFmtId="186" fontId="17" fillId="0" borderId="6" xfId="0" applyNumberFormat="1" applyFont="1" applyBorder="1"/>
    <xf numFmtId="0" fontId="21" fillId="53" borderId="6" xfId="0" applyFont="1" applyFill="1" applyBorder="1" applyAlignment="1">
      <alignment vertical="center"/>
    </xf>
    <xf numFmtId="167" fontId="17" fillId="0" borderId="6" xfId="1" applyNumberFormat="1" applyFont="1" applyBorder="1"/>
    <xf numFmtId="0" fontId="16" fillId="23" borderId="6" xfId="0" applyFont="1" applyFill="1" applyBorder="1"/>
    <xf numFmtId="164" fontId="17" fillId="23" borderId="6" xfId="0" applyNumberFormat="1" applyFont="1" applyFill="1" applyBorder="1"/>
    <xf numFmtId="164" fontId="16" fillId="23" borderId="6" xfId="0" applyNumberFormat="1" applyFont="1" applyFill="1" applyBorder="1"/>
    <xf numFmtId="0" fontId="21" fillId="29" borderId="6" xfId="0" applyFont="1" applyFill="1" applyBorder="1" applyAlignment="1">
      <alignment horizontal="center" vertical="center"/>
    </xf>
    <xf numFmtId="0" fontId="17" fillId="49" borderId="6" xfId="0" applyFont="1" applyFill="1" applyBorder="1"/>
    <xf numFmtId="10" fontId="21" fillId="18" borderId="6" xfId="0" applyNumberFormat="1" applyFont="1" applyFill="1" applyBorder="1"/>
    <xf numFmtId="0" fontId="30" fillId="0" borderId="0" xfId="5"/>
    <xf numFmtId="43" fontId="16" fillId="23" borderId="15" xfId="2" applyFont="1" applyFill="1" applyBorder="1"/>
    <xf numFmtId="2" fontId="18" fillId="20" borderId="1" xfId="0" applyNumberFormat="1" applyFont="1" applyFill="1" applyBorder="1"/>
    <xf numFmtId="0" fontId="18" fillId="20" borderId="1" xfId="0" applyFont="1" applyFill="1" applyBorder="1" applyAlignment="1">
      <alignment horizontal="center"/>
    </xf>
    <xf numFmtId="2" fontId="31" fillId="8" borderId="1" xfId="0" applyNumberFormat="1" applyFont="1" applyFill="1" applyBorder="1"/>
    <xf numFmtId="0" fontId="31" fillId="8" borderId="1" xfId="0" applyFont="1" applyFill="1" applyBorder="1"/>
    <xf numFmtId="2" fontId="16" fillId="12" borderId="1" xfId="0" applyNumberFormat="1" applyFont="1" applyFill="1" applyBorder="1"/>
    <xf numFmtId="0" fontId="16" fillId="12" borderId="1" xfId="0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2" fontId="16" fillId="20" borderId="6" xfId="0" applyNumberFormat="1" applyFont="1" applyFill="1" applyBorder="1"/>
    <xf numFmtId="182" fontId="16" fillId="20" borderId="6" xfId="0" applyNumberFormat="1" applyFont="1" applyFill="1" applyBorder="1"/>
    <xf numFmtId="0" fontId="18" fillId="54" borderId="1" xfId="0" applyFont="1" applyFill="1" applyBorder="1"/>
    <xf numFmtId="0" fontId="16" fillId="54" borderId="6" xfId="0" applyFont="1" applyFill="1" applyBorder="1"/>
    <xf numFmtId="0" fontId="27" fillId="56" borderId="6" xfId="0" applyFont="1" applyFill="1" applyBorder="1"/>
    <xf numFmtId="0" fontId="27" fillId="26" borderId="6" xfId="0" applyFont="1" applyFill="1" applyBorder="1"/>
    <xf numFmtId="0" fontId="31" fillId="20" borderId="6" xfId="0" applyFont="1" applyFill="1" applyBorder="1"/>
    <xf numFmtId="0" fontId="31" fillId="23" borderId="6" xfId="0" applyFont="1" applyFill="1" applyBorder="1"/>
    <xf numFmtId="0" fontId="27" fillId="20" borderId="6" xfId="0" applyFont="1" applyFill="1" applyBorder="1"/>
    <xf numFmtId="164" fontId="31" fillId="20" borderId="6" xfId="0" applyNumberFormat="1" applyFont="1" applyFill="1" applyBorder="1"/>
    <xf numFmtId="0" fontId="16" fillId="57" borderId="6" xfId="0" applyFont="1" applyFill="1" applyBorder="1"/>
    <xf numFmtId="169" fontId="16" fillId="20" borderId="6" xfId="0" applyNumberFormat="1" applyFont="1" applyFill="1" applyBorder="1"/>
    <xf numFmtId="2" fontId="18" fillId="20" borderId="6" xfId="0" applyNumberFormat="1" applyFont="1" applyFill="1" applyBorder="1"/>
    <xf numFmtId="0" fontId="18" fillId="20" borderId="6" xfId="0" applyFont="1" applyFill="1" applyBorder="1" applyAlignment="1">
      <alignment horizontal="right"/>
    </xf>
    <xf numFmtId="2" fontId="16" fillId="0" borderId="6" xfId="0" applyNumberFormat="1" applyFont="1" applyBorder="1"/>
    <xf numFmtId="188" fontId="31" fillId="33" borderId="6" xfId="0" applyNumberFormat="1" applyFont="1" applyFill="1" applyBorder="1" applyAlignment="1">
      <alignment horizontal="left"/>
    </xf>
    <xf numFmtId="0" fontId="21" fillId="54" borderId="6" xfId="0" applyFont="1" applyFill="1" applyBorder="1" applyAlignment="1">
      <alignment horizontal="center"/>
    </xf>
    <xf numFmtId="0" fontId="21" fillId="59" borderId="6" xfId="0" applyFont="1" applyFill="1" applyBorder="1"/>
    <xf numFmtId="0" fontId="17" fillId="54" borderId="6" xfId="0" applyFont="1" applyFill="1" applyBorder="1"/>
    <xf numFmtId="167" fontId="2" fillId="0" borderId="1" xfId="0" applyNumberFormat="1" applyFont="1" applyBorder="1"/>
    <xf numFmtId="10" fontId="2" fillId="0" borderId="1" xfId="0" applyNumberFormat="1" applyFont="1" applyBorder="1"/>
    <xf numFmtId="10" fontId="2" fillId="0" borderId="11" xfId="0" applyNumberFormat="1" applyFont="1" applyBorder="1"/>
    <xf numFmtId="167" fontId="2" fillId="0" borderId="13" xfId="0" applyNumberFormat="1" applyFont="1" applyBorder="1"/>
    <xf numFmtId="167" fontId="2" fillId="0" borderId="6" xfId="0" applyNumberFormat="1" applyFont="1" applyBorder="1"/>
    <xf numFmtId="10" fontId="3" fillId="0" borderId="6" xfId="0" applyNumberFormat="1" applyFont="1" applyBorder="1"/>
    <xf numFmtId="171" fontId="17" fillId="60" borderId="6" xfId="0" applyNumberFormat="1" applyFont="1" applyFill="1" applyBorder="1" applyAlignment="1">
      <alignment vertical="center"/>
    </xf>
    <xf numFmtId="10" fontId="17" fillId="60" borderId="6" xfId="1" applyNumberFormat="1" applyFont="1" applyFill="1" applyBorder="1" applyAlignment="1">
      <alignment vertical="center"/>
    </xf>
    <xf numFmtId="164" fontId="4" fillId="0" borderId="6" xfId="0" applyNumberFormat="1" applyFont="1" applyBorder="1"/>
    <xf numFmtId="164" fontId="9" fillId="20" borderId="6" xfId="0" applyNumberFormat="1" applyFont="1" applyFill="1" applyBorder="1"/>
    <xf numFmtId="3" fontId="21" fillId="19" borderId="6" xfId="0" applyNumberFormat="1" applyFont="1" applyFill="1" applyBorder="1" applyAlignment="1">
      <alignment horizontal="right" vertical="center" wrapText="1"/>
    </xf>
    <xf numFmtId="171" fontId="17" fillId="19" borderId="6" xfId="0" applyNumberFormat="1" applyFont="1" applyFill="1" applyBorder="1" applyAlignment="1">
      <alignment vertical="center"/>
    </xf>
    <xf numFmtId="171" fontId="21" fillId="19" borderId="6" xfId="0" applyNumberFormat="1" applyFont="1" applyFill="1" applyBorder="1" applyAlignment="1">
      <alignment vertical="center"/>
    </xf>
    <xf numFmtId="178" fontId="21" fillId="5" borderId="6" xfId="0" applyNumberFormat="1" applyFont="1" applyFill="1" applyBorder="1" applyAlignment="1">
      <alignment horizontal="center"/>
    </xf>
    <xf numFmtId="181" fontId="21" fillId="5" borderId="6" xfId="0" applyNumberFormat="1" applyFont="1" applyFill="1" applyBorder="1" applyAlignment="1">
      <alignment horizontal="right"/>
    </xf>
    <xf numFmtId="0" fontId="21" fillId="5" borderId="6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 wrapText="1"/>
    </xf>
    <xf numFmtId="167" fontId="17" fillId="23" borderId="6" xfId="0" applyNumberFormat="1" applyFont="1" applyFill="1" applyBorder="1" applyAlignment="1">
      <alignment horizontal="center"/>
    </xf>
    <xf numFmtId="170" fontId="21" fillId="5" borderId="6" xfId="0" applyNumberFormat="1" applyFont="1" applyFill="1" applyBorder="1" applyAlignment="1">
      <alignment horizontal="right" vertical="center" wrapText="1"/>
    </xf>
    <xf numFmtId="0" fontId="21" fillId="67" borderId="6" xfId="0" applyFont="1" applyFill="1" applyBorder="1" applyAlignment="1">
      <alignment horizontal="center" vertical="center"/>
    </xf>
    <xf numFmtId="0" fontId="17" fillId="64" borderId="6" xfId="0" applyFont="1" applyFill="1" applyBorder="1"/>
    <xf numFmtId="171" fontId="17" fillId="67" borderId="6" xfId="0" applyNumberFormat="1" applyFont="1" applyFill="1" applyBorder="1" applyAlignment="1">
      <alignment vertical="center"/>
    </xf>
    <xf numFmtId="172" fontId="17" fillId="67" borderId="6" xfId="0" applyNumberFormat="1" applyFont="1" applyFill="1" applyBorder="1" applyAlignment="1">
      <alignment vertical="center"/>
    </xf>
    <xf numFmtId="0" fontId="21" fillId="67" borderId="6" xfId="0" quotePrefix="1" applyFont="1" applyFill="1" applyBorder="1" applyAlignment="1">
      <alignment vertical="center"/>
    </xf>
    <xf numFmtId="0" fontId="17" fillId="67" borderId="6" xfId="0" applyFont="1" applyFill="1" applyBorder="1" applyAlignment="1">
      <alignment vertical="center"/>
    </xf>
    <xf numFmtId="173" fontId="21" fillId="67" borderId="6" xfId="0" applyNumberFormat="1" applyFont="1" applyFill="1" applyBorder="1" applyAlignment="1">
      <alignment vertical="center"/>
    </xf>
    <xf numFmtId="174" fontId="21" fillId="67" borderId="6" xfId="0" applyNumberFormat="1" applyFont="1" applyFill="1" applyBorder="1" applyAlignment="1">
      <alignment horizontal="left" vertical="center"/>
    </xf>
    <xf numFmtId="175" fontId="21" fillId="67" borderId="6" xfId="0" applyNumberFormat="1" applyFont="1" applyFill="1" applyBorder="1" applyAlignment="1">
      <alignment vertical="center"/>
    </xf>
    <xf numFmtId="0" fontId="21" fillId="24" borderId="6" xfId="0" applyFont="1" applyFill="1" applyBorder="1" applyAlignment="1">
      <alignment horizontal="center" vertical="center"/>
    </xf>
    <xf numFmtId="171" fontId="17" fillId="64" borderId="6" xfId="0" applyNumberFormat="1" applyFont="1" applyFill="1" applyBorder="1" applyAlignment="1">
      <alignment vertical="center"/>
    </xf>
    <xf numFmtId="176" fontId="17" fillId="64" borderId="6" xfId="0" applyNumberFormat="1" applyFont="1" applyFill="1" applyBorder="1" applyAlignment="1">
      <alignment vertical="center"/>
    </xf>
    <xf numFmtId="171" fontId="21" fillId="64" borderId="6" xfId="0" applyNumberFormat="1" applyFont="1" applyFill="1" applyBorder="1" applyAlignment="1">
      <alignment vertical="center"/>
    </xf>
    <xf numFmtId="0" fontId="21" fillId="62" borderId="6" xfId="0" applyFont="1" applyFill="1" applyBorder="1" applyAlignment="1">
      <alignment horizontal="center" vertical="center"/>
    </xf>
    <xf numFmtId="171" fontId="17" fillId="65" borderId="6" xfId="0" applyNumberFormat="1" applyFont="1" applyFill="1" applyBorder="1" applyAlignment="1">
      <alignment vertical="center"/>
    </xf>
    <xf numFmtId="175" fontId="17" fillId="65" borderId="6" xfId="0" applyNumberFormat="1" applyFont="1" applyFill="1" applyBorder="1" applyAlignment="1">
      <alignment vertical="center"/>
    </xf>
    <xf numFmtId="171" fontId="21" fillId="65" borderId="6" xfId="0" applyNumberFormat="1" applyFont="1" applyFill="1" applyBorder="1" applyAlignment="1">
      <alignment vertical="center"/>
    </xf>
    <xf numFmtId="171" fontId="21" fillId="4" borderId="6" xfId="0" applyNumberFormat="1" applyFont="1" applyFill="1" applyBorder="1"/>
    <xf numFmtId="0" fontId="21" fillId="5" borderId="6" xfId="0" applyFont="1" applyFill="1" applyBorder="1"/>
    <xf numFmtId="170" fontId="21" fillId="5" borderId="6" xfId="0" applyNumberFormat="1" applyFont="1" applyFill="1" applyBorder="1"/>
    <xf numFmtId="0" fontId="21" fillId="5" borderId="6" xfId="0" applyFont="1" applyFill="1" applyBorder="1" applyAlignment="1">
      <alignment horizontal="center" vertical="center" wrapText="1"/>
    </xf>
    <xf numFmtId="170" fontId="21" fillId="6" borderId="6" xfId="0" applyNumberFormat="1" applyFont="1" applyFill="1" applyBorder="1" applyAlignment="1">
      <alignment horizontal="center" vertical="center" wrapText="1"/>
    </xf>
    <xf numFmtId="170" fontId="21" fillId="5" borderId="6" xfId="0" applyNumberFormat="1" applyFont="1" applyFill="1" applyBorder="1" applyAlignment="1">
      <alignment horizontal="center" vertical="center" wrapText="1"/>
    </xf>
    <xf numFmtId="0" fontId="21" fillId="19" borderId="6" xfId="0" applyFont="1" applyFill="1" applyBorder="1"/>
    <xf numFmtId="183" fontId="17" fillId="0" borderId="6" xfId="0" applyNumberFormat="1" applyFont="1" applyBorder="1"/>
    <xf numFmtId="9" fontId="17" fillId="0" borderId="6" xfId="1" applyFont="1" applyBorder="1" applyAlignment="1"/>
    <xf numFmtId="165" fontId="3" fillId="0" borderId="6" xfId="0" applyNumberFormat="1" applyFont="1" applyBorder="1" applyAlignment="1">
      <alignment horizontal="left" vertical="top"/>
    </xf>
    <xf numFmtId="0" fontId="17" fillId="27" borderId="6" xfId="0" applyFont="1" applyFill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165" fontId="21" fillId="29" borderId="6" xfId="0" applyNumberFormat="1" applyFont="1" applyFill="1" applyBorder="1" applyAlignment="1">
      <alignment horizontal="left" vertical="top"/>
    </xf>
    <xf numFmtId="164" fontId="17" fillId="0" borderId="6" xfId="0" applyNumberFormat="1" applyFont="1" applyBorder="1" applyAlignment="1">
      <alignment horizontal="left" vertical="top"/>
    </xf>
    <xf numFmtId="165" fontId="21" fillId="0" borderId="6" xfId="0" applyNumberFormat="1" applyFont="1" applyBorder="1" applyAlignment="1">
      <alignment horizontal="left" vertical="top"/>
    </xf>
    <xf numFmtId="165" fontId="21" fillId="5" borderId="6" xfId="0" applyNumberFormat="1" applyFont="1" applyFill="1" applyBorder="1" applyAlignment="1">
      <alignment horizontal="left" vertical="top"/>
    </xf>
    <xf numFmtId="164" fontId="17" fillId="21" borderId="6" xfId="0" applyNumberFormat="1" applyFont="1" applyFill="1" applyBorder="1"/>
    <xf numFmtId="165" fontId="4" fillId="0" borderId="6" xfId="0" applyNumberFormat="1" applyFont="1" applyBorder="1"/>
    <xf numFmtId="3" fontId="3" fillId="0" borderId="6" xfId="0" applyNumberFormat="1" applyFont="1" applyBorder="1"/>
    <xf numFmtId="165" fontId="9" fillId="20" borderId="6" xfId="0" applyNumberFormat="1" applyFont="1" applyFill="1" applyBorder="1"/>
    <xf numFmtId="166" fontId="4" fillId="0" borderId="6" xfId="0" applyNumberFormat="1" applyFont="1" applyBorder="1"/>
    <xf numFmtId="0" fontId="8" fillId="23" borderId="6" xfId="0" applyFont="1" applyFill="1" applyBorder="1"/>
    <xf numFmtId="0" fontId="21" fillId="25" borderId="6" xfId="0" applyFont="1" applyFill="1" applyBorder="1" applyAlignment="1">
      <alignment vertical="center"/>
    </xf>
    <xf numFmtId="0" fontId="14" fillId="23" borderId="6" xfId="0" applyFont="1" applyFill="1" applyBorder="1"/>
    <xf numFmtId="3" fontId="14" fillId="23" borderId="6" xfId="0" applyNumberFormat="1" applyFont="1" applyFill="1" applyBorder="1"/>
    <xf numFmtId="0" fontId="13" fillId="23" borderId="6" xfId="0" applyFont="1" applyFill="1" applyBorder="1"/>
    <xf numFmtId="167" fontId="14" fillId="23" borderId="6" xfId="1" applyNumberFormat="1" applyFont="1" applyFill="1" applyBorder="1"/>
    <xf numFmtId="10" fontId="14" fillId="23" borderId="6" xfId="0" applyNumberFormat="1" applyFont="1" applyFill="1" applyBorder="1"/>
    <xf numFmtId="10" fontId="14" fillId="23" borderId="6" xfId="1" applyNumberFormat="1" applyFont="1" applyFill="1" applyBorder="1" applyAlignment="1">
      <alignment horizontal="center"/>
    </xf>
    <xf numFmtId="9" fontId="14" fillId="23" borderId="6" xfId="0" applyNumberFormat="1" applyFont="1" applyFill="1" applyBorder="1"/>
    <xf numFmtId="42" fontId="14" fillId="23" borderId="6" xfId="4" applyFont="1" applyFill="1" applyBorder="1"/>
    <xf numFmtId="0" fontId="31" fillId="68" borderId="6" xfId="0" applyFont="1" applyFill="1" applyBorder="1"/>
    <xf numFmtId="164" fontId="32" fillId="23" borderId="6" xfId="0" applyNumberFormat="1" applyFont="1" applyFill="1" applyBorder="1"/>
    <xf numFmtId="165" fontId="31" fillId="23" borderId="6" xfId="0" applyNumberFormat="1" applyFont="1" applyFill="1" applyBorder="1"/>
    <xf numFmtId="10" fontId="31" fillId="23" borderId="6" xfId="0" applyNumberFormat="1" applyFont="1" applyFill="1" applyBorder="1"/>
    <xf numFmtId="164" fontId="14" fillId="23" borderId="6" xfId="0" applyNumberFormat="1" applyFont="1" applyFill="1" applyBorder="1"/>
    <xf numFmtId="0" fontId="17" fillId="69" borderId="6" xfId="0" applyFont="1" applyFill="1" applyBorder="1"/>
    <xf numFmtId="189" fontId="17" fillId="23" borderId="6" xfId="3" applyNumberFormat="1" applyFont="1" applyFill="1" applyBorder="1"/>
    <xf numFmtId="0" fontId="22" fillId="23" borderId="6" xfId="0" applyFont="1" applyFill="1" applyBorder="1"/>
    <xf numFmtId="3" fontId="31" fillId="23" borderId="6" xfId="0" applyNumberFormat="1" applyFont="1" applyFill="1" applyBorder="1"/>
    <xf numFmtId="0" fontId="14" fillId="23" borderId="0" xfId="0" applyFont="1" applyFill="1"/>
    <xf numFmtId="2" fontId="14" fillId="23" borderId="6" xfId="0" applyNumberFormat="1" applyFont="1" applyFill="1" applyBorder="1"/>
    <xf numFmtId="169" fontId="31" fillId="23" borderId="6" xfId="0" applyNumberFormat="1" applyFont="1" applyFill="1" applyBorder="1"/>
    <xf numFmtId="164" fontId="31" fillId="23" borderId="6" xfId="0" applyNumberFormat="1" applyFont="1" applyFill="1" applyBorder="1"/>
    <xf numFmtId="6" fontId="17" fillId="0" borderId="6" xfId="0" applyNumberFormat="1" applyFont="1" applyBorder="1"/>
    <xf numFmtId="0" fontId="21" fillId="37" borderId="6" xfId="0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31" borderId="6" xfId="0" applyFont="1" applyFill="1" applyBorder="1" applyAlignment="1">
      <alignment horizontal="center"/>
    </xf>
    <xf numFmtId="0" fontId="17" fillId="0" borderId="6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28" borderId="6" xfId="0" applyFont="1" applyFill="1" applyBorder="1" applyAlignment="1">
      <alignment horizontal="left"/>
    </xf>
    <xf numFmtId="0" fontId="21" fillId="27" borderId="6" xfId="0" applyFont="1" applyFill="1" applyBorder="1" applyAlignment="1">
      <alignment horizontal="left"/>
    </xf>
    <xf numFmtId="0" fontId="21" fillId="5" borderId="6" xfId="0" applyFont="1" applyFill="1" applyBorder="1" applyAlignment="1">
      <alignment horizontal="left"/>
    </xf>
    <xf numFmtId="0" fontId="16" fillId="20" borderId="6" xfId="0" applyFont="1" applyFill="1" applyBorder="1" applyAlignment="1">
      <alignment horizontal="left"/>
    </xf>
    <xf numFmtId="0" fontId="17" fillId="0" borderId="6" xfId="0" applyFont="1" applyBorder="1"/>
    <xf numFmtId="0" fontId="21" fillId="2" borderId="6" xfId="0" applyFont="1" applyFill="1" applyBorder="1" applyAlignment="1">
      <alignment horizontal="left"/>
    </xf>
    <xf numFmtId="0" fontId="21" fillId="30" borderId="6" xfId="0" applyFont="1" applyFill="1" applyBorder="1" applyAlignment="1">
      <alignment horizontal="center"/>
    </xf>
    <xf numFmtId="0" fontId="18" fillId="27" borderId="6" xfId="0" applyFont="1" applyFill="1" applyBorder="1" applyAlignment="1">
      <alignment horizontal="left"/>
    </xf>
    <xf numFmtId="0" fontId="18" fillId="28" borderId="6" xfId="0" applyFont="1" applyFill="1" applyBorder="1" applyAlignment="1">
      <alignment horizontal="left"/>
    </xf>
    <xf numFmtId="0" fontId="21" fillId="29" borderId="6" xfId="0" applyFont="1" applyFill="1" applyBorder="1" applyAlignment="1">
      <alignment horizontal="left"/>
    </xf>
    <xf numFmtId="0" fontId="17" fillId="34" borderId="6" xfId="0" applyFont="1" applyFill="1" applyBorder="1"/>
    <xf numFmtId="0" fontId="5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16" xfId="0" applyFont="1" applyBorder="1"/>
    <xf numFmtId="0" fontId="21" fillId="11" borderId="6" xfId="0" applyFont="1" applyFill="1" applyBorder="1" applyAlignment="1">
      <alignment horizontal="center"/>
    </xf>
    <xf numFmtId="0" fontId="21" fillId="33" borderId="6" xfId="0" applyFont="1" applyFill="1" applyBorder="1" applyAlignment="1">
      <alignment horizontal="center"/>
    </xf>
    <xf numFmtId="10" fontId="21" fillId="0" borderId="6" xfId="0" applyNumberFormat="1" applyFont="1" applyBorder="1" applyAlignment="1">
      <alignment horizontal="center"/>
    </xf>
    <xf numFmtId="10" fontId="17" fillId="0" borderId="6" xfId="0" applyNumberFormat="1" applyFont="1" applyBorder="1" applyAlignment="1">
      <alignment horizontal="center"/>
    </xf>
    <xf numFmtId="0" fontId="21" fillId="3" borderId="6" xfId="0" applyFont="1" applyFill="1" applyBorder="1" applyAlignment="1">
      <alignment horizontal="left"/>
    </xf>
    <xf numFmtId="0" fontId="21" fillId="35" borderId="6" xfId="0" applyFont="1" applyFill="1" applyBorder="1" applyAlignment="1">
      <alignment horizontal="center"/>
    </xf>
    <xf numFmtId="0" fontId="17" fillId="36" borderId="6" xfId="0" applyFont="1" applyFill="1" applyBorder="1"/>
    <xf numFmtId="0" fontId="21" fillId="35" borderId="6" xfId="0" applyFont="1" applyFill="1" applyBorder="1" applyAlignment="1">
      <alignment horizontal="center" vertical="center"/>
    </xf>
    <xf numFmtId="0" fontId="17" fillId="35" borderId="6" xfId="0" applyFont="1" applyFill="1" applyBorder="1" applyAlignment="1">
      <alignment horizontal="center"/>
    </xf>
    <xf numFmtId="0" fontId="21" fillId="34" borderId="6" xfId="0" applyFont="1" applyFill="1" applyBorder="1"/>
    <xf numFmtId="0" fontId="21" fillId="32" borderId="6" xfId="0" quotePrefix="1" applyFont="1" applyFill="1" applyBorder="1" applyAlignment="1">
      <alignment horizontal="center" vertical="center"/>
    </xf>
    <xf numFmtId="0" fontId="17" fillId="23" borderId="6" xfId="0" applyFont="1" applyFill="1" applyBorder="1"/>
    <xf numFmtId="0" fontId="21" fillId="41" borderId="6" xfId="0" applyFont="1" applyFill="1" applyBorder="1" applyAlignment="1">
      <alignment horizontal="left"/>
    </xf>
    <xf numFmtId="0" fontId="21" fillId="36" borderId="6" xfId="0" applyFont="1" applyFill="1" applyBorder="1"/>
    <xf numFmtId="0" fontId="17" fillId="39" borderId="6" xfId="0" applyFont="1" applyFill="1" applyBorder="1" applyAlignment="1">
      <alignment horizontal="left"/>
    </xf>
    <xf numFmtId="0" fontId="21" fillId="40" borderId="6" xfId="0" applyFont="1" applyFill="1" applyBorder="1" applyAlignment="1">
      <alignment horizontal="left"/>
    </xf>
    <xf numFmtId="0" fontId="21" fillId="35" borderId="6" xfId="0" applyFont="1" applyFill="1" applyBorder="1" applyAlignment="1">
      <alignment horizontal="left" vertical="center"/>
    </xf>
    <xf numFmtId="0" fontId="17" fillId="41" borderId="6" xfId="0" applyFont="1" applyFill="1" applyBorder="1" applyAlignment="1">
      <alignment horizontal="left"/>
    </xf>
    <xf numFmtId="0" fontId="21" fillId="39" borderId="6" xfId="0" applyFont="1" applyFill="1" applyBorder="1" applyAlignment="1">
      <alignment horizontal="center" vertical="center"/>
    </xf>
    <xf numFmtId="0" fontId="21" fillId="42" borderId="6" xfId="0" applyFont="1" applyFill="1" applyBorder="1" applyAlignment="1">
      <alignment horizontal="center" vertical="center"/>
    </xf>
    <xf numFmtId="0" fontId="21" fillId="32" borderId="6" xfId="0" applyFont="1" applyFill="1" applyBorder="1" applyAlignment="1">
      <alignment horizontal="center"/>
    </xf>
    <xf numFmtId="0" fontId="23" fillId="23" borderId="6" xfId="0" applyFont="1" applyFill="1" applyBorder="1" applyAlignment="1">
      <alignment horizontal="center"/>
    </xf>
    <xf numFmtId="0" fontId="21" fillId="36" borderId="6" xfId="0" applyFont="1" applyFill="1" applyBorder="1" applyAlignment="1">
      <alignment horizontal="left"/>
    </xf>
    <xf numFmtId="0" fontId="21" fillId="42" borderId="6" xfId="0" applyFont="1" applyFill="1" applyBorder="1" applyAlignment="1">
      <alignment horizontal="center"/>
    </xf>
    <xf numFmtId="0" fontId="21" fillId="16" borderId="6" xfId="0" applyFont="1" applyFill="1" applyBorder="1" applyAlignment="1">
      <alignment horizontal="left" vertical="center"/>
    </xf>
    <xf numFmtId="0" fontId="21" fillId="16" borderId="6" xfId="0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left" vertical="center"/>
    </xf>
    <xf numFmtId="0" fontId="21" fillId="0" borderId="6" xfId="0" applyFont="1" applyBorder="1"/>
    <xf numFmtId="0" fontId="21" fillId="15" borderId="6" xfId="0" applyFont="1" applyFill="1" applyBorder="1" applyAlignment="1">
      <alignment horizontal="left"/>
    </xf>
    <xf numFmtId="0" fontId="21" fillId="43" borderId="6" xfId="0" applyFont="1" applyFill="1" applyBorder="1" applyAlignment="1">
      <alignment horizontal="center" vertical="center"/>
    </xf>
    <xf numFmtId="0" fontId="21" fillId="33" borderId="6" xfId="0" applyFont="1" applyFill="1" applyBorder="1" applyAlignment="1">
      <alignment horizontal="center" vertical="center"/>
    </xf>
    <xf numFmtId="0" fontId="17" fillId="45" borderId="6" xfId="0" quotePrefix="1" applyFont="1" applyFill="1" applyBorder="1" applyAlignment="1">
      <alignment horizontal="left" vertical="center"/>
    </xf>
    <xf numFmtId="0" fontId="21" fillId="45" borderId="6" xfId="0" quotePrefix="1" applyFont="1" applyFill="1" applyBorder="1" applyAlignment="1">
      <alignment horizontal="left" vertical="center" wrapText="1"/>
    </xf>
    <xf numFmtId="0" fontId="17" fillId="46" borderId="6" xfId="0" applyFont="1" applyFill="1" applyBorder="1" applyAlignment="1">
      <alignment horizontal="left"/>
    </xf>
    <xf numFmtId="0" fontId="21" fillId="46" borderId="6" xfId="0" applyFont="1" applyFill="1" applyBorder="1" applyAlignment="1">
      <alignment horizontal="left"/>
    </xf>
    <xf numFmtId="0" fontId="21" fillId="33" borderId="6" xfId="0" applyFont="1" applyFill="1" applyBorder="1" applyAlignment="1">
      <alignment horizontal="left"/>
    </xf>
    <xf numFmtId="0" fontId="21" fillId="45" borderId="6" xfId="0" quotePrefix="1" applyFont="1" applyFill="1" applyBorder="1" applyAlignment="1">
      <alignment horizontal="left" vertical="center"/>
    </xf>
    <xf numFmtId="0" fontId="17" fillId="16" borderId="6" xfId="0" quotePrefix="1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0" fontId="21" fillId="33" borderId="6" xfId="0" quotePrefix="1" applyFont="1" applyFill="1" applyBorder="1" applyAlignment="1">
      <alignment horizontal="center" vertical="center"/>
    </xf>
    <xf numFmtId="0" fontId="17" fillId="45" borderId="6" xfId="0" quotePrefix="1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right" vertical="center"/>
    </xf>
    <xf numFmtId="0" fontId="21" fillId="11" borderId="6" xfId="0" applyFont="1" applyFill="1" applyBorder="1" applyAlignment="1">
      <alignment horizontal="center" wrapText="1"/>
    </xf>
    <xf numFmtId="0" fontId="21" fillId="46" borderId="6" xfId="0" applyFont="1" applyFill="1" applyBorder="1" applyAlignment="1">
      <alignment horizontal="center" vertical="center" textRotation="180"/>
    </xf>
    <xf numFmtId="0" fontId="21" fillId="17" borderId="6" xfId="0" applyFont="1" applyFill="1" applyBorder="1" applyAlignment="1">
      <alignment horizontal="center" vertical="center" textRotation="180"/>
    </xf>
    <xf numFmtId="0" fontId="21" fillId="48" borderId="6" xfId="0" applyFont="1" applyFill="1" applyBorder="1" applyAlignment="1">
      <alignment horizontal="center" vertical="center"/>
    </xf>
    <xf numFmtId="0" fontId="21" fillId="32" borderId="6" xfId="0" applyFont="1" applyFill="1" applyBorder="1" applyAlignment="1">
      <alignment horizontal="center" vertical="center"/>
    </xf>
    <xf numFmtId="0" fontId="17" fillId="50" borderId="6" xfId="0" quotePrefix="1" applyFont="1" applyFill="1" applyBorder="1" applyAlignment="1">
      <alignment horizontal="left" vertical="center"/>
    </xf>
    <xf numFmtId="0" fontId="17" fillId="51" borderId="6" xfId="0" quotePrefix="1" applyFont="1" applyFill="1" applyBorder="1" applyAlignment="1">
      <alignment horizontal="left" vertical="center"/>
    </xf>
    <xf numFmtId="0" fontId="21" fillId="52" borderId="6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10" fontId="26" fillId="0" borderId="6" xfId="0" applyNumberFormat="1" applyFont="1" applyBorder="1" applyAlignment="1">
      <alignment horizontal="center" vertical="center"/>
    </xf>
    <xf numFmtId="0" fontId="21" fillId="29" borderId="6" xfId="0" applyFont="1" applyFill="1" applyBorder="1" applyAlignment="1">
      <alignment horizontal="center" vertical="center"/>
    </xf>
    <xf numFmtId="0" fontId="16" fillId="23" borderId="6" xfId="0" applyFont="1" applyFill="1" applyBorder="1" applyAlignment="1">
      <alignment horizontal="left"/>
    </xf>
    <xf numFmtId="0" fontId="16" fillId="23" borderId="6" xfId="0" applyFont="1" applyFill="1" applyBorder="1"/>
    <xf numFmtId="0" fontId="28" fillId="0" borderId="6" xfId="0" applyFont="1" applyBorder="1" applyAlignment="1">
      <alignment horizontal="center"/>
    </xf>
    <xf numFmtId="0" fontId="21" fillId="5" borderId="6" xfId="0" quotePrefix="1" applyFont="1" applyFill="1" applyBorder="1" applyAlignment="1">
      <alignment horizontal="center" vertical="center"/>
    </xf>
    <xf numFmtId="0" fontId="17" fillId="64" borderId="6" xfId="0" quotePrefix="1" applyFont="1" applyFill="1" applyBorder="1" applyAlignment="1">
      <alignment horizontal="left" vertical="center"/>
    </xf>
    <xf numFmtId="0" fontId="17" fillId="64" borderId="6" xfId="0" applyFont="1" applyFill="1" applyBorder="1"/>
    <xf numFmtId="0" fontId="21" fillId="5" borderId="6" xfId="0" applyFont="1" applyFill="1" applyBorder="1" applyAlignment="1">
      <alignment horizontal="center" vertical="center"/>
    </xf>
    <xf numFmtId="0" fontId="21" fillId="19" borderId="6" xfId="0" quotePrefix="1" applyFont="1" applyFill="1" applyBorder="1" applyAlignment="1">
      <alignment horizontal="left" vertical="center"/>
    </xf>
    <xf numFmtId="0" fontId="21" fillId="67" borderId="6" xfId="0" quotePrefix="1" applyFont="1" applyFill="1" applyBorder="1" applyAlignment="1">
      <alignment horizontal="left" vertical="center"/>
    </xf>
    <xf numFmtId="0" fontId="17" fillId="19" borderId="6" xfId="0" quotePrefix="1" applyFont="1" applyFill="1" applyBorder="1" applyAlignment="1">
      <alignment horizontal="left" vertical="center"/>
    </xf>
    <xf numFmtId="0" fontId="17" fillId="10" borderId="6" xfId="0" applyFont="1" applyFill="1" applyBorder="1" applyAlignment="1">
      <alignment horizontal="left"/>
    </xf>
    <xf numFmtId="0" fontId="21" fillId="19" borderId="6" xfId="0" quotePrefix="1" applyFont="1" applyFill="1" applyBorder="1" applyAlignment="1">
      <alignment horizontal="left" vertical="center" wrapText="1"/>
    </xf>
    <xf numFmtId="0" fontId="17" fillId="19" borderId="6" xfId="0" quotePrefix="1" applyFont="1" applyFill="1" applyBorder="1" applyAlignment="1">
      <alignment horizontal="left" vertical="center" wrapText="1"/>
    </xf>
    <xf numFmtId="0" fontId="21" fillId="58" borderId="6" xfId="0" applyFont="1" applyFill="1" applyBorder="1" applyAlignment="1">
      <alignment horizontal="left"/>
    </xf>
    <xf numFmtId="0" fontId="17" fillId="58" borderId="6" xfId="0" applyFont="1" applyFill="1" applyBorder="1"/>
    <xf numFmtId="0" fontId="21" fillId="10" borderId="6" xfId="0" applyFont="1" applyFill="1" applyBorder="1" applyAlignment="1">
      <alignment horizontal="left"/>
    </xf>
    <xf numFmtId="0" fontId="21" fillId="53" borderId="6" xfId="0" applyFont="1" applyFill="1" applyBorder="1" applyAlignment="1">
      <alignment horizontal="center" vertical="center"/>
    </xf>
    <xf numFmtId="0" fontId="21" fillId="23" borderId="6" xfId="0" applyFont="1" applyFill="1" applyBorder="1" applyAlignment="1">
      <alignment horizontal="center"/>
    </xf>
    <xf numFmtId="0" fontId="17" fillId="61" borderId="6" xfId="0" applyFont="1" applyFill="1" applyBorder="1" applyAlignment="1">
      <alignment horizontal="left" vertical="center"/>
    </xf>
    <xf numFmtId="0" fontId="17" fillId="61" borderId="6" xfId="0" applyFont="1" applyFill="1" applyBorder="1" applyAlignment="1">
      <alignment horizontal="left"/>
    </xf>
    <xf numFmtId="0" fontId="21" fillId="44" borderId="6" xfId="0" applyFont="1" applyFill="1" applyBorder="1" applyAlignment="1">
      <alignment horizontal="left"/>
    </xf>
    <xf numFmtId="0" fontId="21" fillId="29" borderId="6" xfId="0" applyFont="1" applyFill="1" applyBorder="1" applyAlignment="1">
      <alignment horizontal="left" vertical="center"/>
    </xf>
    <xf numFmtId="0" fontId="17" fillId="40" borderId="6" xfId="0" applyFont="1" applyFill="1" applyBorder="1" applyAlignment="1">
      <alignment horizontal="left"/>
    </xf>
    <xf numFmtId="0" fontId="21" fillId="65" borderId="6" xfId="0" applyFont="1" applyFill="1" applyBorder="1" applyAlignment="1">
      <alignment horizontal="center" vertical="center" wrapText="1"/>
    </xf>
    <xf numFmtId="0" fontId="17" fillId="65" borderId="6" xfId="0" quotePrefix="1" applyFont="1" applyFill="1" applyBorder="1" applyAlignment="1">
      <alignment horizontal="left" vertical="center"/>
    </xf>
    <xf numFmtId="0" fontId="21" fillId="65" borderId="6" xfId="0" applyFont="1" applyFill="1" applyBorder="1" applyAlignment="1">
      <alignment horizontal="left" vertical="center"/>
    </xf>
    <xf numFmtId="0" fontId="21" fillId="19" borderId="6" xfId="0" applyFont="1" applyFill="1" applyBorder="1" applyAlignment="1">
      <alignment horizontal="left"/>
    </xf>
    <xf numFmtId="0" fontId="21" fillId="66" borderId="6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textRotation="180"/>
    </xf>
    <xf numFmtId="0" fontId="21" fillId="64" borderId="6" xfId="0" applyFont="1" applyFill="1" applyBorder="1" applyAlignment="1">
      <alignment horizontal="left" vertical="center"/>
    </xf>
    <xf numFmtId="0" fontId="21" fillId="63" borderId="6" xfId="0" quotePrefix="1" applyFont="1" applyFill="1" applyBorder="1" applyAlignment="1">
      <alignment horizontal="center" vertical="center"/>
    </xf>
    <xf numFmtId="0" fontId="18" fillId="54" borderId="3" xfId="0" applyFont="1" applyFill="1" applyBorder="1" applyAlignment="1">
      <alignment horizontal="center"/>
    </xf>
    <xf numFmtId="0" fontId="16" fillId="34" borderId="2" xfId="0" applyFont="1" applyFill="1" applyBorder="1"/>
    <xf numFmtId="0" fontId="18" fillId="55" borderId="3" xfId="0" applyFont="1" applyFill="1" applyBorder="1" applyAlignment="1">
      <alignment horizontal="left"/>
    </xf>
    <xf numFmtId="0" fontId="16" fillId="36" borderId="2" xfId="0" applyFont="1" applyFill="1" applyBorder="1"/>
    <xf numFmtId="0" fontId="27" fillId="20" borderId="6" xfId="0" applyFont="1" applyFill="1" applyBorder="1" applyAlignment="1">
      <alignment horizontal="left"/>
    </xf>
    <xf numFmtId="0" fontId="31" fillId="23" borderId="6" xfId="0" applyFont="1" applyFill="1" applyBorder="1"/>
    <xf numFmtId="0" fontId="31" fillId="20" borderId="6" xfId="0" applyFont="1" applyFill="1" applyBorder="1" applyAlignment="1">
      <alignment horizontal="left"/>
    </xf>
    <xf numFmtId="0" fontId="27" fillId="26" borderId="3" xfId="0" applyFont="1" applyFill="1" applyBorder="1" applyAlignment="1">
      <alignment horizontal="center"/>
    </xf>
    <xf numFmtId="0" fontId="17" fillId="23" borderId="2" xfId="0" applyFont="1" applyFill="1" applyBorder="1"/>
    <xf numFmtId="0" fontId="27" fillId="26" borderId="6" xfId="0" applyFont="1" applyFill="1" applyBorder="1" applyAlignment="1">
      <alignment horizontal="center"/>
    </xf>
    <xf numFmtId="0" fontId="21" fillId="54" borderId="6" xfId="0" applyFont="1" applyFill="1" applyBorder="1" applyAlignment="1">
      <alignment horizontal="center"/>
    </xf>
    <xf numFmtId="0" fontId="21" fillId="35" borderId="6" xfId="0" applyFont="1" applyFill="1" applyBorder="1" applyAlignment="1">
      <alignment horizontal="left"/>
    </xf>
    <xf numFmtId="165" fontId="15" fillId="25" borderId="6" xfId="0" applyNumberFormat="1" applyFont="1" applyFill="1" applyBorder="1" applyAlignment="1">
      <alignment vertical="center"/>
    </xf>
    <xf numFmtId="10" fontId="21" fillId="23" borderId="6" xfId="1" applyNumberFormat="1" applyFont="1" applyFill="1" applyBorder="1"/>
    <xf numFmtId="10" fontId="21" fillId="0" borderId="6" xfId="1" applyNumberFormat="1" applyFont="1" applyBorder="1"/>
  </cellXfs>
  <cellStyles count="6">
    <cellStyle name="Hipervínculo" xfId="5" builtinId="8"/>
    <cellStyle name="Millares 2" xfId="2" xr:uid="{AC17CAE5-B6BC-4352-800F-80A274D30CBB}"/>
    <cellStyle name="Moneda" xfId="3" builtinId="4"/>
    <cellStyle name="Moneda [0]" xfId="4" builtinId="7"/>
    <cellStyle name="Normal" xfId="0" builtinId="0"/>
    <cellStyle name="Porcentaje" xfId="1" builtinId="5"/>
  </cellStyles>
  <dxfs count="10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7F7F7F"/>
          <bgColor rgb="FF7F7F7F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7F7F7F"/>
          <bgColor rgb="FF7F7F7F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CO"/>
              <a:t>VALORACIÒN COMPARADA CON EL MERCADO </a:t>
            </a:r>
          </a:p>
        </c:rich>
      </c:tx>
      <c:layout>
        <c:manualLayout>
          <c:xMode val="edge"/>
          <c:yMode val="edge"/>
          <c:x val="0.19803745474183868"/>
          <c:y val="4.1357604059558205E-2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DC3E6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'Valoración Sin Estrategia'!$A$167:$A$169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Sin Estrategia'!$H$167:$H$169</c:f>
              <c:numCache>
                <c:formatCode>0.00\ \X</c:formatCode>
                <c:ptCount val="3"/>
                <c:pt idx="0">
                  <c:v>1.6762702700289924</c:v>
                </c:pt>
                <c:pt idx="1">
                  <c:v>2.3400192559769786</c:v>
                </c:pt>
                <c:pt idx="2">
                  <c:v>7.8002660999767235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104-45BC-AD89-40DB09D1E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495354"/>
        <c:axId val="1668951376"/>
      </c:barChart>
      <c:lineChart>
        <c:grouping val="standard"/>
        <c:varyColors val="0"/>
        <c:ser>
          <c:idx val="1"/>
          <c:order val="1"/>
          <c:spPr>
            <a:ln w="28575" cmpd="sng">
              <a:solidFill>
                <a:srgbClr val="EA4335"/>
              </a:solidFill>
            </a:ln>
          </c:spPr>
          <c:marker>
            <c:symbol val="none"/>
          </c:marker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'Valoración Sin Estrategia'!$A$167:$A$169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Sin Estrategia'!$I$167:$I$169</c:f>
              <c:numCache>
                <c:formatCode>0.00\ \X</c:formatCode>
                <c:ptCount val="3"/>
                <c:pt idx="0">
                  <c:v>2.61</c:v>
                </c:pt>
                <c:pt idx="1">
                  <c:v>2.61</c:v>
                </c:pt>
                <c:pt idx="2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4-45BC-AD89-40DB09D1E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495354"/>
        <c:axId val="1668951376"/>
      </c:lineChart>
      <c:catAx>
        <c:axId val="7964953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668951376"/>
        <c:crosses val="autoZero"/>
        <c:auto val="1"/>
        <c:lblAlgn val="ctr"/>
        <c:lblOffset val="100"/>
        <c:noMultiLvlLbl val="1"/>
      </c:catAx>
      <c:valAx>
        <c:axId val="16689513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.00\ \X" sourceLinked="1"/>
        <c:majorTickMark val="none"/>
        <c:minorTickMark val="none"/>
        <c:tickLblPos val="nextTo"/>
        <c:spPr>
          <a:ln/>
        </c:spPr>
        <c:crossAx val="796495354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PROYECCIÓN VENTAS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'Proyecciones + Estrategia'!$F$48:$O$48</c:f>
              <c:numCache>
                <c:formatCode>General</c:formatCod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'Proyecciones + Estrategia'!$F$50:$O$50</c:f>
              <c:numCache>
                <c:formatCode>_-* #,##0_-;\-* #,##0_-;_-* "-"??_-;_-@</c:formatCode>
                <c:ptCount val="10"/>
                <c:pt idx="0">
                  <c:v>16705472817</c:v>
                </c:pt>
                <c:pt idx="1">
                  <c:v>20474224826</c:v>
                </c:pt>
                <c:pt idx="2">
                  <c:v>21563111744</c:v>
                </c:pt>
                <c:pt idx="3">
                  <c:v>22145181018</c:v>
                </c:pt>
                <c:pt idx="4">
                  <c:v>33287737602</c:v>
                </c:pt>
                <c:pt idx="5">
                  <c:v>38333812429.992142</c:v>
                </c:pt>
                <c:pt idx="6">
                  <c:v>43470100540.077522</c:v>
                </c:pt>
                <c:pt idx="7">
                  <c:v>48214198660.29274</c:v>
                </c:pt>
                <c:pt idx="8">
                  <c:v>52015068583.279594</c:v>
                </c:pt>
                <c:pt idx="9">
                  <c:v>56404469117.248314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6-4735-98F9-1E6AD590D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1013205"/>
        <c:axId val="1388453517"/>
      </c:lineChart>
      <c:catAx>
        <c:axId val="16110132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388453517"/>
        <c:crosses val="autoZero"/>
        <c:auto val="1"/>
        <c:lblAlgn val="ctr"/>
        <c:lblOffset val="100"/>
        <c:noMultiLvlLbl val="1"/>
      </c:catAx>
      <c:valAx>
        <c:axId val="138845351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-* #,##0_-;\-* #,##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1101320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CO"/>
              <a:t>VALORACIÒN COMPARADA CON EL MERCADO </a:t>
            </a:r>
          </a:p>
        </c:rich>
      </c:tx>
      <c:layout>
        <c:manualLayout>
          <c:xMode val="edge"/>
          <c:yMode val="edge"/>
          <c:x val="0.15335020542519562"/>
          <c:y val="5.1412103974554625E-2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00B05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'Valoración + Estrategia'!$A$166:$A$168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+ Estrategia'!$H$166:$H$168</c:f>
              <c:numCache>
                <c:formatCode>0.00\ \X</c:formatCode>
                <c:ptCount val="3"/>
                <c:pt idx="0">
                  <c:v>1.6944518666795609</c:v>
                </c:pt>
                <c:pt idx="1">
                  <c:v>2.3654001787478616</c:v>
                </c:pt>
                <c:pt idx="2">
                  <c:v>11.084896148523491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8D8-46E0-9664-56E0E69BC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7243036"/>
        <c:axId val="1316595469"/>
      </c:barChart>
      <c:lineChart>
        <c:grouping val="standard"/>
        <c:varyColors val="0"/>
        <c:ser>
          <c:idx val="1"/>
          <c:order val="1"/>
          <c:spPr>
            <a:ln w="28575" cmpd="sng">
              <a:solidFill>
                <a:srgbClr val="EA433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'Valoración + Estrategia'!$A$166:$A$168</c:f>
              <c:strCache>
                <c:ptCount val="3"/>
                <c:pt idx="0">
                  <c:v>Patrimonial</c:v>
                </c:pt>
                <c:pt idx="1">
                  <c:v>Sustancial  Neto</c:v>
                </c:pt>
                <c:pt idx="2">
                  <c:v>FCLD</c:v>
                </c:pt>
              </c:strCache>
            </c:strRef>
          </c:cat>
          <c:val>
            <c:numRef>
              <c:f>'Valoración + Estrategia'!$I$166:$I$168</c:f>
              <c:numCache>
                <c:formatCode>0.00\ \X</c:formatCode>
                <c:ptCount val="3"/>
                <c:pt idx="0">
                  <c:v>2.61</c:v>
                </c:pt>
                <c:pt idx="1">
                  <c:v>2.61</c:v>
                </c:pt>
                <c:pt idx="2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8-46E0-9664-56E0E69BC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7243036"/>
        <c:axId val="1316595469"/>
      </c:lineChart>
      <c:catAx>
        <c:axId val="20672430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316595469"/>
        <c:crosses val="autoZero"/>
        <c:auto val="1"/>
        <c:lblAlgn val="ctr"/>
        <c:lblOffset val="100"/>
        <c:noMultiLvlLbl val="1"/>
      </c:catAx>
      <c:valAx>
        <c:axId val="13165954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.00\ \X" sourceLinked="1"/>
        <c:majorTickMark val="none"/>
        <c:minorTickMark val="none"/>
        <c:tickLblPos val="nextTo"/>
        <c:spPr>
          <a:ln/>
        </c:spPr>
        <c:crossAx val="2067243036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FLUJO DE CAJA PROYECTADO 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7382652296726667"/>
          <c:y val="0.12694600216627305"/>
          <c:w val="0.79027996500437447"/>
          <c:h val="0.77736111111111106"/>
        </c:manualLayout>
      </c:layout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'Valoración + Estrategia'!$F$99:$J$99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'Valoración + Estrategia'!$F$75:$J$75</c:f>
              <c:numCache>
                <c:formatCode>_("$"* #,##0_);_("$"* \(#,##0\);_("$"* "-"??_);_(@_)</c:formatCode>
                <c:ptCount val="5"/>
                <c:pt idx="0">
                  <c:v>913384588.75938416</c:v>
                </c:pt>
                <c:pt idx="1">
                  <c:v>2430461773.747221</c:v>
                </c:pt>
                <c:pt idx="2">
                  <c:v>3496879904.541647</c:v>
                </c:pt>
                <c:pt idx="3">
                  <c:v>3760098883.8892059</c:v>
                </c:pt>
                <c:pt idx="4">
                  <c:v>3844172279.6872129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D-464E-8835-A8133D6F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7877674"/>
        <c:axId val="3389903"/>
      </c:lineChart>
      <c:catAx>
        <c:axId val="20178776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\ &quot;p&quot;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389903"/>
        <c:crosses val="autoZero"/>
        <c:auto val="1"/>
        <c:lblAlgn val="ctr"/>
        <c:lblOffset val="100"/>
        <c:noMultiLvlLbl val="1"/>
      </c:catAx>
      <c:valAx>
        <c:axId val="33899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17877674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Gestion de Valor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'Valoración + Estrategia'!$A$186:$A$187</c:f>
              <c:strCache>
                <c:ptCount val="2"/>
                <c:pt idx="0">
                  <c:v>P/BV SIN ESTRATEGIAS</c:v>
                </c:pt>
                <c:pt idx="1">
                  <c:v>P/BV + ESTRATEGIAS</c:v>
                </c:pt>
              </c:strCache>
            </c:strRef>
          </c:cat>
          <c:val>
            <c:numRef>
              <c:f>'Valoración + Estrategia'!$F$186:$F$187</c:f>
              <c:numCache>
                <c:formatCode>0.00\ \X</c:formatCode>
                <c:ptCount val="2"/>
                <c:pt idx="0">
                  <c:v>4.7382681850028581</c:v>
                </c:pt>
                <c:pt idx="1">
                  <c:v>6.3896740076015259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5-4090-B240-0DB195614C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0951456"/>
        <c:axId val="436887744"/>
      </c:barChart>
      <c:catAx>
        <c:axId val="43095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36887744"/>
        <c:crosses val="autoZero"/>
        <c:auto val="1"/>
        <c:lblAlgn val="ctr"/>
        <c:lblOffset val="100"/>
        <c:noMultiLvlLbl val="0"/>
      </c:catAx>
      <c:valAx>
        <c:axId val="436887744"/>
        <c:scaling>
          <c:orientation val="minMax"/>
        </c:scaling>
        <c:delete val="0"/>
        <c:axPos val="l"/>
        <c:numFmt formatCode="0.00\ \X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30951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Valor</a:t>
            </a:r>
            <a:r>
              <a:rPr lang="es-CO" baseline="0"/>
              <a:t> de gestion FCLO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'Valoración + Estrategia'!$A$199</c:f>
              <c:strCache>
                <c:ptCount val="1"/>
                <c:pt idx="0">
                  <c:v>FCLO SIN ESTRATEGIAS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01-409E-B113-2EDDC51943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01-409E-B113-2EDDC51943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01-409E-B113-2EDDC51943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01-409E-B113-2EDDC51943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01-409E-B113-2EDDC51943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01-409E-B113-2EDDC51943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01-409E-B113-2EDDC519432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01-409E-B113-2EDDC519432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01-409E-B113-2EDDC5194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'Valoración + Estrategia'!$C$198:$L$198</c:f>
              <c:numCache>
                <c:formatCode>General</c:formatCod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'Valoración + Estrategia'!$C$199:$L$199</c:f>
              <c:numCache>
                <c:formatCode>_-"$"* #,##0_-;\-"$"* #,##0_-;_-"$"* "-"??_-;_-@</c:formatCode>
                <c:ptCount val="10"/>
                <c:pt idx="0">
                  <c:v>1885122952.9532733</c:v>
                </c:pt>
                <c:pt idx="1">
                  <c:v>1180457253.2886581</c:v>
                </c:pt>
                <c:pt idx="2">
                  <c:v>2147573006.3152032</c:v>
                </c:pt>
                <c:pt idx="3">
                  <c:v>828450571.02179122</c:v>
                </c:pt>
                <c:pt idx="4">
                  <c:v>983723066.27614689</c:v>
                </c:pt>
                <c:pt idx="5">
                  <c:v>799509227.55488753</c:v>
                </c:pt>
                <c:pt idx="6">
                  <c:v>945221113.58555365</c:v>
                </c:pt>
                <c:pt idx="7">
                  <c:v>1122982141.5117741</c:v>
                </c:pt>
                <c:pt idx="8">
                  <c:v>1388797023.798243</c:v>
                </c:pt>
                <c:pt idx="9">
                  <c:v>1422891077.7276473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1-409E-B113-2EDDC519432F}"/>
            </c:ext>
          </c:extLst>
        </c:ser>
        <c:ser>
          <c:idx val="1"/>
          <c:order val="1"/>
          <c:tx>
            <c:strRef>
              <c:f>'Valoración + Estrategia'!$A$200</c:f>
              <c:strCache>
                <c:ptCount val="1"/>
                <c:pt idx="0">
                  <c:v>FCLO + ESTRATEGIAS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01-409E-B113-2EDDC51943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1-409E-B113-2EDDC51943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01-409E-B113-2EDDC51943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01-409E-B113-2EDDC51943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1-409E-B113-2EDDC51943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1-409E-B113-2EDDC51943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1-409E-B113-2EDDC519432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1-409E-B113-2EDDC519432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1-409E-B113-2EDDC5194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'Valoración + Estrategia'!$C$198:$L$198</c:f>
              <c:numCache>
                <c:formatCode>General</c:formatCod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'Valoración + Estrategia'!$C$200:$L$200</c:f>
              <c:numCache>
                <c:formatCode>_-"$"* #,##0_-;\-"$"* #,##0_-;_-"$"* "-"??_-;_-@</c:formatCode>
                <c:ptCount val="10"/>
                <c:pt idx="0">
                  <c:v>2633526519.1371746</c:v>
                </c:pt>
                <c:pt idx="1">
                  <c:v>1639935563.3222456</c:v>
                </c:pt>
                <c:pt idx="2">
                  <c:v>2758902032.2454643</c:v>
                </c:pt>
                <c:pt idx="3">
                  <c:v>2712285564.1273422</c:v>
                </c:pt>
                <c:pt idx="4">
                  <c:v>1738455189.0037644</c:v>
                </c:pt>
                <c:pt idx="5">
                  <c:v>913384588.75938416</c:v>
                </c:pt>
                <c:pt idx="6">
                  <c:v>2430461773.747221</c:v>
                </c:pt>
                <c:pt idx="7">
                  <c:v>3496879904.541647</c:v>
                </c:pt>
                <c:pt idx="8">
                  <c:v>3760098883.8892059</c:v>
                </c:pt>
                <c:pt idx="9">
                  <c:v>3844172279.6872129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1-409E-B113-2EDDC5194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6209552"/>
        <c:axId val="372245248"/>
      </c:lineChart>
      <c:catAx>
        <c:axId val="52620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2245248"/>
        <c:crosses val="autoZero"/>
        <c:auto val="1"/>
        <c:lblAlgn val="ctr"/>
        <c:lblOffset val="100"/>
        <c:noMultiLvlLbl val="0"/>
      </c:catAx>
      <c:valAx>
        <c:axId val="37224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620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ALTMAN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 Altman'!$B$31</c:f>
              <c:strCache>
                <c:ptCount val="1"/>
                <c:pt idx="0">
                  <c:v>Peligro de quiebra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'Indicador Altman'!$C$31:$G$31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E-4A1B-B116-16425945B3BA}"/>
            </c:ext>
          </c:extLst>
        </c:ser>
        <c:ser>
          <c:idx val="1"/>
          <c:order val="1"/>
          <c:tx>
            <c:strRef>
              <c:f>'Indicador Altman'!$B$32</c:f>
              <c:strCache>
                <c:ptCount val="1"/>
                <c:pt idx="0">
                  <c:v>Zona Gris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'Indicador Altman'!$C$32:$G$32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E-4A1B-B116-16425945B3BA}"/>
            </c:ext>
          </c:extLst>
        </c:ser>
        <c:ser>
          <c:idx val="2"/>
          <c:order val="2"/>
          <c:tx>
            <c:strRef>
              <c:f>'Indicador Altman'!$B$33</c:f>
              <c:strCache>
                <c:ptCount val="1"/>
                <c:pt idx="0">
                  <c:v>Situación normal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'Indicador Altman'!$C$33:$G$33</c:f>
              <c:numCache>
                <c:formatCode>0.00</c:formatCode>
                <c:ptCount val="5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1E-4A1B-B116-16425945B3BA}"/>
            </c:ext>
          </c:extLst>
        </c:ser>
        <c:ser>
          <c:idx val="3"/>
          <c:order val="3"/>
          <c:tx>
            <c:strRef>
              <c:f>'Indicador Altman'!$B$34</c:f>
              <c:strCache>
                <c:ptCount val="1"/>
                <c:pt idx="0">
                  <c:v>PCC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'Indicador Altman'!$C$34:$G$34</c:f>
              <c:numCache>
                <c:formatCode>0.00</c:formatCode>
                <c:ptCount val="5"/>
                <c:pt idx="0">
                  <c:v>2.6153561658457734</c:v>
                </c:pt>
                <c:pt idx="1">
                  <c:v>2.7400047222998443</c:v>
                </c:pt>
                <c:pt idx="2">
                  <c:v>2.7935048404320035</c:v>
                </c:pt>
                <c:pt idx="3">
                  <c:v>2.7151051959469612</c:v>
                </c:pt>
                <c:pt idx="4">
                  <c:v>3.5196720082777393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1E-4A1B-B116-16425945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8736288"/>
        <c:axId val="978742048"/>
      </c:lineChart>
      <c:catAx>
        <c:axId val="97873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8742048"/>
        <c:crosses val="autoZero"/>
        <c:auto val="1"/>
        <c:lblAlgn val="ctr"/>
        <c:lblOffset val="100"/>
        <c:noMultiLvlLbl val="0"/>
      </c:catAx>
      <c:valAx>
        <c:axId val="97874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873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'[2]Razones Financieras'!$B$32</c:f>
              <c:strCache>
                <c:ptCount val="1"/>
                <c:pt idx="0">
                  <c:v>Periodo de Cobro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'[2]Razones Financieras'!$C$22:$G$22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'[2]Razones Financieras'!$C$32:$G$32</c:f>
              <c:numCache>
                <c:formatCode>General</c:formatCode>
                <c:ptCount val="5"/>
                <c:pt idx="0">
                  <c:v>18.25</c:v>
                </c:pt>
                <c:pt idx="1">
                  <c:v>18.25</c:v>
                </c:pt>
                <c:pt idx="2">
                  <c:v>18.25</c:v>
                </c:pt>
                <c:pt idx="3">
                  <c:v>18.25</c:v>
                </c:pt>
                <c:pt idx="4">
                  <c:v>18.25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D-4B5C-9823-36F0FE950B6F}"/>
            </c:ext>
          </c:extLst>
        </c:ser>
        <c:ser>
          <c:idx val="2"/>
          <c:order val="1"/>
          <c:tx>
            <c:strRef>
              <c:f>'[2]Razones Financieras'!$B$35</c:f>
              <c:strCache>
                <c:ptCount val="1"/>
                <c:pt idx="0">
                  <c:v>Periodo de Pago a Proveedores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'[2]Razones Financieras'!$C$22:$G$22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'[2]Razones Financieras'!$C$35:$G$35</c:f>
              <c:numCache>
                <c:formatCode>General</c:formatCode>
                <c:ptCount val="5"/>
                <c:pt idx="0">
                  <c:v>21.452131207543935</c:v>
                </c:pt>
                <c:pt idx="1">
                  <c:v>21.758500816035014</c:v>
                </c:pt>
                <c:pt idx="2">
                  <c:v>22.392222211253003</c:v>
                </c:pt>
                <c:pt idx="3">
                  <c:v>20.227478868161018</c:v>
                </c:pt>
                <c:pt idx="4">
                  <c:v>25.819478161809613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AD-4B5C-9823-36F0FE950B6F}"/>
            </c:ext>
          </c:extLst>
        </c:ser>
        <c:ser>
          <c:idx val="1"/>
          <c:order val="2"/>
          <c:tx>
            <c:strRef>
              <c:f>'[2]Razones Financieras'!$B$33</c:f>
              <c:strCache>
                <c:ptCount val="1"/>
                <c:pt idx="0">
                  <c:v>Rotacion de Inventarios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'[2]Razones Financieras'!$C$22:$G$22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'[2]Razones Financieras'!$C$33:$G$33</c:f>
              <c:numCache>
                <c:formatCode>General</c:formatCode>
                <c:ptCount val="5"/>
                <c:pt idx="0">
                  <c:v>107.26065603771967</c:v>
                </c:pt>
                <c:pt idx="1">
                  <c:v>108.79250408017506</c:v>
                </c:pt>
                <c:pt idx="2">
                  <c:v>100.2849690557856</c:v>
                </c:pt>
                <c:pt idx="3">
                  <c:v>122.40772440917083</c:v>
                </c:pt>
                <c:pt idx="4">
                  <c:v>21.499256347685726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B5C-9823-36F0FE950B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307971504"/>
        <c:axId val="1307977488"/>
      </c:barChart>
      <c:catAx>
        <c:axId val="1307971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7977488"/>
        <c:crosses val="autoZero"/>
        <c:auto val="1"/>
        <c:lblAlgn val="ctr"/>
        <c:lblOffset val="100"/>
        <c:noMultiLvlLbl val="0"/>
      </c:catAx>
      <c:valAx>
        <c:axId val="1307977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0797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'[2]Razones Financieras'!$B$34</c:f>
              <c:strCache>
                <c:ptCount val="1"/>
                <c:pt idx="0">
                  <c:v>Ciclo Operacional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'[2]Razones Financieras'!$C$22:$G$22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'[2]Razones Financieras'!$C$34:$G$34</c:f>
              <c:numCache>
                <c:formatCode>General</c:formatCode>
                <c:ptCount val="5"/>
                <c:pt idx="0">
                  <c:v>125.51065603771967</c:v>
                </c:pt>
                <c:pt idx="1">
                  <c:v>127.04250408017506</c:v>
                </c:pt>
                <c:pt idx="2">
                  <c:v>118.5349690557856</c:v>
                </c:pt>
                <c:pt idx="3">
                  <c:v>140.65772440917084</c:v>
                </c:pt>
                <c:pt idx="4">
                  <c:v>39.74925634768573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E-4803-AB33-B50147F42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7969328"/>
        <c:axId val="1307978032"/>
      </c:barChart>
      <c:catAx>
        <c:axId val="130796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7978032"/>
        <c:crosses val="autoZero"/>
        <c:auto val="1"/>
        <c:lblAlgn val="ctr"/>
        <c:lblOffset val="100"/>
        <c:noMultiLvlLbl val="0"/>
      </c:catAx>
      <c:valAx>
        <c:axId val="13079780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0796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>
                <a:latin typeface="Times New Roman" panose="02020603050405020304" pitchFamily="18" charset="0"/>
                <a:cs typeface="Times New Roman" panose="02020603050405020304" pitchFamily="18" charset="0"/>
              </a:rPr>
              <a:t>ROA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Indicadores!$F$14:$J$14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Indicadores!$F$15:$J$15</c:f>
              <c:numCache>
                <c:formatCode>0.00%</c:formatCode>
                <c:ptCount val="5"/>
                <c:pt idx="0">
                  <c:v>5.2943814300854479E-2</c:v>
                </c:pt>
                <c:pt idx="1">
                  <c:v>2.8688469702929403E-2</c:v>
                </c:pt>
                <c:pt idx="2">
                  <c:v>2.2059632119695898E-2</c:v>
                </c:pt>
                <c:pt idx="3">
                  <c:v>-1.8209690013096025E-2</c:v>
                </c:pt>
                <c:pt idx="4">
                  <c:v>2.2204545742882546E-2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A-4591-8274-8E2FD2EB2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6897352"/>
        <c:axId val="816902392"/>
      </c:lineChart>
      <c:catAx>
        <c:axId val="816897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816902392"/>
        <c:crosses val="autoZero"/>
        <c:auto val="1"/>
        <c:lblAlgn val="ctr"/>
        <c:lblOffset val="100"/>
        <c:noMultiLvlLbl val="0"/>
      </c:catAx>
      <c:valAx>
        <c:axId val="81690239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816897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>
                <a:latin typeface="Times New Roman" panose="02020603050405020304" pitchFamily="18" charset="0"/>
                <a:cs typeface="Times New Roman" panose="02020603050405020304" pitchFamily="18" charset="0"/>
              </a:rPr>
              <a:t>GENERACIÓN</a:t>
            </a:r>
            <a:r>
              <a:rPr lang="es-CO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 UTILIDAD DE LOS ACTIVOS</a:t>
            </a:r>
            <a:endParaRPr lang="es-CO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TOTAL ACTIVO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7946215629750626E-2"/>
                  <c:y val="-7.212909688478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CB-464F-8D66-D28C4B69BDE1}"/>
                </c:ext>
              </c:extLst>
            </c:dLbl>
            <c:dLbl>
              <c:idx val="1"/>
              <c:layout>
                <c:manualLayout>
                  <c:x val="-8.3321816707664489E-2"/>
                  <c:y val="7.2129096884782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B-464F-8D66-D28C4B69BDE1}"/>
                </c:ext>
              </c:extLst>
            </c:dLbl>
            <c:dLbl>
              <c:idx val="2"/>
              <c:layout>
                <c:manualLayout>
                  <c:x val="-8.3321816707664545E-2"/>
                  <c:y val="-5.8604891218885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CB-464F-8D66-D28C4B69BDE1}"/>
                </c:ext>
              </c:extLst>
            </c:dLbl>
            <c:dLbl>
              <c:idx val="3"/>
              <c:layout>
                <c:manualLayout>
                  <c:x val="-8.0634016168707523E-2"/>
                  <c:y val="0.12171785099307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B-464F-8D66-D28C4B69BDE1}"/>
                </c:ext>
              </c:extLst>
            </c:dLbl>
            <c:dLbl>
              <c:idx val="4"/>
              <c:layout>
                <c:manualLayout>
                  <c:x val="-8.063401616870752E-3"/>
                  <c:y val="-3.6064548442391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CB-464F-8D66-D28C4B69B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gráfico'!$A$21:$E$21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gráfico'!$A$22:$E$22</c:f>
              <c:numCache>
                <c:formatCode>_-* #,##0_-;\-* #,##0_-;_-* "-"_-;_-@</c:formatCode>
                <c:ptCount val="5"/>
                <c:pt idx="0">
                  <c:v>11554862000</c:v>
                </c:pt>
                <c:pt idx="1">
                  <c:v>12363351328</c:v>
                </c:pt>
                <c:pt idx="2">
                  <c:v>13330753360</c:v>
                </c:pt>
                <c:pt idx="3">
                  <c:v>12681011035</c:v>
                </c:pt>
                <c:pt idx="4">
                  <c:v>14244769727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B-464F-8D66-D28C4B69BDE1}"/>
            </c:ext>
          </c:extLst>
        </c:ser>
        <c:ser>
          <c:idx val="1"/>
          <c:order val="1"/>
          <c:tx>
            <c:v>RESULTADO DEL EJERCICIO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9620242037155809E-2"/>
                  <c:y val="-0.10383252712711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CB-464F-8D66-D28C4B69BDE1}"/>
                </c:ext>
              </c:extLst>
            </c:dLbl>
            <c:dLbl>
              <c:idx val="1"/>
              <c:layout>
                <c:manualLayout>
                  <c:x val="-7.6817350317562122E-2"/>
                  <c:y val="-7.1884057241847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CB-464F-8D66-D28C4B69BDE1}"/>
                </c:ext>
              </c:extLst>
            </c:dLbl>
            <c:dLbl>
              <c:idx val="2"/>
              <c:layout>
                <c:manualLayout>
                  <c:x val="-7.6817350317562122E-2"/>
                  <c:y val="-5.9903381034872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CB-464F-8D66-D28C4B69BDE1}"/>
                </c:ext>
              </c:extLst>
            </c:dLbl>
            <c:dLbl>
              <c:idx val="3"/>
              <c:layout>
                <c:manualLayout>
                  <c:x val="-8.1938507005399688E-2"/>
                  <c:y val="-0.1277938795410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CB-464F-8D66-D28C4B69BDE1}"/>
                </c:ext>
              </c:extLst>
            </c:dLbl>
            <c:dLbl>
              <c:idx val="4"/>
              <c:layout>
                <c:manualLayout>
                  <c:x val="-5.6332723566212314E-2"/>
                  <c:y val="-4.7922704827898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CB-464F-8D66-D28C4B69B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gráfico'!$A$21:$E$21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gráfico'!$A$23:$E$23</c:f>
              <c:numCache>
                <c:formatCode>#,##0</c:formatCode>
                <c:ptCount val="5"/>
                <c:pt idx="0">
                  <c:v>611758468</c:v>
                </c:pt>
                <c:pt idx="1">
                  <c:v>354685630</c:v>
                </c:pt>
                <c:pt idx="2">
                  <c:v>294071515</c:v>
                </c:pt>
                <c:pt idx="3">
                  <c:v>-230917280</c:v>
                </c:pt>
                <c:pt idx="4">
                  <c:v>316298641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B-464F-8D66-D28C4B69B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4793544"/>
        <c:axId val="804791384"/>
      </c:lineChart>
      <c:catAx>
        <c:axId val="80479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791384"/>
        <c:crosses val="autoZero"/>
        <c:auto val="1"/>
        <c:lblAlgn val="ctr"/>
        <c:lblOffset val="100"/>
        <c:noMultiLvlLbl val="0"/>
      </c:catAx>
      <c:valAx>
        <c:axId val="804791384"/>
        <c:scaling>
          <c:orientation val="minMax"/>
        </c:scaling>
        <c:delete val="0"/>
        <c:axPos val="l"/>
        <c:numFmt formatCode="_-* #,##0_-;\-* #,##0_-;_-* &quot;-&quot;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804793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FLUJO DE CAJA PROYECTADO </a:t>
            </a:r>
          </a:p>
        </c:rich>
      </c:tx>
      <c:layout>
        <c:manualLayout>
          <c:xMode val="edge"/>
          <c:yMode val="edge"/>
          <c:x val="0.23183333333333334"/>
          <c:y val="5.0671962086200591E-3"/>
        </c:manualLayout>
      </c:layout>
      <c:overlay val="0"/>
    </c:title>
    <c:autoTitleDeleted val="0"/>
    <c:plotArea>
      <c:layout>
        <c:manualLayout>
          <c:xMode val="edge"/>
          <c:yMode val="edge"/>
          <c:x val="0.1542338145231846"/>
          <c:y val="0.10508886146485062"/>
          <c:w val="0.83187729658792653"/>
          <c:h val="0.80269694535846825"/>
        </c:manualLayout>
      </c:layout>
      <c:lineChart>
        <c:grouping val="standard"/>
        <c:varyColors val="0"/>
        <c:ser>
          <c:idx val="0"/>
          <c:order val="0"/>
          <c:tx>
            <c:v>(1 - 2) FCLO</c:v>
          </c:tx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'Valoración Sin Estrategia'!$F$100:$J$100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'Valoración Sin Estrategia'!$F$76:$J$76</c:f>
              <c:numCache>
                <c:formatCode>_("$"* #,##0_);_("$"* \(#,##0\);_("$"* "-"??_);_(@_)</c:formatCode>
                <c:ptCount val="5"/>
                <c:pt idx="0">
                  <c:v>799509227.55488753</c:v>
                </c:pt>
                <c:pt idx="1">
                  <c:v>945221113.58555365</c:v>
                </c:pt>
                <c:pt idx="2">
                  <c:v>1122982141.5117741</c:v>
                </c:pt>
                <c:pt idx="3">
                  <c:v>1388797023.798243</c:v>
                </c:pt>
                <c:pt idx="4">
                  <c:v>1422891077.7276473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E-452A-A07F-4E1C8BDF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7358763"/>
        <c:axId val="354505668"/>
      </c:lineChart>
      <c:catAx>
        <c:axId val="6773587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\ &quot;p&quot;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54505668"/>
        <c:crosses val="autoZero"/>
        <c:auto val="1"/>
        <c:lblAlgn val="ctr"/>
        <c:lblOffset val="100"/>
        <c:noMultiLvlLbl val="1"/>
      </c:catAx>
      <c:valAx>
        <c:axId val="354505668"/>
        <c:scaling>
          <c:orientation val="minMax"/>
          <c:max val="7000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77358763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>
                <a:latin typeface="Times New Roman" panose="02020603050405020304" pitchFamily="18" charset="0"/>
                <a:cs typeface="Times New Roman" panose="02020603050405020304" pitchFamily="18" charset="0"/>
              </a:rPr>
              <a:t>Ventas</a:t>
            </a:r>
            <a:r>
              <a:rPr lang="es-CO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- UODI</a:t>
            </a:r>
            <a:r>
              <a:rPr lang="es-CO" b="1">
                <a:latin typeface="Times New Roman" panose="02020603050405020304" pitchFamily="18" charset="0"/>
                <a:cs typeface="Times New Roman" panose="02020603050405020304" pitchFamily="18" charset="0"/>
              </a:rPr>
              <a:t>-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VENTAS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gráfico'!$A$40:$E$40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gráfico'!$A$41:$E$41</c:f>
              <c:numCache>
                <c:formatCode>_-* #,##0_-;\-* #,##0_-;_-* "-"??_-;_-@</c:formatCode>
                <c:ptCount val="5"/>
                <c:pt idx="0">
                  <c:v>16705472817</c:v>
                </c:pt>
                <c:pt idx="1">
                  <c:v>20474224826</c:v>
                </c:pt>
                <c:pt idx="2">
                  <c:v>21563111744</c:v>
                </c:pt>
                <c:pt idx="3">
                  <c:v>22145181018</c:v>
                </c:pt>
                <c:pt idx="4">
                  <c:v>33287737602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C-4E4A-A55F-69B423C81331}"/>
            </c:ext>
          </c:extLst>
        </c:ser>
        <c:ser>
          <c:idx val="1"/>
          <c:order val="1"/>
          <c:tx>
            <c:v>UODI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gráfico'!$A$40:$E$40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gráfico'!$A$42:$E$42</c:f>
              <c:numCache>
                <c:formatCode>_-* #,##0_-;\-* #,##0_-;_-* "-"_-;_-@</c:formatCode>
                <c:ptCount val="5"/>
                <c:pt idx="0">
                  <c:v>1105000248.3290372</c:v>
                </c:pt>
                <c:pt idx="1">
                  <c:v>704600906.98730397</c:v>
                </c:pt>
                <c:pt idx="2">
                  <c:v>679789005.75275385</c:v>
                </c:pt>
                <c:pt idx="3">
                  <c:v>-743535013.50231516</c:v>
                </c:pt>
                <c:pt idx="4">
                  <c:v>755869886.55051804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C-4E4A-A55F-69B423C8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6899152"/>
        <c:axId val="816899872"/>
      </c:barChart>
      <c:catAx>
        <c:axId val="81689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816899872"/>
        <c:crosses val="autoZero"/>
        <c:auto val="1"/>
        <c:lblAlgn val="ctr"/>
        <c:lblOffset val="100"/>
        <c:noMultiLvlLbl val="0"/>
      </c:catAx>
      <c:valAx>
        <c:axId val="816899872"/>
        <c:scaling>
          <c:orientation val="minMax"/>
        </c:scaling>
        <c:delete val="0"/>
        <c:axPos val="l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81689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</a:t>
            </a:r>
            <a:r>
              <a:rPr lang="es-CO" baseline="0"/>
              <a:t> - EBITDA- MARGEN EBITDA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gráfico'!$A$56:$E$56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gráfico'!$A$57:$E$57</c:f>
              <c:numCache>
                <c:formatCode>_-* #,##0_-;\-* #,##0_-;_-* "-"??_-;_-@</c:formatCode>
                <c:ptCount val="5"/>
                <c:pt idx="0">
                  <c:v>16705472817</c:v>
                </c:pt>
                <c:pt idx="1">
                  <c:v>20474224826</c:v>
                </c:pt>
                <c:pt idx="2">
                  <c:v>21563111744</c:v>
                </c:pt>
                <c:pt idx="3">
                  <c:v>22145181018</c:v>
                </c:pt>
                <c:pt idx="4">
                  <c:v>33287737602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94-4049-B2C5-0666886B170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gráfico'!$A$56:$E$56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gráfico'!$A$58:$E$58</c:f>
              <c:numCache>
                <c:formatCode>_-* #,##0_-;\-* #,##0_-;_-* "-"_-;_-@</c:formatCode>
                <c:ptCount val="5"/>
                <c:pt idx="0">
                  <c:v>2581170935</c:v>
                </c:pt>
                <c:pt idx="1">
                  <c:v>2145325103</c:v>
                </c:pt>
                <c:pt idx="2">
                  <c:v>2285863284</c:v>
                </c:pt>
                <c:pt idx="3">
                  <c:v>1315058147</c:v>
                </c:pt>
                <c:pt idx="4">
                  <c:v>1888503145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94-4049-B2C5-0666886B1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4824864"/>
        <c:axId val="804828464"/>
      </c:barChart>
      <c:lineChart>
        <c:grouping val="standar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'Análisis gráfico'!$A$56:$E$56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gráfico'!$A$59:$E$59</c:f>
              <c:numCache>
                <c:formatCode>0.00%</c:formatCode>
                <c:ptCount val="5"/>
                <c:pt idx="0">
                  <c:v>0.15775104277912042</c:v>
                </c:pt>
                <c:pt idx="1">
                  <c:v>0.11813102926019417</c:v>
                </c:pt>
                <c:pt idx="2">
                  <c:v>0.11181643547670705</c:v>
                </c:pt>
                <c:pt idx="3">
                  <c:v>6.6573194222331378E-2</c:v>
                </c:pt>
                <c:pt idx="4">
                  <c:v>5.9833125753801113E-2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4-4049-B2C5-0666886B1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30264"/>
        <c:axId val="804829904"/>
      </c:lineChart>
      <c:catAx>
        <c:axId val="80482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828464"/>
        <c:crosses val="autoZero"/>
        <c:auto val="1"/>
        <c:lblAlgn val="ctr"/>
        <c:lblOffset val="100"/>
        <c:noMultiLvlLbl val="0"/>
      </c:catAx>
      <c:valAx>
        <c:axId val="804828464"/>
        <c:scaling>
          <c:orientation val="minMax"/>
        </c:scaling>
        <c:delete val="0"/>
        <c:axPos val="l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824864"/>
        <c:crosses val="autoZero"/>
        <c:crossBetween val="between"/>
      </c:valAx>
      <c:valAx>
        <c:axId val="80482990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4830264"/>
        <c:crosses val="max"/>
        <c:crossBetween val="between"/>
      </c:valAx>
      <c:catAx>
        <c:axId val="804830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04829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</a:t>
            </a:r>
            <a:r>
              <a:rPr lang="es-CO" baseline="0"/>
              <a:t> - MARGEN EBITDA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gráfico'!$A$63:$E$63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gráfico'!$A$64:$E$64</c:f>
              <c:numCache>
                <c:formatCode>_-* #,##0_-;\-* #,##0_-;_-* "-"??_-;_-@</c:formatCode>
                <c:ptCount val="5"/>
                <c:pt idx="0">
                  <c:v>16705472817</c:v>
                </c:pt>
                <c:pt idx="1">
                  <c:v>20474224826</c:v>
                </c:pt>
                <c:pt idx="2">
                  <c:v>21563111744</c:v>
                </c:pt>
                <c:pt idx="3">
                  <c:v>22145181018</c:v>
                </c:pt>
                <c:pt idx="4">
                  <c:v>33287737602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6-4C7E-817B-65FB3D9E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2984432"/>
        <c:axId val="972977952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'Análisis gráfico'!$A$63:$E$63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gráfico'!$A$65:$E$65</c:f>
              <c:numCache>
                <c:formatCode>0.00%</c:formatCode>
                <c:ptCount val="5"/>
                <c:pt idx="0">
                  <c:v>0.15775104277912042</c:v>
                </c:pt>
                <c:pt idx="1">
                  <c:v>0.11813102926019417</c:v>
                </c:pt>
                <c:pt idx="2">
                  <c:v>0.11181643547670705</c:v>
                </c:pt>
                <c:pt idx="3">
                  <c:v>6.6573194222331378E-2</c:v>
                </c:pt>
                <c:pt idx="4">
                  <c:v>5.9833125753801113E-2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6-4C7E-817B-65FB3D9E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977232"/>
        <c:axId val="972981192"/>
      </c:lineChart>
      <c:catAx>
        <c:axId val="97298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2977952"/>
        <c:crosses val="autoZero"/>
        <c:auto val="1"/>
        <c:lblAlgn val="ctr"/>
        <c:lblOffset val="100"/>
        <c:noMultiLvlLbl val="0"/>
      </c:catAx>
      <c:valAx>
        <c:axId val="972977952"/>
        <c:scaling>
          <c:orientation val="minMax"/>
        </c:scaling>
        <c:delete val="0"/>
        <c:axPos val="l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2984432"/>
        <c:crosses val="autoZero"/>
        <c:crossBetween val="between"/>
      </c:valAx>
      <c:valAx>
        <c:axId val="972981192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2977232"/>
        <c:crosses val="max"/>
        <c:crossBetween val="between"/>
      </c:valAx>
      <c:catAx>
        <c:axId val="972977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72981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PKT CENTAVOS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gráfico'!$A$76:$E$76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gráfico'!$A$77:$E$77</c:f>
              <c:numCache>
                <c:formatCode>0.00</c:formatCode>
                <c:ptCount val="5"/>
                <c:pt idx="0">
                  <c:v>3.1531133944558018E-2</c:v>
                </c:pt>
                <c:pt idx="1">
                  <c:v>4.751784691572479E-2</c:v>
                </c:pt>
                <c:pt idx="2">
                  <c:v>7.5868243759169382E-2</c:v>
                </c:pt>
                <c:pt idx="3">
                  <c:v>4.6877171162259222E-2</c:v>
                </c:pt>
                <c:pt idx="4">
                  <c:v>5.5625616169503476E-2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C-496E-B661-649EFD994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2961392"/>
        <c:axId val="972959952"/>
      </c:barChart>
      <c:catAx>
        <c:axId val="97296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2959952"/>
        <c:crosses val="autoZero"/>
        <c:auto val="1"/>
        <c:lblAlgn val="ctr"/>
        <c:lblOffset val="100"/>
        <c:noMultiLvlLbl val="0"/>
      </c:catAx>
      <c:valAx>
        <c:axId val="9729599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296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>
                <a:latin typeface="Times New Roman" panose="02020603050405020304" pitchFamily="18" charset="0"/>
                <a:cs typeface="Times New Roman" panose="02020603050405020304" pitchFamily="18" charset="0"/>
              </a:rPr>
              <a:t>COMPONENTES KTNO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CUENTAS POR COBRAR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gráfico'!$A$80:$E$80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gráfico'!$A$81:$E$81</c:f>
              <c:numCache>
                <c:formatCode>General</c:formatCode>
                <c:ptCount val="5"/>
                <c:pt idx="0">
                  <c:v>2467358178</c:v>
                </c:pt>
                <c:pt idx="1">
                  <c:v>3158470228</c:v>
                </c:pt>
                <c:pt idx="2">
                  <c:v>3709808049</c:v>
                </c:pt>
                <c:pt idx="3">
                  <c:v>3380747041</c:v>
                </c:pt>
                <c:pt idx="4">
                  <c:v>3471633072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B-4B49-A5C8-3F3EB1100BAD}"/>
            </c:ext>
          </c:extLst>
        </c:ser>
        <c:ser>
          <c:idx val="1"/>
          <c:order val="1"/>
          <c:tx>
            <c:v>INVENTARIOS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gráfico'!$A$80:$E$80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gráfico'!$A$82:$E$82</c:f>
              <c:numCache>
                <c:formatCode>General</c:formatCode>
                <c:ptCount val="5"/>
                <c:pt idx="0">
                  <c:v>444313956</c:v>
                </c:pt>
                <c:pt idx="1">
                  <c:v>806961387</c:v>
                </c:pt>
                <c:pt idx="2">
                  <c:v>1865194210</c:v>
                </c:pt>
                <c:pt idx="3">
                  <c:v>1437305490</c:v>
                </c:pt>
                <c:pt idx="4">
                  <c:v>3443393761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B-4B49-A5C8-3F3EB1100BAD}"/>
            </c:ext>
          </c:extLst>
        </c:ser>
        <c:ser>
          <c:idx val="2"/>
          <c:order val="2"/>
          <c:tx>
            <c:v>CUENTAS POR PAGAR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gráfico'!$A$80:$E$80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gráfico'!$A$83:$E$83</c:f>
              <c:numCache>
                <c:formatCode>General</c:formatCode>
                <c:ptCount val="5"/>
                <c:pt idx="0">
                  <c:v>2384929633</c:v>
                </c:pt>
                <c:pt idx="1">
                  <c:v>2992540534</c:v>
                </c:pt>
                <c:pt idx="2">
                  <c:v>3939046841</c:v>
                </c:pt>
                <c:pt idx="3">
                  <c:v>3779949090</c:v>
                </c:pt>
                <c:pt idx="4">
                  <c:v>5063375918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B-4B49-A5C8-3F3EB1100B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972995232"/>
        <c:axId val="972996312"/>
      </c:barChart>
      <c:catAx>
        <c:axId val="972995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2996312"/>
        <c:crosses val="autoZero"/>
        <c:auto val="1"/>
        <c:lblAlgn val="ctr"/>
        <c:lblOffset val="100"/>
        <c:noMultiLvlLbl val="0"/>
      </c:catAx>
      <c:valAx>
        <c:axId val="9729963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7299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PAF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'Análisis gráfico'!$A$94:$E$94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gráfico'!$A$95:$E$95</c:f>
              <c:numCache>
                <c:formatCode>0.00</c:formatCode>
                <c:ptCount val="5"/>
                <c:pt idx="0">
                  <c:v>2.159658102571306</c:v>
                </c:pt>
                <c:pt idx="1">
                  <c:v>2.5385672754344979</c:v>
                </c:pt>
                <c:pt idx="2">
                  <c:v>3.0580442345852652</c:v>
                </c:pt>
                <c:pt idx="3">
                  <c:v>3.4582432303128963</c:v>
                </c:pt>
                <c:pt idx="4">
                  <c:v>5.702063639244848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5-4963-99E0-7213A01C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3004592"/>
        <c:axId val="973002432"/>
      </c:lineChart>
      <c:catAx>
        <c:axId val="97300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3002432"/>
        <c:crosses val="autoZero"/>
        <c:auto val="1"/>
        <c:lblAlgn val="ctr"/>
        <c:lblOffset val="100"/>
        <c:noMultiLvlLbl val="0"/>
      </c:catAx>
      <c:valAx>
        <c:axId val="97300243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300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VENTAS -</a:t>
            </a:r>
            <a:r>
              <a:rPr lang="es-CO" baseline="0"/>
              <a:t> ACTIVOS FIJOS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gráfico'!$A$97:$E$97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gráfico'!$A$98:$E$98</c:f>
              <c:numCache>
                <c:formatCode>_-* #,##0_-;\-* #,##0_-;_-* "-"??_-;_-@</c:formatCode>
                <c:ptCount val="5"/>
                <c:pt idx="0">
                  <c:v>16705472817</c:v>
                </c:pt>
                <c:pt idx="1">
                  <c:v>20474224826</c:v>
                </c:pt>
                <c:pt idx="2">
                  <c:v>21563111744</c:v>
                </c:pt>
                <c:pt idx="3">
                  <c:v>22145181018</c:v>
                </c:pt>
                <c:pt idx="4">
                  <c:v>33287737602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0-4015-B914-C3211B3F5D6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'Análisis gráfico'!$A$97:$E$97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gráfico'!$A$99:$E$99</c:f>
              <c:numCache>
                <c:formatCode>General</c:formatCode>
                <c:ptCount val="5"/>
                <c:pt idx="0">
                  <c:v>11554862000</c:v>
                </c:pt>
                <c:pt idx="1">
                  <c:v>12363351328</c:v>
                </c:pt>
                <c:pt idx="2">
                  <c:v>13330753360</c:v>
                </c:pt>
                <c:pt idx="3">
                  <c:v>12681011035</c:v>
                </c:pt>
                <c:pt idx="4">
                  <c:v>14244769727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0-4015-B914-C3211B3F5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73012512"/>
        <c:axId val="973013592"/>
      </c:barChart>
      <c:catAx>
        <c:axId val="97301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3013592"/>
        <c:crosses val="autoZero"/>
        <c:auto val="1"/>
        <c:lblAlgn val="ctr"/>
        <c:lblOffset val="100"/>
        <c:noMultiLvlLbl val="0"/>
      </c:catAx>
      <c:valAx>
        <c:axId val="973013592"/>
        <c:scaling>
          <c:orientation val="minMax"/>
        </c:scaling>
        <c:delete val="0"/>
        <c:axPos val="b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301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PDC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'Análisis gráfico'!$A$111:$E$111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gráfico'!$A$112:$E$112</c:f>
              <c:numCache>
                <c:formatCode>_-* #,##0.00_-;\-* #,##0.00_-;_-* "-"??_-;_-@</c:formatCode>
                <c:ptCount val="5"/>
                <c:pt idx="0">
                  <c:v>4.9002518879713488</c:v>
                </c:pt>
                <c:pt idx="1">
                  <c:v>2.2051030633304776</c:v>
                </c:pt>
                <c:pt idx="2">
                  <c:v>1.3972650225362071</c:v>
                </c:pt>
                <c:pt idx="3">
                  <c:v>1.2667891224146324</c:v>
                </c:pt>
                <c:pt idx="4">
                  <c:v>1.019902363723888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1-4826-8DB8-4365A377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8625048"/>
        <c:axId val="978621808"/>
      </c:lineChart>
      <c:catAx>
        <c:axId val="978625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8621808"/>
        <c:crosses val="autoZero"/>
        <c:auto val="1"/>
        <c:lblAlgn val="ctr"/>
        <c:lblOffset val="100"/>
        <c:noMultiLvlLbl val="0"/>
      </c:catAx>
      <c:valAx>
        <c:axId val="978621808"/>
        <c:scaling>
          <c:orientation val="minMax"/>
        </c:scaling>
        <c:delete val="0"/>
        <c:axPos val="l"/>
        <c:numFmt formatCode="_-* #,##0.00_-;\-* #,##0.0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8625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FLUJO DE CAJA LIBRE (FCL)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'Análisis gráfico'!$A$116:$E$116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gráfico'!$A$117:$E$117</c:f>
              <c:numCache>
                <c:formatCode>_-* #,##0_-;\-* #,##0_-;_-* "-"??_-;_-@</c:formatCode>
                <c:ptCount val="5"/>
                <c:pt idx="0">
                  <c:v>1885122952.9532733</c:v>
                </c:pt>
                <c:pt idx="1">
                  <c:v>1180457253.2886581</c:v>
                </c:pt>
                <c:pt idx="2">
                  <c:v>2147573006.3152032</c:v>
                </c:pt>
                <c:pt idx="3">
                  <c:v>828450571.02179122</c:v>
                </c:pt>
                <c:pt idx="4">
                  <c:v>983723066.27614689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B-49A6-9BC2-29F4CA48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8649168"/>
        <c:axId val="978650968"/>
      </c:barChart>
      <c:catAx>
        <c:axId val="97864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8650968"/>
        <c:crosses val="autoZero"/>
        <c:auto val="1"/>
        <c:lblAlgn val="ctr"/>
        <c:lblOffset val="100"/>
        <c:noMultiLvlLbl val="0"/>
      </c:catAx>
      <c:valAx>
        <c:axId val="978650968"/>
        <c:scaling>
          <c:orientation val="minMax"/>
        </c:scaling>
        <c:delete val="0"/>
        <c:axPos val="l"/>
        <c:numFmt formatCode="_-* #,##0_-;\-* #,##0_-;_-* &quot;-&quot;??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7864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DISTANCIA OPERACIONAL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ROA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838570614854225E-2"/>
                  <c:y val="8.2345484695572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62-48AA-A98F-1C272D6F0991}"/>
                </c:ext>
              </c:extLst>
            </c:dLbl>
            <c:dLbl>
              <c:idx val="1"/>
              <c:layout>
                <c:manualLayout>
                  <c:x val="9.7888310208825383E-3"/>
                  <c:y val="-4.9407290817343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62-48AA-A98F-1C272D6F0991}"/>
                </c:ext>
              </c:extLst>
            </c:dLbl>
            <c:dLbl>
              <c:idx val="2"/>
              <c:layout>
                <c:manualLayout>
                  <c:x val="-0.11746597225059099"/>
                  <c:y val="2.4703645408671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62-48AA-A98F-1C272D6F0991}"/>
                </c:ext>
              </c:extLst>
            </c:dLbl>
            <c:dLbl>
              <c:idx val="3"/>
              <c:layout>
                <c:manualLayout>
                  <c:x val="-1.4683246531323874E-2"/>
                  <c:y val="-0.1070491301042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62-48AA-A98F-1C272D6F0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gráfico'!$A$27:$E$27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gráfico'!$A$28:$E$28</c:f>
              <c:numCache>
                <c:formatCode>0.00%</c:formatCode>
                <c:ptCount val="5"/>
                <c:pt idx="0">
                  <c:v>5.2943814300854479E-2</c:v>
                </c:pt>
                <c:pt idx="1">
                  <c:v>2.8688469702929403E-2</c:v>
                </c:pt>
                <c:pt idx="2">
                  <c:v>2.2059632119695898E-2</c:v>
                </c:pt>
                <c:pt idx="3">
                  <c:v>-1.8209690013096025E-2</c:v>
                </c:pt>
                <c:pt idx="4">
                  <c:v>2.2204545742882546E-2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2-48AA-A98F-1C272D6F0991}"/>
            </c:ext>
          </c:extLst>
        </c:ser>
        <c:ser>
          <c:idx val="1"/>
          <c:order val="1"/>
          <c:tx>
            <c:v>RAN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7.8310648167060612E-2"/>
                  <c:y val="-1.6469096939114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62-48AA-A98F-1C272D6F0991}"/>
                </c:ext>
              </c:extLst>
            </c:dLbl>
            <c:dLbl>
              <c:idx val="1"/>
              <c:layout>
                <c:manualLayout>
                  <c:x val="-0.13459642653713555"/>
                  <c:y val="2.0586371173893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62-48AA-A98F-1C272D6F0991}"/>
                </c:ext>
              </c:extLst>
            </c:dLbl>
            <c:dLbl>
              <c:idx val="2"/>
              <c:layout>
                <c:manualLayout>
                  <c:x val="3.1813700817868391E-2"/>
                  <c:y val="-1.2351822704335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62-48AA-A98F-1C272D6F0991}"/>
                </c:ext>
              </c:extLst>
            </c:dLbl>
            <c:dLbl>
              <c:idx val="4"/>
              <c:layout>
                <c:manualLayout>
                  <c:x val="0"/>
                  <c:y val="-5.7641839286901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62-48AA-A98F-1C272D6F0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'Análisis gráfico'!$A$27:$E$27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'Análisis gráfico'!$A$29:$E$29</c:f>
              <c:numCache>
                <c:formatCode>0.00%</c:formatCode>
                <c:ptCount val="5"/>
                <c:pt idx="0">
                  <c:v>0.12050255161157146</c:v>
                </c:pt>
                <c:pt idx="1">
                  <c:v>7.5191029087733813E-2</c:v>
                </c:pt>
                <c:pt idx="2">
                  <c:v>7.2683164886646043E-2</c:v>
                </c:pt>
                <c:pt idx="3">
                  <c:v>-8.3533292779743168E-2</c:v>
                </c:pt>
                <c:pt idx="4">
                  <c:v>8.2326267914745316E-2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2-48AA-A98F-1C272D6F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6416528"/>
        <c:axId val="796424448"/>
      </c:lineChart>
      <c:catAx>
        <c:axId val="79641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96424448"/>
        <c:crosses val="autoZero"/>
        <c:auto val="1"/>
        <c:lblAlgn val="ctr"/>
        <c:lblOffset val="100"/>
        <c:noMultiLvlLbl val="0"/>
      </c:catAx>
      <c:valAx>
        <c:axId val="796424448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9641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Reducción de Costos en %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'Estrategias Operativas'!$E$13:$I$13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'Estrategias Operativas'!$E$14:$I$14</c:f>
              <c:numCache>
                <c:formatCode>0.00%</c:formatCode>
                <c:ptCount val="5"/>
                <c:pt idx="0">
                  <c:v>0.02</c:v>
                </c:pt>
                <c:pt idx="1">
                  <c:v>2.9000000000000001E-2</c:v>
                </c:pt>
                <c:pt idx="2">
                  <c:v>0.04</c:v>
                </c:pt>
                <c:pt idx="3">
                  <c:v>2.9000000000000001E-2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5-4A86-8A90-2BF7FF865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3735519"/>
        <c:axId val="484667416"/>
      </c:lineChart>
      <c:catAx>
        <c:axId val="12737355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\ &quot;p&quot;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84667416"/>
        <c:crosses val="autoZero"/>
        <c:auto val="1"/>
        <c:lblAlgn val="ctr"/>
        <c:lblOffset val="100"/>
        <c:noMultiLvlLbl val="1"/>
      </c:catAx>
      <c:valAx>
        <c:axId val="4846674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73735519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200" b="1" i="0">
                <a:solidFill>
                  <a:srgbClr val="757575"/>
                </a:solidFill>
                <a:latin typeface="+mn-lt"/>
              </a:defRPr>
            </a:pPr>
            <a:r>
              <a:rPr lang="es-CO" sz="1200" b="1" i="0">
                <a:solidFill>
                  <a:srgbClr val="757575"/>
                </a:solidFill>
                <a:latin typeface="+mn-lt"/>
              </a:rPr>
              <a:t>Reducción de Gastos Administrativos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'Estrategias Operativas'!$E$13:$I$13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'Estrategias Operativas'!$E$19:$I$19</c:f>
              <c:numCache>
                <c:formatCode>0.000%</c:formatCode>
                <c:ptCount val="5"/>
                <c:pt idx="0">
                  <c:v>5.0000000000000002E-5</c:v>
                </c:pt>
                <c:pt idx="1">
                  <c:v>6.9999999999999994E-5</c:v>
                </c:pt>
                <c:pt idx="2">
                  <c:v>1.2E-4</c:v>
                </c:pt>
                <c:pt idx="3">
                  <c:v>6.9999999999999994E-5</c:v>
                </c:pt>
                <c:pt idx="4">
                  <c:v>5.0000000000000002E-5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3-43AE-A4C1-DF2FC574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6396432"/>
        <c:axId val="1669312270"/>
      </c:lineChart>
      <c:catAx>
        <c:axId val="46639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\ &quot;p&quot;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69312270"/>
        <c:crosses val="autoZero"/>
        <c:auto val="1"/>
        <c:lblAlgn val="ctr"/>
        <c:lblOffset val="100"/>
        <c:noMultiLvlLbl val="1"/>
      </c:catAx>
      <c:valAx>
        <c:axId val="16693122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.0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66396432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200" b="1" i="0">
                <a:solidFill>
                  <a:srgbClr val="757575"/>
                </a:solidFill>
                <a:latin typeface="+mn-lt"/>
              </a:defRPr>
            </a:pPr>
            <a:r>
              <a:rPr lang="es-CO" sz="1200" b="1" i="0">
                <a:solidFill>
                  <a:srgbClr val="757575"/>
                </a:solidFill>
                <a:latin typeface="+mn-lt"/>
              </a:rPr>
              <a:t>Reducción de Gastos Ventas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'Estrategias Operativas'!$E$13:$I$13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'Estrategias Operativas'!$E$24:$I$24</c:f>
              <c:numCache>
                <c:formatCode>0%</c:formatCode>
                <c:ptCount val="5"/>
                <c:pt idx="0" formatCode="0.00%">
                  <c:v>5.0000000000000001E-3</c:v>
                </c:pt>
                <c:pt idx="1">
                  <c:v>0.04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F-4E30-8307-87A784BB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646287"/>
        <c:axId val="719075849"/>
      </c:lineChart>
      <c:catAx>
        <c:axId val="514646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\ &quot;p&quot;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719075849"/>
        <c:crosses val="autoZero"/>
        <c:auto val="1"/>
        <c:lblAlgn val="ctr"/>
        <c:lblOffset val="100"/>
        <c:noMultiLvlLbl val="1"/>
      </c:catAx>
      <c:valAx>
        <c:axId val="7190758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14646287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Incremento en Ventas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Crecimiento Valoración Natural</c:v>
          </c:tx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'Estrategias Operativas'!$E$34:$I$34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'Estrategias Operativas'!$E$35:$I$35</c:f>
              <c:numCache>
                <c:formatCode>0.00%</c:formatCode>
                <c:ptCount val="5"/>
                <c:pt idx="0">
                  <c:v>0.14975000000000005</c:v>
                </c:pt>
                <c:pt idx="1">
                  <c:v>0.13172499999999987</c:v>
                </c:pt>
                <c:pt idx="2">
                  <c:v>0.10670000000000002</c:v>
                </c:pt>
                <c:pt idx="3">
                  <c:v>7.6249999999999929E-2</c:v>
                </c:pt>
                <c:pt idx="4">
                  <c:v>8.1574999999999953E-2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5-4811-8059-EE8FF059A52B}"/>
            </c:ext>
          </c:extLst>
        </c:ser>
        <c:ser>
          <c:idx val="1"/>
          <c:order val="1"/>
          <c:tx>
            <c:v>INCREMENTO DE CRECIMIENTO</c:v>
          </c:tx>
          <c:spPr>
            <a:ln w="28575" cmpd="sng">
              <a:solidFill>
                <a:srgbClr val="EA4335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solidFill>
                      <a:srgbClr val="FFFFFF"/>
                    </a:solidFill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'Estrategias Operativas'!$E$34:$I$34</c:f>
              <c:numCache>
                <c:formatCode>0\ "p"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'Estrategias Operativas'!$E$38:$I$38</c:f>
              <c:numCache>
                <c:formatCode>0.0%</c:formatCode>
                <c:ptCount val="5"/>
                <c:pt idx="0">
                  <c:v>0.1515896000000001</c:v>
                </c:pt>
                <c:pt idx="1">
                  <c:v>0.13398844999999993</c:v>
                </c:pt>
                <c:pt idx="2">
                  <c:v>0.10913474000000001</c:v>
                </c:pt>
                <c:pt idx="3">
                  <c:v>7.8832999999999931E-2</c:v>
                </c:pt>
                <c:pt idx="4">
                  <c:v>8.4387094999999857E-2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75-4811-8059-EE8FF059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848743"/>
        <c:axId val="1177141490"/>
      </c:lineChart>
      <c:catAx>
        <c:axId val="4408487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\ &quot;p&quot;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77141490"/>
        <c:crosses val="autoZero"/>
        <c:auto val="1"/>
        <c:lblAlgn val="ctr"/>
        <c:lblOffset val="100"/>
        <c:noMultiLvlLbl val="1"/>
      </c:catAx>
      <c:valAx>
        <c:axId val="11771414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40848743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PROYECCIÓN ACTIVO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'Proyecciones + Estrategia'!$F$21:$O$21</c:f>
              <c:numCache>
                <c:formatCode>General</c:formatCod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'Proyecciones + Estrategia'!$F$30:$O$30</c:f>
              <c:numCache>
                <c:formatCode>_-* #,##0_-;\-* #,##0_-;_-* "-"_-;_-@</c:formatCode>
                <c:ptCount val="10"/>
                <c:pt idx="0">
                  <c:v>11554862000</c:v>
                </c:pt>
                <c:pt idx="1">
                  <c:v>12363351328</c:v>
                </c:pt>
                <c:pt idx="2">
                  <c:v>13330753360</c:v>
                </c:pt>
                <c:pt idx="3">
                  <c:v>12681011035</c:v>
                </c:pt>
                <c:pt idx="4">
                  <c:v>14244769727</c:v>
                </c:pt>
                <c:pt idx="5">
                  <c:v>16404128672.008041</c:v>
                </c:pt>
                <c:pt idx="6">
                  <c:v>18602092446.370956</c:v>
                </c:pt>
                <c:pt idx="7">
                  <c:v>20632226968.961613</c:v>
                </c:pt>
                <c:pt idx="8">
                  <c:v>22258727317.605759</c:v>
                </c:pt>
                <c:pt idx="9">
                  <c:v>24137076654.335648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9-4444-A61E-6C8CF4236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4442629"/>
        <c:axId val="1431556323"/>
      </c:lineChart>
      <c:catAx>
        <c:axId val="15844426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1556323"/>
        <c:crosses val="autoZero"/>
        <c:auto val="1"/>
        <c:lblAlgn val="ctr"/>
        <c:lblOffset val="100"/>
        <c:noMultiLvlLbl val="1"/>
      </c:catAx>
      <c:valAx>
        <c:axId val="1431556323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-* #,##0_-;\-* #,##0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8444262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PROYECCIÓN PASIVO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'Proyecciones + Estrategia'!$F$21:$O$21</c:f>
              <c:numCache>
                <c:formatCode>General</c:formatCod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'Proyecciones + Estrategia'!$F$39:$O$39</c:f>
              <c:numCache>
                <c:formatCode>_-* #,##0_-;\-* #,##0_-;_-* "-"_-;_-@</c:formatCode>
                <c:ptCount val="10"/>
                <c:pt idx="0">
                  <c:v>8716298352</c:v>
                </c:pt>
                <c:pt idx="1">
                  <c:v>9316737052</c:v>
                </c:pt>
                <c:pt idx="2">
                  <c:v>10107761751</c:v>
                </c:pt>
                <c:pt idx="3">
                  <c:v>9388936702</c:v>
                </c:pt>
                <c:pt idx="4">
                  <c:v>10636396753</c:v>
                </c:pt>
                <c:pt idx="5">
                  <c:v>12248763882.228569</c:v>
                </c:pt>
                <c:pt idx="6">
                  <c:v>13889956769.224356</c:v>
                </c:pt>
                <c:pt idx="7">
                  <c:v>15405833589.844896</c:v>
                </c:pt>
                <c:pt idx="8">
                  <c:v>16620321669.233137</c:v>
                </c:pt>
                <c:pt idx="9">
                  <c:v>18022862332.865269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8-4645-92D7-D333232D7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2434550"/>
        <c:axId val="781857604"/>
      </c:lineChart>
      <c:catAx>
        <c:axId val="16724345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781857604"/>
        <c:crosses val="autoZero"/>
        <c:auto val="1"/>
        <c:lblAlgn val="ctr"/>
        <c:lblOffset val="100"/>
        <c:noMultiLvlLbl val="1"/>
      </c:catAx>
      <c:valAx>
        <c:axId val="7818576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-* #,##0_-;\-* #,##0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7243455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PROYECCIÓN PATRIMONIO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'Proyecciones + Estrategia'!$F$48:$O$48</c:f>
              <c:numCache>
                <c:formatCode>General</c:formatCod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'Proyecciones + Estrategia'!$F$42:$O$42</c:f>
              <c:numCache>
                <c:formatCode>_-* #,##0_-;\-* #,##0_-;_-* "-"_-;_-@</c:formatCode>
                <c:ptCount val="10"/>
                <c:pt idx="0">
                  <c:v>2838563648</c:v>
                </c:pt>
                <c:pt idx="1">
                  <c:v>3046614276</c:v>
                </c:pt>
                <c:pt idx="2">
                  <c:v>3222991609</c:v>
                </c:pt>
                <c:pt idx="3">
                  <c:v>3292074333</c:v>
                </c:pt>
                <c:pt idx="4">
                  <c:v>3608372974</c:v>
                </c:pt>
                <c:pt idx="5" formatCode="_-* #,##0_-;\-* #,##0_-;_-* &quot;-&quot;??_-;_-@">
                  <c:v>4155364789.7794709</c:v>
                </c:pt>
                <c:pt idx="6" formatCode="_-* #,##0_-;\-* #,##0_-;_-* &quot;-&quot;??_-;_-@">
                  <c:v>4712135677.1465979</c:v>
                </c:pt>
                <c:pt idx="7" formatCode="_-* #,##0_-;\-* #,##0_-;_-* &quot;-&quot;??_-;_-@">
                  <c:v>5226393379.1167154</c:v>
                </c:pt>
                <c:pt idx="8" formatCode="_-* #,##0_-;\-* #,##0_-;_-* &quot;-&quot;??_-;_-@">
                  <c:v>5638405648.3726234</c:v>
                </c:pt>
                <c:pt idx="9" formatCode="_-* #,##0_-;\-* #,##0_-;_-* &quot;-&quot;??_-;_-@">
                  <c:v>6114214321.4703798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E-410C-80EB-A576133A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0198635"/>
        <c:axId val="616534784"/>
      </c:lineChart>
      <c:catAx>
        <c:axId val="8901986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16534784"/>
        <c:crosses val="autoZero"/>
        <c:auto val="1"/>
        <c:lblAlgn val="ctr"/>
        <c:lblOffset val="100"/>
        <c:noMultiLvlLbl val="1"/>
      </c:catAx>
      <c:valAx>
        <c:axId val="6165347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-* #,##0_-;\-* #,##0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89019863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pringate- sin estrategia '!A1"/><Relationship Id="rId13" Type="http://schemas.openxmlformats.org/officeDocument/2006/relationships/hyperlink" Target="#'Analisis gr&#225;fico'!A1"/><Relationship Id="rId3" Type="http://schemas.openxmlformats.org/officeDocument/2006/relationships/hyperlink" Target="#'Estrategias Operativas'!A1"/><Relationship Id="rId7" Type="http://schemas.openxmlformats.org/officeDocument/2006/relationships/hyperlink" Target="#Springate!A1"/><Relationship Id="rId12" Type="http://schemas.openxmlformats.org/officeDocument/2006/relationships/hyperlink" Target="#Indicadores!A1"/><Relationship Id="rId2" Type="http://schemas.openxmlformats.org/officeDocument/2006/relationships/hyperlink" Target="#'Valoraci&#243;n Sin Estrategia'!A1"/><Relationship Id="rId1" Type="http://schemas.openxmlformats.org/officeDocument/2006/relationships/hyperlink" Target="#Proyecciones!A1"/><Relationship Id="rId6" Type="http://schemas.openxmlformats.org/officeDocument/2006/relationships/hyperlink" Target="#'Indicador Altman'!A1"/><Relationship Id="rId11" Type="http://schemas.openxmlformats.org/officeDocument/2006/relationships/hyperlink" Target="#'Estados Financieros'!A1"/><Relationship Id="rId5" Type="http://schemas.openxmlformats.org/officeDocument/2006/relationships/hyperlink" Target="#'Valoraci&#243;n + Estrategia'!A1"/><Relationship Id="rId10" Type="http://schemas.openxmlformats.org/officeDocument/2006/relationships/image" Target="../media/image1.jpg"/><Relationship Id="rId4" Type="http://schemas.openxmlformats.org/officeDocument/2006/relationships/hyperlink" Target="#'Proyecciones + Estrategia'!A1"/><Relationship Id="rId9" Type="http://schemas.openxmlformats.org/officeDocument/2006/relationships/hyperlink" Target="#'Springate- con estrategia 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image" Target="../media/image1.jpg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7.xml"/><Relationship Id="rId16" Type="http://schemas.openxmlformats.org/officeDocument/2006/relationships/chart" Target="../charts/chart29.xml"/><Relationship Id="rId1" Type="http://schemas.openxmlformats.org/officeDocument/2006/relationships/chart" Target="../charts/chart16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hyperlink" Target="#Inicio!A1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hyperlink" Target="#Inicio!A1"/><Relationship Id="rId5" Type="http://schemas.openxmlformats.org/officeDocument/2006/relationships/image" Target="../media/image1.jpg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hyperlink" Target="#Inicio!A1"/><Relationship Id="rId5" Type="http://schemas.openxmlformats.org/officeDocument/2006/relationships/image" Target="../media/image1.jpg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hyperlink" Target="#Inicio!A1"/><Relationship Id="rId5" Type="http://schemas.openxmlformats.org/officeDocument/2006/relationships/image" Target="../media/image1.jpg"/><Relationship Id="rId4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hyperlink" Target="#Inicio!A1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574109</xdr:colOff>
      <xdr:row>3</xdr:row>
      <xdr:rowOff>83636</xdr:rowOff>
    </xdr:from>
    <xdr:to>
      <xdr:col>8</xdr:col>
      <xdr:colOff>78287</xdr:colOff>
      <xdr:row>10</xdr:row>
      <xdr:rowOff>156575</xdr:rowOff>
    </xdr:to>
    <xdr:sp macro="" textlink="">
      <xdr:nvSpPr>
        <xdr:cNvPr id="5" name="Flecha a la derecha con muesc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E29B0-1E76-4982-9356-04E6CFA5FB32}"/>
            </a:ext>
          </a:extLst>
        </xdr:cNvPr>
        <xdr:cNvSpPr/>
      </xdr:nvSpPr>
      <xdr:spPr>
        <a:xfrm>
          <a:off x="3601232" y="670794"/>
          <a:ext cx="2531302" cy="1442973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Proyecciones</a:t>
          </a:r>
        </a:p>
      </xdr:txBody>
    </xdr:sp>
    <xdr:clientData/>
  </xdr:twoCellAnchor>
  <xdr:twoCellAnchor>
    <xdr:from>
      <xdr:col>1</xdr:col>
      <xdr:colOff>492299</xdr:colOff>
      <xdr:row>12</xdr:row>
      <xdr:rowOff>161926</xdr:rowOff>
    </xdr:from>
    <xdr:to>
      <xdr:col>4</xdr:col>
      <xdr:colOff>578024</xdr:colOff>
      <xdr:row>19</xdr:row>
      <xdr:rowOff>190501</xdr:rowOff>
    </xdr:to>
    <xdr:sp macro="" textlink="">
      <xdr:nvSpPr>
        <xdr:cNvPr id="6" name="Flecha a la derecha con muesca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978C9-4CA1-4AAD-B1A1-C3BC7D3BFED4}"/>
            </a:ext>
          </a:extLst>
        </xdr:cNvPr>
        <xdr:cNvSpPr/>
      </xdr:nvSpPr>
      <xdr:spPr>
        <a:xfrm>
          <a:off x="1249080" y="2510556"/>
          <a:ext cx="2356067" cy="1398609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Valoración Sin Estrategia</a:t>
          </a:r>
        </a:p>
      </xdr:txBody>
    </xdr:sp>
    <xdr:clientData/>
  </xdr:twoCellAnchor>
  <xdr:twoCellAnchor>
    <xdr:from>
      <xdr:col>4</xdr:col>
      <xdr:colOff>579199</xdr:colOff>
      <xdr:row>13</xdr:row>
      <xdr:rowOff>18006</xdr:rowOff>
    </xdr:from>
    <xdr:to>
      <xdr:col>7</xdr:col>
      <xdr:colOff>655398</xdr:colOff>
      <xdr:row>20</xdr:row>
      <xdr:rowOff>56105</xdr:rowOff>
    </xdr:to>
    <xdr:sp macro="" textlink="">
      <xdr:nvSpPr>
        <xdr:cNvPr id="7" name="Flecha a la derecha con muesca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E7037B-D81B-41B9-B917-8EB76DEEDA77}"/>
            </a:ext>
          </a:extLst>
        </xdr:cNvPr>
        <xdr:cNvSpPr/>
      </xdr:nvSpPr>
      <xdr:spPr>
        <a:xfrm>
          <a:off x="3606322" y="2562355"/>
          <a:ext cx="2346542" cy="1408134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Estrategias Operativas</a:t>
          </a:r>
        </a:p>
      </xdr:txBody>
    </xdr:sp>
    <xdr:clientData/>
  </xdr:twoCellAnchor>
  <xdr:twoCellAnchor>
    <xdr:from>
      <xdr:col>8</xdr:col>
      <xdr:colOff>119649</xdr:colOff>
      <xdr:row>12</xdr:row>
      <xdr:rowOff>70199</xdr:rowOff>
    </xdr:from>
    <xdr:to>
      <xdr:col>11</xdr:col>
      <xdr:colOff>274007</xdr:colOff>
      <xdr:row>20</xdr:row>
      <xdr:rowOff>65239</xdr:rowOff>
    </xdr:to>
    <xdr:sp macro="" textlink="">
      <xdr:nvSpPr>
        <xdr:cNvPr id="8" name="Flecha a la derecha con muesca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7E537-8CB5-44FA-AA1F-7E6D6C2FF793}"/>
            </a:ext>
          </a:extLst>
        </xdr:cNvPr>
        <xdr:cNvSpPr/>
      </xdr:nvSpPr>
      <xdr:spPr>
        <a:xfrm>
          <a:off x="6173896" y="2418829"/>
          <a:ext cx="2424700" cy="1560794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Proyecciones + Estrategia</a:t>
          </a:r>
        </a:p>
      </xdr:txBody>
    </xdr:sp>
    <xdr:clientData/>
  </xdr:twoCellAnchor>
  <xdr:twoCellAnchor>
    <xdr:from>
      <xdr:col>1</xdr:col>
      <xdr:colOff>491124</xdr:colOff>
      <xdr:row>20</xdr:row>
      <xdr:rowOff>164013</xdr:rowOff>
    </xdr:from>
    <xdr:to>
      <xdr:col>4</xdr:col>
      <xdr:colOff>717637</xdr:colOff>
      <xdr:row>29</xdr:row>
      <xdr:rowOff>13049</xdr:rowOff>
    </xdr:to>
    <xdr:sp macro="" textlink="">
      <xdr:nvSpPr>
        <xdr:cNvPr id="9" name="Flecha a la derecha con muesca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4B95ED-7C40-4723-8483-47B2F91D3921}"/>
            </a:ext>
          </a:extLst>
        </xdr:cNvPr>
        <xdr:cNvSpPr/>
      </xdr:nvSpPr>
      <xdr:spPr>
        <a:xfrm>
          <a:off x="1247905" y="4078397"/>
          <a:ext cx="2496855" cy="1610508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Valoración + Estrategia</a:t>
          </a:r>
        </a:p>
      </xdr:txBody>
    </xdr:sp>
    <xdr:clientData/>
  </xdr:twoCellAnchor>
  <xdr:twoCellAnchor>
    <xdr:from>
      <xdr:col>5</xdr:col>
      <xdr:colOff>51019</xdr:colOff>
      <xdr:row>21</xdr:row>
      <xdr:rowOff>67067</xdr:rowOff>
    </xdr:from>
    <xdr:to>
      <xdr:col>7</xdr:col>
      <xdr:colOff>704589</xdr:colOff>
      <xdr:row>29</xdr:row>
      <xdr:rowOff>13049</xdr:rowOff>
    </xdr:to>
    <xdr:sp macro="" textlink="">
      <xdr:nvSpPr>
        <xdr:cNvPr id="13" name="Flecha a la derecha con muesca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A1B799-6D81-4094-AD20-36EEF8B52D0E}"/>
            </a:ext>
          </a:extLst>
        </xdr:cNvPr>
        <xdr:cNvSpPr/>
      </xdr:nvSpPr>
      <xdr:spPr>
        <a:xfrm>
          <a:off x="3834923" y="4177170"/>
          <a:ext cx="2167132" cy="1511735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Indicador Altman </a:t>
          </a:r>
        </a:p>
      </xdr:txBody>
    </xdr:sp>
    <xdr:clientData/>
  </xdr:twoCellAnchor>
  <xdr:twoCellAnchor>
    <xdr:from>
      <xdr:col>8</xdr:col>
      <xdr:colOff>250130</xdr:colOff>
      <xdr:row>21</xdr:row>
      <xdr:rowOff>143528</xdr:rowOff>
    </xdr:from>
    <xdr:to>
      <xdr:col>11</xdr:col>
      <xdr:colOff>274007</xdr:colOff>
      <xdr:row>29</xdr:row>
      <xdr:rowOff>45147</xdr:rowOff>
    </xdr:to>
    <xdr:sp macro="" textlink="">
      <xdr:nvSpPr>
        <xdr:cNvPr id="14" name="Flecha a la derecha con muesca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EB7528-BBB1-4E79-8236-3E4F3DCABFAE}"/>
            </a:ext>
          </a:extLst>
        </xdr:cNvPr>
        <xdr:cNvSpPr/>
      </xdr:nvSpPr>
      <xdr:spPr>
        <a:xfrm>
          <a:off x="6304377" y="4253631"/>
          <a:ext cx="2294219" cy="1467372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Springate</a:t>
          </a:r>
        </a:p>
      </xdr:txBody>
    </xdr:sp>
    <xdr:clientData/>
  </xdr:twoCellAnchor>
  <xdr:twoCellAnchor>
    <xdr:from>
      <xdr:col>1</xdr:col>
      <xdr:colOff>676275</xdr:colOff>
      <xdr:row>34</xdr:row>
      <xdr:rowOff>9525</xdr:rowOff>
    </xdr:from>
    <xdr:to>
      <xdr:col>4</xdr:col>
      <xdr:colOff>514350</xdr:colOff>
      <xdr:row>41</xdr:row>
      <xdr:rowOff>47625</xdr:rowOff>
    </xdr:to>
    <xdr:sp macro="" textlink="">
      <xdr:nvSpPr>
        <xdr:cNvPr id="15" name="Flecha a la derecha con muesca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57EC6BB-B452-4F44-8040-E4451114726F}"/>
            </a:ext>
          </a:extLst>
        </xdr:cNvPr>
        <xdr:cNvSpPr/>
      </xdr:nvSpPr>
      <xdr:spPr>
        <a:xfrm>
          <a:off x="1438275" y="5915025"/>
          <a:ext cx="2124075" cy="1371600"/>
        </a:xfrm>
        <a:prstGeom prst="notched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>
              <a:solidFill>
                <a:schemeClr val="bg1"/>
              </a:solidFill>
            </a:rPr>
            <a:t>Springate- sin estrategia </a:t>
          </a:r>
        </a:p>
      </xdr:txBody>
    </xdr:sp>
    <xdr:clientData/>
  </xdr:twoCellAnchor>
  <xdr:twoCellAnchor>
    <xdr:from>
      <xdr:col>5</xdr:col>
      <xdr:colOff>238125</xdr:colOff>
      <xdr:row>34</xdr:row>
      <xdr:rowOff>57150</xdr:rowOff>
    </xdr:from>
    <xdr:to>
      <xdr:col>8</xdr:col>
      <xdr:colOff>76200</xdr:colOff>
      <xdr:row>41</xdr:row>
      <xdr:rowOff>95250</xdr:rowOff>
    </xdr:to>
    <xdr:sp macro="" textlink="">
      <xdr:nvSpPr>
        <xdr:cNvPr id="16" name="Flecha a la derecha con muesca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6B9BB4A-E8AE-425D-8362-3869644D092E}"/>
            </a:ext>
          </a:extLst>
        </xdr:cNvPr>
        <xdr:cNvSpPr/>
      </xdr:nvSpPr>
      <xdr:spPr>
        <a:xfrm>
          <a:off x="4048125" y="5962650"/>
          <a:ext cx="2124075" cy="1371600"/>
        </a:xfrm>
        <a:prstGeom prst="notched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>
              <a:solidFill>
                <a:schemeClr val="bg1"/>
              </a:solidFill>
            </a:rPr>
            <a:t>Springate- con estrategia </a:t>
          </a:r>
        </a:p>
      </xdr:txBody>
    </xdr:sp>
    <xdr:clientData/>
  </xdr:twoCellAnchor>
  <xdr:twoCellAnchor editAs="oneCell">
    <xdr:from>
      <xdr:col>13</xdr:col>
      <xdr:colOff>163491</xdr:colOff>
      <xdr:row>3</xdr:row>
      <xdr:rowOff>109342</xdr:rowOff>
    </xdr:from>
    <xdr:to>
      <xdr:col>17</xdr:col>
      <xdr:colOff>234416</xdr:colOff>
      <xdr:row>10</xdr:row>
      <xdr:rowOff>33366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E4AE474-8E45-48F8-8C68-5796505C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642" y="109342"/>
          <a:ext cx="3098048" cy="1294058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3</xdr:row>
      <xdr:rowOff>171450</xdr:rowOff>
    </xdr:from>
    <xdr:to>
      <xdr:col>4</xdr:col>
      <xdr:colOff>466725</xdr:colOff>
      <xdr:row>11</xdr:row>
      <xdr:rowOff>19050</xdr:rowOff>
    </xdr:to>
    <xdr:sp macro="[0]!Flechaaladerechaconmuesca2_Haga_clic_en" textlink="">
      <xdr:nvSpPr>
        <xdr:cNvPr id="21" name="Flecha a la derecha con muesca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F7F6ACB-E66B-46A8-B174-A156829CBC45}"/>
            </a:ext>
          </a:extLst>
        </xdr:cNvPr>
        <xdr:cNvSpPr/>
      </xdr:nvSpPr>
      <xdr:spPr>
        <a:xfrm>
          <a:off x="1162050" y="171450"/>
          <a:ext cx="2352675" cy="1447800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Estados </a:t>
          </a:r>
          <a:r>
            <a:rPr lang="en-US" sz="20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Financieros</a:t>
          </a:r>
        </a:p>
      </xdr:txBody>
    </xdr:sp>
    <xdr:clientData/>
  </xdr:twoCellAnchor>
  <xdr:twoCellAnchor>
    <xdr:from>
      <xdr:col>8</xdr:col>
      <xdr:colOff>117431</xdr:colOff>
      <xdr:row>3</xdr:row>
      <xdr:rowOff>65240</xdr:rowOff>
    </xdr:from>
    <xdr:to>
      <xdr:col>11</xdr:col>
      <xdr:colOff>313151</xdr:colOff>
      <xdr:row>10</xdr:row>
      <xdr:rowOff>156576</xdr:rowOff>
    </xdr:to>
    <xdr:sp macro="" textlink="">
      <xdr:nvSpPr>
        <xdr:cNvPr id="23" name="Flecha a la derecha con muesca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1D13057-0E67-4603-AA91-15B35E54A037}"/>
            </a:ext>
          </a:extLst>
        </xdr:cNvPr>
        <xdr:cNvSpPr/>
      </xdr:nvSpPr>
      <xdr:spPr>
        <a:xfrm>
          <a:off x="6171678" y="652398"/>
          <a:ext cx="2466062" cy="1461370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Indicadores</a:t>
          </a:r>
        </a:p>
      </xdr:txBody>
    </xdr:sp>
    <xdr:clientData/>
  </xdr:twoCellAnchor>
  <xdr:twoCellAnchor>
    <xdr:from>
      <xdr:col>14</xdr:col>
      <xdr:colOff>131262</xdr:colOff>
      <xdr:row>11</xdr:row>
      <xdr:rowOff>119258</xdr:rowOff>
    </xdr:from>
    <xdr:to>
      <xdr:col>17</xdr:col>
      <xdr:colOff>197937</xdr:colOff>
      <xdr:row>18</xdr:row>
      <xdr:rowOff>162577</xdr:rowOff>
    </xdr:to>
    <xdr:sp macro="[0]!Flechaaladerechaconmuesca2_Haga_clic_en" textlink="">
      <xdr:nvSpPr>
        <xdr:cNvPr id="25" name="Flecha a la derecha con muesca 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4A81719-C19B-4B62-BDB5-2EA7BF7447BB}"/>
            </a:ext>
          </a:extLst>
        </xdr:cNvPr>
        <xdr:cNvSpPr/>
      </xdr:nvSpPr>
      <xdr:spPr>
        <a:xfrm>
          <a:off x="10726194" y="2272169"/>
          <a:ext cx="2337017" cy="1413353"/>
        </a:xfrm>
        <a:prstGeom prst="notchedRightArrow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Análisis gráfico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774802</xdr:colOff>
      <xdr:row>2</xdr:row>
      <xdr:rowOff>35594</xdr:rowOff>
    </xdr:from>
    <xdr:to>
      <xdr:col>5</xdr:col>
      <xdr:colOff>1904592</xdr:colOff>
      <xdr:row>8</xdr:row>
      <xdr:rowOff>179733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866664-6251-4094-AE5F-CE712B13B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911" y="422116"/>
          <a:ext cx="3117616" cy="1303704"/>
        </a:xfrm>
        <a:prstGeom prst="rect">
          <a:avLst/>
        </a:prstGeom>
      </xdr:spPr>
    </xdr:pic>
    <xdr:clientData/>
  </xdr:twoCellAnchor>
  <xdr:twoCellAnchor>
    <xdr:from>
      <xdr:col>6</xdr:col>
      <xdr:colOff>401260</xdr:colOff>
      <xdr:row>3</xdr:row>
      <xdr:rowOff>39307</xdr:rowOff>
    </xdr:from>
    <xdr:to>
      <xdr:col>6</xdr:col>
      <xdr:colOff>1153735</xdr:colOff>
      <xdr:row>8</xdr:row>
      <xdr:rowOff>61261</xdr:rowOff>
    </xdr:to>
    <xdr:sp macro="" textlink="">
      <xdr:nvSpPr>
        <xdr:cNvPr id="4" name="Flecha curvada hacia arrib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E63D0-C865-47AD-BEA9-E66CD02885F7}"/>
            </a:ext>
          </a:extLst>
        </xdr:cNvPr>
        <xdr:cNvSpPr/>
      </xdr:nvSpPr>
      <xdr:spPr>
        <a:xfrm rot="16200000">
          <a:off x="12224130" y="736981"/>
          <a:ext cx="98825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162</xdr:row>
      <xdr:rowOff>85725</xdr:rowOff>
    </xdr:from>
    <xdr:to>
      <xdr:col>5</xdr:col>
      <xdr:colOff>161925</xdr:colOff>
      <xdr:row>165</xdr:row>
      <xdr:rowOff>28575</xdr:rowOff>
    </xdr:to>
    <xdr:sp macro="" textlink="">
      <xdr:nvSpPr>
        <xdr:cNvPr id="69" name="Rectángulo: esquinas diagonales cortadas 68">
          <a:extLst>
            <a:ext uri="{FF2B5EF4-FFF2-40B4-BE49-F238E27FC236}">
              <a16:creationId xmlns:a16="http://schemas.microsoft.com/office/drawing/2014/main" id="{AA6712B8-9C00-4A6A-8B79-CE69A6112BB7}"/>
            </a:ext>
          </a:extLst>
        </xdr:cNvPr>
        <xdr:cNvSpPr/>
      </xdr:nvSpPr>
      <xdr:spPr>
        <a:xfrm>
          <a:off x="85725" y="31937325"/>
          <a:ext cx="3838575" cy="514350"/>
        </a:xfrm>
        <a:prstGeom prst="snip2Diag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400" b="1">
              <a:latin typeface="Franklin Gothic Book" panose="020B0503020102020204" pitchFamily="34" charset="0"/>
            </a:rPr>
            <a:t>Actividad</a:t>
          </a:r>
        </a:p>
      </xdr:txBody>
    </xdr:sp>
    <xdr:clientData/>
  </xdr:twoCellAnchor>
  <xdr:twoCellAnchor>
    <xdr:from>
      <xdr:col>5</xdr:col>
      <xdr:colOff>642936</xdr:colOff>
      <xdr:row>167</xdr:row>
      <xdr:rowOff>11905</xdr:rowOff>
    </xdr:from>
    <xdr:to>
      <xdr:col>12</xdr:col>
      <xdr:colOff>214311</xdr:colOff>
      <xdr:row>181</xdr:row>
      <xdr:rowOff>142874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8F71CAF9-D309-42ED-8D9A-801084CFD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440532</xdr:colOff>
      <xdr:row>167</xdr:row>
      <xdr:rowOff>11905</xdr:rowOff>
    </xdr:from>
    <xdr:to>
      <xdr:col>18</xdr:col>
      <xdr:colOff>535781</xdr:colOff>
      <xdr:row>181</xdr:row>
      <xdr:rowOff>142875</xdr:rowOff>
    </xdr:to>
    <xdr:graphicFrame macro="">
      <xdr:nvGraphicFramePr>
        <xdr:cNvPr id="74" name="Gráfico 73">
          <a:extLst>
            <a:ext uri="{FF2B5EF4-FFF2-40B4-BE49-F238E27FC236}">
              <a16:creationId xmlns:a16="http://schemas.microsoft.com/office/drawing/2014/main" id="{757C0B9E-FCBD-4A41-8837-99962CF79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471673</xdr:colOff>
      <xdr:row>3</xdr:row>
      <xdr:rowOff>52304</xdr:rowOff>
    </xdr:from>
    <xdr:to>
      <xdr:col>18</xdr:col>
      <xdr:colOff>572262</xdr:colOff>
      <xdr:row>10</xdr:row>
      <xdr:rowOff>87833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6B793AE9-C247-4B1D-A6BB-78A891CD4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9305" y="603751"/>
          <a:ext cx="3108483" cy="1414474"/>
        </a:xfrm>
        <a:prstGeom prst="rect">
          <a:avLst/>
        </a:prstGeom>
      </xdr:spPr>
    </xdr:pic>
    <xdr:clientData/>
  </xdr:twoCellAnchor>
  <xdr:twoCellAnchor>
    <xdr:from>
      <xdr:col>19</xdr:col>
      <xdr:colOff>150602</xdr:colOff>
      <xdr:row>4</xdr:row>
      <xdr:rowOff>89438</xdr:rowOff>
    </xdr:from>
    <xdr:to>
      <xdr:col>20</xdr:col>
      <xdr:colOff>16710</xdr:colOff>
      <xdr:row>8</xdr:row>
      <xdr:rowOff>0</xdr:rowOff>
    </xdr:to>
    <xdr:sp macro="" textlink="">
      <xdr:nvSpPr>
        <xdr:cNvPr id="95" name="Flecha curvada hacia arriba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CB97ED-1551-4D6B-BF95-52A8555650E9}"/>
            </a:ext>
          </a:extLst>
        </xdr:cNvPr>
        <xdr:cNvSpPr/>
      </xdr:nvSpPr>
      <xdr:spPr>
        <a:xfrm rot="16200000">
          <a:off x="14173573" y="1105941"/>
          <a:ext cx="1147140" cy="618082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214230</xdr:colOff>
      <xdr:row>13</xdr:row>
      <xdr:rowOff>171621</xdr:rowOff>
    </xdr:from>
    <xdr:to>
      <xdr:col>5</xdr:col>
      <xdr:colOff>290430</xdr:colOff>
      <xdr:row>17</xdr:row>
      <xdr:rowOff>5119</xdr:rowOff>
    </xdr:to>
    <xdr:sp macro="" textlink="">
      <xdr:nvSpPr>
        <xdr:cNvPr id="99" name="Rectángulo: esquinas diagonales cortadas 98">
          <a:extLst>
            <a:ext uri="{FF2B5EF4-FFF2-40B4-BE49-F238E27FC236}">
              <a16:creationId xmlns:a16="http://schemas.microsoft.com/office/drawing/2014/main" id="{56EEF0EF-CD72-49A7-8D60-4EF64D01F685}"/>
            </a:ext>
          </a:extLst>
        </xdr:cNvPr>
        <xdr:cNvSpPr/>
      </xdr:nvSpPr>
      <xdr:spPr>
        <a:xfrm>
          <a:off x="214230" y="4723829"/>
          <a:ext cx="6916882" cy="575706"/>
        </a:xfrm>
        <a:prstGeom prst="snip2DiagRect">
          <a:avLst/>
        </a:prstGeom>
        <a:solidFill>
          <a:schemeClr val="accent1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3200" b="1">
              <a:latin typeface="Times New Roman" panose="02020603050405020304" pitchFamily="18" charset="0"/>
              <a:cs typeface="Times New Roman" panose="02020603050405020304" pitchFamily="18" charset="0"/>
            </a:rPr>
            <a:t>RENTABILIDAD</a:t>
          </a:r>
        </a:p>
      </xdr:txBody>
    </xdr:sp>
    <xdr:clientData/>
  </xdr:twoCellAnchor>
  <xdr:twoCellAnchor>
    <xdr:from>
      <xdr:col>13</xdr:col>
      <xdr:colOff>237602</xdr:colOff>
      <xdr:row>13</xdr:row>
      <xdr:rowOff>30726</xdr:rowOff>
    </xdr:from>
    <xdr:to>
      <xdr:col>19</xdr:col>
      <xdr:colOff>430161</xdr:colOff>
      <xdr:row>29</xdr:row>
      <xdr:rowOff>138266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B8FE6E2B-B724-41B9-BFE9-2AB376D0E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401836</xdr:colOff>
      <xdr:row>13</xdr:row>
      <xdr:rowOff>0</xdr:rowOff>
    </xdr:from>
    <xdr:to>
      <xdr:col>13</xdr:col>
      <xdr:colOff>92177</xdr:colOff>
      <xdr:row>30</xdr:row>
      <xdr:rowOff>0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58E5F9FD-860D-4692-A846-93AB921CF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154700</xdr:colOff>
      <xdr:row>33</xdr:row>
      <xdr:rowOff>61077</xdr:rowOff>
    </xdr:from>
    <xdr:to>
      <xdr:col>5</xdr:col>
      <xdr:colOff>230900</xdr:colOff>
      <xdr:row>36</xdr:row>
      <xdr:rowOff>80127</xdr:rowOff>
    </xdr:to>
    <xdr:sp macro="" textlink="">
      <xdr:nvSpPr>
        <xdr:cNvPr id="103" name="Rectángulo: esquinas diagonales cortadas 102">
          <a:extLst>
            <a:ext uri="{FF2B5EF4-FFF2-40B4-BE49-F238E27FC236}">
              <a16:creationId xmlns:a16="http://schemas.microsoft.com/office/drawing/2014/main" id="{5DBC7D15-468F-42D3-9E4D-7180862ED947}"/>
            </a:ext>
          </a:extLst>
        </xdr:cNvPr>
        <xdr:cNvSpPr/>
      </xdr:nvSpPr>
      <xdr:spPr>
        <a:xfrm>
          <a:off x="154700" y="8574046"/>
          <a:ext cx="6088856" cy="599479"/>
        </a:xfrm>
        <a:prstGeom prst="snip2DiagRect">
          <a:avLst/>
        </a:prstGeom>
        <a:solidFill>
          <a:schemeClr val="accent1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3200" b="1">
              <a:latin typeface="Times New Roman" panose="02020603050405020304" pitchFamily="18" charset="0"/>
              <a:cs typeface="Times New Roman" panose="02020603050405020304" pitchFamily="18" charset="0"/>
            </a:rPr>
            <a:t>UTILIDAD</a:t>
          </a:r>
          <a:r>
            <a:rPr lang="es-CO" sz="3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OPERACIONAL</a:t>
          </a:r>
          <a:endParaRPr lang="es-CO" sz="3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401836</xdr:colOff>
      <xdr:row>33</xdr:row>
      <xdr:rowOff>122903</xdr:rowOff>
    </xdr:from>
    <xdr:to>
      <xdr:col>13</xdr:col>
      <xdr:colOff>46090</xdr:colOff>
      <xdr:row>47</xdr:row>
      <xdr:rowOff>178594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B0E2DAB5-2ABA-45E5-A577-AA50B61D9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416718</xdr:colOff>
      <xdr:row>49</xdr:row>
      <xdr:rowOff>148827</xdr:rowOff>
    </xdr:from>
    <xdr:to>
      <xdr:col>12</xdr:col>
      <xdr:colOff>684608</xdr:colOff>
      <xdr:row>64</xdr:row>
      <xdr:rowOff>178593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642EAB65-F293-42D1-986D-F565B49E5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274803</xdr:colOff>
      <xdr:row>49</xdr:row>
      <xdr:rowOff>153629</xdr:rowOff>
    </xdr:from>
    <xdr:to>
      <xdr:col>19</xdr:col>
      <xdr:colOff>599153</xdr:colOff>
      <xdr:row>65</xdr:row>
      <xdr:rowOff>21345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5713EE88-B327-9986-5E6F-CBABC2C136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113623</xdr:colOff>
      <xdr:row>50</xdr:row>
      <xdr:rowOff>94416</xdr:rowOff>
    </xdr:from>
    <xdr:to>
      <xdr:col>5</xdr:col>
      <xdr:colOff>189823</xdr:colOff>
      <xdr:row>53</xdr:row>
      <xdr:rowOff>113465</xdr:rowOff>
    </xdr:to>
    <xdr:sp macro="" textlink="">
      <xdr:nvSpPr>
        <xdr:cNvPr id="108" name="Rectángulo: esquinas diagonales cortadas 107">
          <a:extLst>
            <a:ext uri="{FF2B5EF4-FFF2-40B4-BE49-F238E27FC236}">
              <a16:creationId xmlns:a16="http://schemas.microsoft.com/office/drawing/2014/main" id="{7606C2C3-C453-4F40-8522-37894A236AFE}"/>
            </a:ext>
          </a:extLst>
        </xdr:cNvPr>
        <xdr:cNvSpPr/>
      </xdr:nvSpPr>
      <xdr:spPr>
        <a:xfrm>
          <a:off x="113623" y="11896486"/>
          <a:ext cx="6922294" cy="599479"/>
        </a:xfrm>
        <a:prstGeom prst="snip2DiagRect">
          <a:avLst/>
        </a:prstGeom>
        <a:solidFill>
          <a:schemeClr val="accent1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3200" b="1">
              <a:latin typeface="Times New Roman" panose="02020603050405020304" pitchFamily="18" charset="0"/>
              <a:cs typeface="Times New Roman" panose="02020603050405020304" pitchFamily="18" charset="0"/>
            </a:rPr>
            <a:t>EBITDA</a:t>
          </a:r>
        </a:p>
      </xdr:txBody>
    </xdr:sp>
    <xdr:clientData/>
  </xdr:twoCellAnchor>
  <xdr:twoCellAnchor>
    <xdr:from>
      <xdr:col>0</xdr:col>
      <xdr:colOff>132078</xdr:colOff>
      <xdr:row>68</xdr:row>
      <xdr:rowOff>68222</xdr:rowOff>
    </xdr:from>
    <xdr:to>
      <xdr:col>5</xdr:col>
      <xdr:colOff>208278</xdr:colOff>
      <xdr:row>71</xdr:row>
      <xdr:rowOff>87271</xdr:rowOff>
    </xdr:to>
    <xdr:sp macro="" textlink="">
      <xdr:nvSpPr>
        <xdr:cNvPr id="109" name="Rectángulo: esquinas diagonales cortadas 108">
          <a:extLst>
            <a:ext uri="{FF2B5EF4-FFF2-40B4-BE49-F238E27FC236}">
              <a16:creationId xmlns:a16="http://schemas.microsoft.com/office/drawing/2014/main" id="{D29AE317-D370-47F0-A964-09D638382009}"/>
            </a:ext>
          </a:extLst>
        </xdr:cNvPr>
        <xdr:cNvSpPr/>
      </xdr:nvSpPr>
      <xdr:spPr>
        <a:xfrm>
          <a:off x="132078" y="15352870"/>
          <a:ext cx="6922294" cy="599479"/>
        </a:xfrm>
        <a:prstGeom prst="snip2DiagRect">
          <a:avLst/>
        </a:prstGeom>
        <a:solidFill>
          <a:schemeClr val="accent1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3200" b="1">
              <a:latin typeface="Times New Roman" panose="02020603050405020304" pitchFamily="18" charset="0"/>
              <a:cs typeface="Times New Roman" panose="02020603050405020304" pitchFamily="18" charset="0"/>
            </a:rPr>
            <a:t>KTNO - PKT</a:t>
          </a:r>
        </a:p>
      </xdr:txBody>
    </xdr:sp>
    <xdr:clientData/>
  </xdr:twoCellAnchor>
  <xdr:twoCellAnchor>
    <xdr:from>
      <xdr:col>13</xdr:col>
      <xdr:colOff>392907</xdr:colOff>
      <xdr:row>70</xdr:row>
      <xdr:rowOff>122905</xdr:rowOff>
    </xdr:from>
    <xdr:to>
      <xdr:col>19</xdr:col>
      <xdr:colOff>506975</xdr:colOff>
      <xdr:row>85</xdr:row>
      <xdr:rowOff>24706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1D3A19C4-114F-FA62-342D-89D57A5A2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522339</xdr:colOff>
      <xdr:row>70</xdr:row>
      <xdr:rowOff>139003</xdr:rowOff>
    </xdr:from>
    <xdr:to>
      <xdr:col>13</xdr:col>
      <xdr:colOff>288</xdr:colOff>
      <xdr:row>84</xdr:row>
      <xdr:rowOff>138266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F4D58FD4-9D77-CD7C-1A50-FF7FC12C9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105885</xdr:colOff>
      <xdr:row>87</xdr:row>
      <xdr:rowOff>86676</xdr:rowOff>
    </xdr:from>
    <xdr:to>
      <xdr:col>5</xdr:col>
      <xdr:colOff>182085</xdr:colOff>
      <xdr:row>90</xdr:row>
      <xdr:rowOff>105725</xdr:rowOff>
    </xdr:to>
    <xdr:sp macro="" textlink="">
      <xdr:nvSpPr>
        <xdr:cNvPr id="113" name="Rectángulo: esquinas diagonales cortadas 112">
          <a:extLst>
            <a:ext uri="{FF2B5EF4-FFF2-40B4-BE49-F238E27FC236}">
              <a16:creationId xmlns:a16="http://schemas.microsoft.com/office/drawing/2014/main" id="{20B01DAF-E8F7-4FBB-894A-1E025F3148F3}"/>
            </a:ext>
          </a:extLst>
        </xdr:cNvPr>
        <xdr:cNvSpPr/>
      </xdr:nvSpPr>
      <xdr:spPr>
        <a:xfrm>
          <a:off x="105885" y="19047379"/>
          <a:ext cx="6922294" cy="599479"/>
        </a:xfrm>
        <a:prstGeom prst="snip2DiagRect">
          <a:avLst/>
        </a:prstGeom>
        <a:solidFill>
          <a:schemeClr val="accent1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3200" b="1">
              <a:latin typeface="Times New Roman" panose="02020603050405020304" pitchFamily="18" charset="0"/>
              <a:cs typeface="Times New Roman" panose="02020603050405020304" pitchFamily="18" charset="0"/>
            </a:rPr>
            <a:t>PAF</a:t>
          </a:r>
        </a:p>
      </xdr:txBody>
    </xdr:sp>
    <xdr:clientData/>
  </xdr:twoCellAnchor>
  <xdr:twoCellAnchor>
    <xdr:from>
      <xdr:col>13</xdr:col>
      <xdr:colOff>378401</xdr:colOff>
      <xdr:row>88</xdr:row>
      <xdr:rowOff>61850</xdr:rowOff>
    </xdr:from>
    <xdr:to>
      <xdr:col>19</xdr:col>
      <xdr:colOff>378401</xdr:colOff>
      <xdr:row>102</xdr:row>
      <xdr:rowOff>138049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F0212DE0-47B2-90C7-9440-75151E4C65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676645</xdr:colOff>
      <xdr:row>88</xdr:row>
      <xdr:rowOff>63336</xdr:rowOff>
    </xdr:from>
    <xdr:to>
      <xdr:col>12</xdr:col>
      <xdr:colOff>721177</xdr:colOff>
      <xdr:row>103</xdr:row>
      <xdr:rowOff>23257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5D369877-D551-802F-4AEE-18323E36B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49162</xdr:colOff>
      <xdr:row>107</xdr:row>
      <xdr:rowOff>157007</xdr:rowOff>
    </xdr:from>
    <xdr:to>
      <xdr:col>13</xdr:col>
      <xdr:colOff>104468</xdr:colOff>
      <xdr:row>122</xdr:row>
      <xdr:rowOff>119521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5A54EA00-3B49-A3CD-DDF4-14E2CE861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448597</xdr:colOff>
      <xdr:row>108</xdr:row>
      <xdr:rowOff>3379</xdr:rowOff>
    </xdr:from>
    <xdr:to>
      <xdr:col>19</xdr:col>
      <xdr:colOff>675967</xdr:colOff>
      <xdr:row>123</xdr:row>
      <xdr:rowOff>107540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FFDB981-5A9D-4BA8-D735-0FED7ECC4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59796</xdr:colOff>
      <xdr:row>104</xdr:row>
      <xdr:rowOff>104919</xdr:rowOff>
    </xdr:from>
    <xdr:to>
      <xdr:col>5</xdr:col>
      <xdr:colOff>135996</xdr:colOff>
      <xdr:row>107</xdr:row>
      <xdr:rowOff>123968</xdr:rowOff>
    </xdr:to>
    <xdr:sp macro="" textlink="">
      <xdr:nvSpPr>
        <xdr:cNvPr id="118" name="Rectángulo: esquinas diagonales cortadas 117">
          <a:extLst>
            <a:ext uri="{FF2B5EF4-FFF2-40B4-BE49-F238E27FC236}">
              <a16:creationId xmlns:a16="http://schemas.microsoft.com/office/drawing/2014/main" id="{D0FC350E-3AA1-49F1-A9E7-63569E3FB20F}"/>
            </a:ext>
          </a:extLst>
        </xdr:cNvPr>
        <xdr:cNvSpPr/>
      </xdr:nvSpPr>
      <xdr:spPr>
        <a:xfrm>
          <a:off x="59796" y="19492903"/>
          <a:ext cx="6912692" cy="572113"/>
        </a:xfrm>
        <a:prstGeom prst="snip2DiagRect">
          <a:avLst/>
        </a:prstGeom>
        <a:solidFill>
          <a:schemeClr val="accent1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3200" b="1">
              <a:latin typeface="Times New Roman" panose="02020603050405020304" pitchFamily="18" charset="0"/>
              <a:cs typeface="Times New Roman" panose="02020603050405020304" pitchFamily="18" charset="0"/>
            </a:rPr>
            <a:t>PDC</a:t>
          </a:r>
          <a:r>
            <a:rPr lang="es-CO" sz="3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- FCL</a:t>
          </a:r>
          <a:endParaRPr lang="es-CO" sz="3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19</xdr:col>
      <xdr:colOff>725129</xdr:colOff>
      <xdr:row>13</xdr:row>
      <xdr:rowOff>49467</xdr:rowOff>
    </xdr:from>
    <xdr:to>
      <xdr:col>25</xdr:col>
      <xdr:colOff>307258</xdr:colOff>
      <xdr:row>29</xdr:row>
      <xdr:rowOff>138265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2CCCF2-CFF1-BD0B-2971-35B7DF6BC5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1210443</xdr:colOff>
      <xdr:row>1</xdr:row>
      <xdr:rowOff>68036</xdr:rowOff>
    </xdr:from>
    <xdr:to>
      <xdr:col>13</xdr:col>
      <xdr:colOff>158089</xdr:colOff>
      <xdr:row>8</xdr:row>
      <xdr:rowOff>13608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DB3683-F855-FDC4-E64D-F3E71C194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5443" y="261297"/>
          <a:ext cx="3116559" cy="1298398"/>
        </a:xfrm>
        <a:prstGeom prst="rect">
          <a:avLst/>
        </a:prstGeom>
      </xdr:spPr>
    </xdr:pic>
    <xdr:clientData/>
  </xdr:twoCellAnchor>
  <xdr:twoCellAnchor>
    <xdr:from>
      <xdr:col>13</xdr:col>
      <xdr:colOff>632042</xdr:colOff>
      <xdr:row>2</xdr:row>
      <xdr:rowOff>54823</xdr:rowOff>
    </xdr:from>
    <xdr:to>
      <xdr:col>14</xdr:col>
      <xdr:colOff>611473</xdr:colOff>
      <xdr:row>7</xdr:row>
      <xdr:rowOff>65707</xdr:rowOff>
    </xdr:to>
    <xdr:sp macro="" textlink="">
      <xdr:nvSpPr>
        <xdr:cNvPr id="9" name="Flecha curvada hacia arrib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341CE-2EC6-4A14-BA1E-572E690E5CCE}"/>
            </a:ext>
          </a:extLst>
        </xdr:cNvPr>
        <xdr:cNvSpPr/>
      </xdr:nvSpPr>
      <xdr:spPr>
        <a:xfrm rot="16200000">
          <a:off x="12943599" y="553701"/>
          <a:ext cx="97718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514350</xdr:colOff>
      <xdr:row>1</xdr:row>
      <xdr:rowOff>180975</xdr:rowOff>
    </xdr:from>
    <xdr:ext cx="781050" cy="561975"/>
    <xdr:sp macro="" textlink="">
      <xdr:nvSpPr>
        <xdr:cNvPr id="2" name="Forma lib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7984693">
          <a:off x="12182476" y="352425"/>
          <a:ext cx="533399" cy="571500"/>
        </a:xfrm>
        <a:custGeom>
          <a:avLst/>
          <a:gdLst>
            <a:gd name="connsiteX0" fmla="*/ 0 w 533400"/>
            <a:gd name="connsiteY0" fmla="*/ 101957 h 587732"/>
            <a:gd name="connsiteX1" fmla="*/ 238125 w 533400"/>
            <a:gd name="connsiteY1" fmla="*/ 35282 h 587732"/>
            <a:gd name="connsiteX2" fmla="*/ 533400 w 533400"/>
            <a:gd name="connsiteY2" fmla="*/ 587732 h 5877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33400" h="587732">
              <a:moveTo>
                <a:pt x="0" y="101957"/>
              </a:moveTo>
              <a:cubicBezTo>
                <a:pt x="74612" y="28138"/>
                <a:pt x="149225" y="-45680"/>
                <a:pt x="238125" y="35282"/>
              </a:cubicBezTo>
              <a:cubicBezTo>
                <a:pt x="327025" y="116244"/>
                <a:pt x="533400" y="587732"/>
                <a:pt x="533400" y="587732"/>
              </a:cubicBezTo>
            </a:path>
          </a:pathLst>
        </a:custGeom>
        <a:noFill/>
        <a:ln w="76200">
          <a:solidFill>
            <a:schemeClr val="bg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lang="es-CO" sz="1100"/>
        </a:p>
      </xdr:txBody>
    </xdr:sp>
    <xdr:clientData fLocksWithSheet="0"/>
  </xdr:oneCellAnchor>
  <xdr:twoCellAnchor editAs="oneCell">
    <xdr:from>
      <xdr:col>11</xdr:col>
      <xdr:colOff>79374</xdr:colOff>
      <xdr:row>1</xdr:row>
      <xdr:rowOff>170089</xdr:rowOff>
    </xdr:from>
    <xdr:to>
      <xdr:col>13</xdr:col>
      <xdr:colOff>105500</xdr:colOff>
      <xdr:row>7</xdr:row>
      <xdr:rowOff>22936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68D148B-1C1B-4BD8-9B8A-B8AF5171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5356" y="362857"/>
          <a:ext cx="3118925" cy="1319893"/>
        </a:xfrm>
        <a:prstGeom prst="rect">
          <a:avLst/>
        </a:prstGeom>
      </xdr:spPr>
    </xdr:pic>
    <xdr:clientData/>
  </xdr:twoCellAnchor>
  <xdr:twoCellAnchor>
    <xdr:from>
      <xdr:col>13</xdr:col>
      <xdr:colOff>1148604</xdr:colOff>
      <xdr:row>2</xdr:row>
      <xdr:rowOff>98053</xdr:rowOff>
    </xdr:from>
    <xdr:to>
      <xdr:col>14</xdr:col>
      <xdr:colOff>724461</xdr:colOff>
      <xdr:row>6</xdr:row>
      <xdr:rowOff>24092</xdr:rowOff>
    </xdr:to>
    <xdr:sp macro="" textlink="">
      <xdr:nvSpPr>
        <xdr:cNvPr id="13" name="Flecha curvada hacia arrib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75A6D-65AB-4A19-A727-C4E23BAD528B}"/>
            </a:ext>
          </a:extLst>
        </xdr:cNvPr>
        <xdr:cNvSpPr/>
      </xdr:nvSpPr>
      <xdr:spPr>
        <a:xfrm rot="16200000">
          <a:off x="15709249" y="609320"/>
          <a:ext cx="99059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514350</xdr:colOff>
      <xdr:row>3</xdr:row>
      <xdr:rowOff>180975</xdr:rowOff>
    </xdr:from>
    <xdr:ext cx="781050" cy="561975"/>
    <xdr:sp macro="" textlink="">
      <xdr:nvSpPr>
        <xdr:cNvPr id="2" name="Forma libre 1">
          <a:extLst>
            <a:ext uri="{FF2B5EF4-FFF2-40B4-BE49-F238E27FC236}">
              <a16:creationId xmlns:a16="http://schemas.microsoft.com/office/drawing/2014/main" id="{610AD4CC-7C63-48D3-A091-E56775771FD6}"/>
            </a:ext>
          </a:extLst>
        </xdr:cNvPr>
        <xdr:cNvSpPr/>
      </xdr:nvSpPr>
      <xdr:spPr>
        <a:xfrm rot="17984693">
          <a:off x="16825912" y="261938"/>
          <a:ext cx="561975" cy="781050"/>
        </a:xfrm>
        <a:custGeom>
          <a:avLst/>
          <a:gdLst>
            <a:gd name="connsiteX0" fmla="*/ 0 w 533400"/>
            <a:gd name="connsiteY0" fmla="*/ 101957 h 587732"/>
            <a:gd name="connsiteX1" fmla="*/ 238125 w 533400"/>
            <a:gd name="connsiteY1" fmla="*/ 35282 h 587732"/>
            <a:gd name="connsiteX2" fmla="*/ 533400 w 533400"/>
            <a:gd name="connsiteY2" fmla="*/ 587732 h 5877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33400" h="587732">
              <a:moveTo>
                <a:pt x="0" y="101957"/>
              </a:moveTo>
              <a:cubicBezTo>
                <a:pt x="74612" y="28138"/>
                <a:pt x="149225" y="-45680"/>
                <a:pt x="238125" y="35282"/>
              </a:cubicBezTo>
              <a:cubicBezTo>
                <a:pt x="327025" y="116244"/>
                <a:pt x="533400" y="587732"/>
                <a:pt x="533400" y="587732"/>
              </a:cubicBezTo>
            </a:path>
          </a:pathLst>
        </a:custGeom>
        <a:noFill/>
        <a:ln w="76200">
          <a:solidFill>
            <a:schemeClr val="bg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lang="es-CO" sz="1100"/>
        </a:p>
      </xdr:txBody>
    </xdr:sp>
    <xdr:clientData fLocksWithSheet="0"/>
  </xdr:oneCellAnchor>
  <xdr:twoCellAnchor>
    <xdr:from>
      <xdr:col>13</xdr:col>
      <xdr:colOff>1148604</xdr:colOff>
      <xdr:row>4</xdr:row>
      <xdr:rowOff>98053</xdr:rowOff>
    </xdr:from>
    <xdr:to>
      <xdr:col>14</xdr:col>
      <xdr:colOff>724461</xdr:colOff>
      <xdr:row>8</xdr:row>
      <xdr:rowOff>24092</xdr:rowOff>
    </xdr:to>
    <xdr:sp macro="" textlink="">
      <xdr:nvSpPr>
        <xdr:cNvPr id="3" name="Flecha curvada hacia arriba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95091C-513C-4431-B441-3E851175B8CB}"/>
            </a:ext>
          </a:extLst>
        </xdr:cNvPr>
        <xdr:cNvSpPr/>
      </xdr:nvSpPr>
      <xdr:spPr>
        <a:xfrm rot="16200000">
          <a:off x="16013488" y="568419"/>
          <a:ext cx="992839" cy="833157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1052216</xdr:colOff>
      <xdr:row>3</xdr:row>
      <xdr:rowOff>19159</xdr:rowOff>
    </xdr:from>
    <xdr:to>
      <xdr:col>13</xdr:col>
      <xdr:colOff>773162</xdr:colOff>
      <xdr:row>9</xdr:row>
      <xdr:rowOff>168031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47F8F2-CD4F-43B0-B21C-4F9460CF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0661" y="576720"/>
          <a:ext cx="3136007" cy="13104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457200</xdr:colOff>
      <xdr:row>54</xdr:row>
      <xdr:rowOff>0</xdr:rowOff>
    </xdr:from>
    <xdr:ext cx="142875" cy="0"/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/>
      </xdr:nvCxnSpPr>
      <xdr:spPr>
        <a:xfrm>
          <a:off x="16294102" y="10333039"/>
          <a:ext cx="144461" cy="1586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0</xdr:col>
      <xdr:colOff>76200</xdr:colOff>
      <xdr:row>147</xdr:row>
      <xdr:rowOff>76200</xdr:rowOff>
    </xdr:from>
    <xdr:ext cx="4533900" cy="2552700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876300</xdr:colOff>
      <xdr:row>147</xdr:row>
      <xdr:rowOff>76200</xdr:rowOff>
    </xdr:from>
    <xdr:ext cx="4581525" cy="2552700"/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 editAs="oneCell">
    <xdr:from>
      <xdr:col>11</xdr:col>
      <xdr:colOff>94389</xdr:colOff>
      <xdr:row>1</xdr:row>
      <xdr:rowOff>181305</xdr:rowOff>
    </xdr:from>
    <xdr:to>
      <xdr:col>13</xdr:col>
      <xdr:colOff>706212</xdr:colOff>
      <xdr:row>8</xdr:row>
      <xdr:rowOff>133947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AA3069-9222-4E93-A2CF-1EC7590E7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4870" y="376690"/>
          <a:ext cx="3115188" cy="1344757"/>
        </a:xfrm>
        <a:prstGeom prst="rect">
          <a:avLst/>
        </a:prstGeom>
      </xdr:spPr>
    </xdr:pic>
    <xdr:clientData/>
  </xdr:twoCellAnchor>
  <xdr:twoCellAnchor>
    <xdr:from>
      <xdr:col>13</xdr:col>
      <xdr:colOff>1099040</xdr:colOff>
      <xdr:row>2</xdr:row>
      <xdr:rowOff>158752</xdr:rowOff>
    </xdr:from>
    <xdr:to>
      <xdr:col>14</xdr:col>
      <xdr:colOff>642573</xdr:colOff>
      <xdr:row>7</xdr:row>
      <xdr:rowOff>148004</xdr:rowOff>
    </xdr:to>
    <xdr:sp macro="" textlink="">
      <xdr:nvSpPr>
        <xdr:cNvPr id="8" name="Flecha curvada hacia arriba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C64B7E-AFDD-4D45-8E44-04CB3806FC73}"/>
            </a:ext>
          </a:extLst>
        </xdr:cNvPr>
        <xdr:cNvSpPr/>
      </xdr:nvSpPr>
      <xdr:spPr>
        <a:xfrm rot="16200000">
          <a:off x="15633825" y="668582"/>
          <a:ext cx="99059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377825</xdr:colOff>
      <xdr:row>11</xdr:row>
      <xdr:rowOff>66675</xdr:rowOff>
    </xdr:from>
    <xdr:ext cx="3667125" cy="2247900"/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57150</xdr:colOff>
      <xdr:row>11</xdr:row>
      <xdr:rowOff>76200</xdr:rowOff>
    </xdr:from>
    <xdr:ext cx="3552825" cy="2286000"/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20</xdr:col>
      <xdr:colOff>114300</xdr:colOff>
      <xdr:row>11</xdr:row>
      <xdr:rowOff>63500</xdr:rowOff>
    </xdr:from>
    <xdr:ext cx="3619500" cy="2362200"/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25</xdr:col>
      <xdr:colOff>342900</xdr:colOff>
      <xdr:row>11</xdr:row>
      <xdr:rowOff>58457</xdr:rowOff>
    </xdr:from>
    <xdr:ext cx="3987800" cy="2341843"/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twoCellAnchor editAs="oneCell">
    <xdr:from>
      <xdr:col>11</xdr:col>
      <xdr:colOff>56029</xdr:colOff>
      <xdr:row>1</xdr:row>
      <xdr:rowOff>67236</xdr:rowOff>
    </xdr:from>
    <xdr:to>
      <xdr:col>15</xdr:col>
      <xdr:colOff>126954</xdr:colOff>
      <xdr:row>7</xdr:row>
      <xdr:rowOff>105176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FE97CE-7C3E-4444-AE3A-8E7A86279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0088" y="257736"/>
          <a:ext cx="3118925" cy="1319893"/>
        </a:xfrm>
        <a:prstGeom prst="rect">
          <a:avLst/>
        </a:prstGeom>
      </xdr:spPr>
    </xdr:pic>
    <xdr:clientData/>
  </xdr:twoCellAnchor>
  <xdr:twoCellAnchor>
    <xdr:from>
      <xdr:col>15</xdr:col>
      <xdr:colOff>447489</xdr:colOff>
      <xdr:row>1</xdr:row>
      <xdr:rowOff>156135</xdr:rowOff>
    </xdr:from>
    <xdr:to>
      <xdr:col>16</xdr:col>
      <xdr:colOff>437964</xdr:colOff>
      <xdr:row>6</xdr:row>
      <xdr:rowOff>67233</xdr:rowOff>
    </xdr:to>
    <xdr:sp macro="" textlink="">
      <xdr:nvSpPr>
        <xdr:cNvPr id="5" name="Flecha curvada hacia arriba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F1C103-7086-41E5-8478-78C8D247AF47}"/>
            </a:ext>
          </a:extLst>
        </xdr:cNvPr>
        <xdr:cNvSpPr/>
      </xdr:nvSpPr>
      <xdr:spPr>
        <a:xfrm rot="16200000">
          <a:off x="15136628" y="465696"/>
          <a:ext cx="99059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514350</xdr:colOff>
      <xdr:row>1</xdr:row>
      <xdr:rowOff>180975</xdr:rowOff>
    </xdr:from>
    <xdr:ext cx="781050" cy="561975"/>
    <xdr:sp macro="" textlink="">
      <xdr:nvSpPr>
        <xdr:cNvPr id="2" name="Forma lib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rot="17984693">
          <a:off x="13630276" y="247650"/>
          <a:ext cx="533399" cy="781050"/>
        </a:xfrm>
        <a:custGeom>
          <a:avLst/>
          <a:gdLst>
            <a:gd name="connsiteX0" fmla="*/ 0 w 533400"/>
            <a:gd name="connsiteY0" fmla="*/ 101957 h 587732"/>
            <a:gd name="connsiteX1" fmla="*/ 238125 w 533400"/>
            <a:gd name="connsiteY1" fmla="*/ 35282 h 587732"/>
            <a:gd name="connsiteX2" fmla="*/ 533400 w 533400"/>
            <a:gd name="connsiteY2" fmla="*/ 587732 h 5877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33400" h="587732">
              <a:moveTo>
                <a:pt x="0" y="101957"/>
              </a:moveTo>
              <a:cubicBezTo>
                <a:pt x="74612" y="28138"/>
                <a:pt x="149225" y="-45680"/>
                <a:pt x="238125" y="35282"/>
              </a:cubicBezTo>
              <a:cubicBezTo>
                <a:pt x="327025" y="116244"/>
                <a:pt x="533400" y="587732"/>
                <a:pt x="533400" y="587732"/>
              </a:cubicBezTo>
            </a:path>
          </a:pathLst>
        </a:custGeom>
        <a:noFill/>
        <a:ln w="76200">
          <a:solidFill>
            <a:schemeClr val="bg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lang="es-CO" sz="1100"/>
        </a:p>
      </xdr:txBody>
    </xdr:sp>
    <xdr:clientData fLocksWithSheet="0"/>
  </xdr:oneCellAnchor>
  <xdr:oneCellAnchor>
    <xdr:from>
      <xdr:col>17</xdr:col>
      <xdr:colOff>1047750</xdr:colOff>
      <xdr:row>23</xdr:row>
      <xdr:rowOff>0</xdr:rowOff>
    </xdr:from>
    <xdr:ext cx="28575" cy="2200275"/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>
          <a:off x="17630775" y="8486775"/>
          <a:ext cx="29308" cy="2162175"/>
        </a:xfrm>
        <a:prstGeom prst="line">
          <a:avLst/>
        </a:prstGeom>
        <a:ln w="6350" cap="flat" cmpd="sng" algn="ctr">
          <a:solidFill>
            <a:schemeClr val="accent2"/>
          </a:solidFill>
          <a:prstDash val="solid"/>
          <a:miter lim="800000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16</xdr:col>
      <xdr:colOff>142875</xdr:colOff>
      <xdr:row>20</xdr:row>
      <xdr:rowOff>123825</xdr:rowOff>
    </xdr:from>
    <xdr:ext cx="5334000" cy="3038475"/>
    <xdr:graphicFrame macro="">
      <xdr:nvGraphicFramePr>
        <xdr:cNvPr id="12" name="Chart 1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16</xdr:col>
      <xdr:colOff>142875</xdr:colOff>
      <xdr:row>36</xdr:row>
      <xdr:rowOff>47625</xdr:rowOff>
    </xdr:from>
    <xdr:ext cx="5334000" cy="3133725"/>
    <xdr:graphicFrame macro="">
      <xdr:nvGraphicFramePr>
        <xdr:cNvPr id="13" name="Chart 1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16</xdr:col>
      <xdr:colOff>161925</xdr:colOff>
      <xdr:row>52</xdr:row>
      <xdr:rowOff>104775</xdr:rowOff>
    </xdr:from>
    <xdr:ext cx="5334000" cy="3038475"/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16</xdr:col>
      <xdr:colOff>171450</xdr:colOff>
      <xdr:row>68</xdr:row>
      <xdr:rowOff>9525</xdr:rowOff>
    </xdr:from>
    <xdr:ext cx="5334000" cy="3333750"/>
    <xdr:graphicFrame macro="">
      <xdr:nvGraphicFramePr>
        <xdr:cNvPr id="15" name="Chart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twoCellAnchor editAs="oneCell">
    <xdr:from>
      <xdr:col>11</xdr:col>
      <xdr:colOff>0</xdr:colOff>
      <xdr:row>0</xdr:row>
      <xdr:rowOff>98535</xdr:rowOff>
    </xdr:from>
    <xdr:to>
      <xdr:col>13</xdr:col>
      <xdr:colOff>766506</xdr:colOff>
      <xdr:row>7</xdr:row>
      <xdr:rowOff>39613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8264F3-5254-4036-AECC-04862D235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0172" y="98535"/>
          <a:ext cx="3136268" cy="1309612"/>
        </a:xfrm>
        <a:prstGeom prst="rect">
          <a:avLst/>
        </a:prstGeom>
      </xdr:spPr>
    </xdr:pic>
    <xdr:clientData/>
  </xdr:twoCellAnchor>
  <xdr:twoCellAnchor>
    <xdr:from>
      <xdr:col>13</xdr:col>
      <xdr:colOff>1126903</xdr:colOff>
      <xdr:row>1</xdr:row>
      <xdr:rowOff>40246</xdr:rowOff>
    </xdr:from>
    <xdr:to>
      <xdr:col>14</xdr:col>
      <xdr:colOff>712231</xdr:colOff>
      <xdr:row>6</xdr:row>
      <xdr:rowOff>24682</xdr:rowOff>
    </xdr:to>
    <xdr:sp macro="" textlink="">
      <xdr:nvSpPr>
        <xdr:cNvPr id="6" name="Flecha curvada hacia arriba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BAFCA2-2291-4AED-B799-E062E7778200}"/>
            </a:ext>
          </a:extLst>
        </xdr:cNvPr>
        <xdr:cNvSpPr/>
      </xdr:nvSpPr>
      <xdr:spPr>
        <a:xfrm rot="16200000">
          <a:off x="14329427" y="347124"/>
          <a:ext cx="99059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146</xdr:row>
      <xdr:rowOff>72033</xdr:rowOff>
    </xdr:from>
    <xdr:ext cx="4410075" cy="2428875"/>
    <xdr:graphicFrame macro="">
      <xdr:nvGraphicFramePr>
        <xdr:cNvPr id="72" name="Chart 16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885825</xdr:colOff>
      <xdr:row>146</xdr:row>
      <xdr:rowOff>47625</xdr:rowOff>
    </xdr:from>
    <xdr:ext cx="4762500" cy="2409825"/>
    <xdr:graphicFrame macro="">
      <xdr:nvGraphicFramePr>
        <xdr:cNvPr id="73" name="Chart 1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>
    <xdr:from>
      <xdr:col>10</xdr:col>
      <xdr:colOff>243012</xdr:colOff>
      <xdr:row>174</xdr:row>
      <xdr:rowOff>62508</xdr:rowOff>
    </xdr:from>
    <xdr:to>
      <xdr:col>14</xdr:col>
      <xdr:colOff>423987</xdr:colOff>
      <xdr:row>187</xdr:row>
      <xdr:rowOff>62508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68F45001-B70D-4082-A3B5-8D9375FFA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320969</xdr:colOff>
      <xdr:row>195</xdr:row>
      <xdr:rowOff>166576</xdr:rowOff>
    </xdr:from>
    <xdr:to>
      <xdr:col>18</xdr:col>
      <xdr:colOff>140216</xdr:colOff>
      <xdr:row>212</xdr:row>
      <xdr:rowOff>58810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4D8947AE-1C10-43A3-BED7-F051FF8DE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0</xdr:colOff>
      <xdr:row>1</xdr:row>
      <xdr:rowOff>44302</xdr:rowOff>
    </xdr:from>
    <xdr:to>
      <xdr:col>13</xdr:col>
      <xdr:colOff>221346</xdr:colOff>
      <xdr:row>8</xdr:row>
      <xdr:rowOff>65873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DC9EFCF-AFDF-4B3C-8524-20CA6A9BD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7558" y="232587"/>
          <a:ext cx="3115188" cy="1344757"/>
        </a:xfrm>
        <a:prstGeom prst="rect">
          <a:avLst/>
        </a:prstGeom>
      </xdr:spPr>
    </xdr:pic>
    <xdr:clientData/>
  </xdr:twoCellAnchor>
  <xdr:twoCellAnchor>
    <xdr:from>
      <xdr:col>13</xdr:col>
      <xdr:colOff>857251</xdr:colOff>
      <xdr:row>1</xdr:row>
      <xdr:rowOff>63500</xdr:rowOff>
    </xdr:from>
    <xdr:to>
      <xdr:col>14</xdr:col>
      <xdr:colOff>292101</xdr:colOff>
      <xdr:row>6</xdr:row>
      <xdr:rowOff>101598</xdr:rowOff>
    </xdr:to>
    <xdr:sp macro="" textlink="">
      <xdr:nvSpPr>
        <xdr:cNvPr id="79" name="Flecha curvada hacia arriba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80AE49-2BC5-4B7B-87DE-21DB3E5B7007}"/>
            </a:ext>
          </a:extLst>
        </xdr:cNvPr>
        <xdr:cNvSpPr/>
      </xdr:nvSpPr>
      <xdr:spPr>
        <a:xfrm rot="16200000">
          <a:off x="15771815" y="373061"/>
          <a:ext cx="99059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1479565</xdr:colOff>
      <xdr:row>1</xdr:row>
      <xdr:rowOff>159143</xdr:rowOff>
    </xdr:from>
    <xdr:to>
      <xdr:col>6</xdr:col>
      <xdr:colOff>1481948</xdr:colOff>
      <xdr:row>8</xdr:row>
      <xdr:rowOff>84249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AF990E-4DCD-4AD1-8262-5A9D94815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6488" y="354528"/>
          <a:ext cx="3128537" cy="1292798"/>
        </a:xfrm>
        <a:prstGeom prst="rect">
          <a:avLst/>
        </a:prstGeom>
      </xdr:spPr>
    </xdr:pic>
    <xdr:clientData/>
  </xdr:twoCellAnchor>
  <xdr:twoCellAnchor>
    <xdr:from>
      <xdr:col>7</xdr:col>
      <xdr:colOff>104544</xdr:colOff>
      <xdr:row>2</xdr:row>
      <xdr:rowOff>92927</xdr:rowOff>
    </xdr:from>
    <xdr:to>
      <xdr:col>8</xdr:col>
      <xdr:colOff>90373</xdr:colOff>
      <xdr:row>7</xdr:row>
      <xdr:rowOff>96177</xdr:rowOff>
    </xdr:to>
    <xdr:sp macro="" textlink="">
      <xdr:nvSpPr>
        <xdr:cNvPr id="5" name="Flecha curvada hacia arriba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378C89-ED20-4BEC-A132-B4538BACBD25}"/>
            </a:ext>
          </a:extLst>
        </xdr:cNvPr>
        <xdr:cNvSpPr/>
      </xdr:nvSpPr>
      <xdr:spPr>
        <a:xfrm rot="16200000">
          <a:off x="10788227" y="606927"/>
          <a:ext cx="990598" cy="752475"/>
        </a:xfrm>
        <a:prstGeom prst="curvedUp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1204563</xdr:colOff>
      <xdr:row>35</xdr:row>
      <xdr:rowOff>190732</xdr:rowOff>
    </xdr:from>
    <xdr:to>
      <xdr:col>4</xdr:col>
      <xdr:colOff>1455465</xdr:colOff>
      <xdr:row>49</xdr:row>
      <xdr:rowOff>169359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DBEC81C-B47A-D255-067B-D48BB3326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ana/Downloads/FINAL%20PCC%20Predictores%20de%20quiebra%20(2)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ana/Downloads/Analisis%20caso%20COINTEC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Financieros"/>
      <sheetName val="Altman"/>
      <sheetName val="Indicador Altman Manufactura"/>
      <sheetName val="Indicador Altman Servicios"/>
      <sheetName val="Springate"/>
      <sheetName val="CONCEPTOS DE OTROS PREDICTORES"/>
    </sheetNames>
    <sheetDataSet>
      <sheetData sheetId="0">
        <row r="14">
          <cell r="C14">
            <v>3819622428</v>
          </cell>
          <cell r="D14">
            <v>4298083559</v>
          </cell>
          <cell r="E14">
            <v>6240542676</v>
          </cell>
          <cell r="F14">
            <v>6277418360</v>
          </cell>
          <cell r="G14">
            <v>8406929305</v>
          </cell>
        </row>
        <row r="23">
          <cell r="C23">
            <v>11884890197</v>
          </cell>
          <cell r="D23">
            <v>12033323131</v>
          </cell>
          <cell r="E23">
            <v>13291817965</v>
          </cell>
          <cell r="F23">
            <v>12681011035</v>
          </cell>
          <cell r="G23">
            <v>14244769727</v>
          </cell>
        </row>
        <row r="33">
          <cell r="C33">
            <v>9316737052</v>
          </cell>
          <cell r="D33">
            <v>8716298352</v>
          </cell>
          <cell r="E33">
            <v>10107761751</v>
          </cell>
          <cell r="F33">
            <v>9388936702</v>
          </cell>
          <cell r="G33">
            <v>10636396753</v>
          </cell>
        </row>
        <row r="57">
          <cell r="C57">
            <v>16705472817</v>
          </cell>
          <cell r="D57">
            <v>20474224826</v>
          </cell>
          <cell r="E57">
            <v>21563111744</v>
          </cell>
          <cell r="F57">
            <v>22145181018</v>
          </cell>
          <cell r="G57">
            <v>33287737602</v>
          </cell>
        </row>
        <row r="66">
          <cell r="C66">
            <v>872635121</v>
          </cell>
          <cell r="D66">
            <v>809021702</v>
          </cell>
          <cell r="E66">
            <v>827579911</v>
          </cell>
          <cell r="F66">
            <v>744684873</v>
          </cell>
          <cell r="G66">
            <v>955787173</v>
          </cell>
        </row>
        <row r="67">
          <cell r="C67">
            <v>1015170468</v>
          </cell>
          <cell r="D67">
            <v>540032630</v>
          </cell>
          <cell r="E67">
            <v>535459515</v>
          </cell>
          <cell r="F67">
            <v>263733720</v>
          </cell>
          <cell r="G67">
            <v>613484598</v>
          </cell>
        </row>
        <row r="68">
          <cell r="C68">
            <v>403412000</v>
          </cell>
          <cell r="D68">
            <v>185347000</v>
          </cell>
          <cell r="E68">
            <v>241388000</v>
          </cell>
          <cell r="F68">
            <v>494651000</v>
          </cell>
          <cell r="G68">
            <v>297185957</v>
          </cell>
        </row>
        <row r="69">
          <cell r="C69">
            <v>611758468</v>
          </cell>
          <cell r="D69">
            <v>354685630</v>
          </cell>
          <cell r="E69">
            <v>294071515</v>
          </cell>
          <cell r="F69">
            <v>-230917280</v>
          </cell>
          <cell r="G69">
            <v>316298641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 de Estructural"/>
      <sheetName val="Inductores de Rentabilidad"/>
      <sheetName val="Inductores Operativos y Financi"/>
      <sheetName val="Flujo de Caja"/>
      <sheetName val="Razones Financieras"/>
      <sheetName val="Análisis Gráfico"/>
      <sheetName val="Predictor de Quiebra Altman"/>
      <sheetName val="Costo de la deuda Kd"/>
    </sheetNames>
    <sheetDataSet>
      <sheetData sheetId="0"/>
      <sheetData sheetId="1"/>
      <sheetData sheetId="2"/>
      <sheetData sheetId="3"/>
      <sheetData sheetId="4">
        <row r="22">
          <cell r="C22">
            <v>2017</v>
          </cell>
          <cell r="D22">
            <v>2018</v>
          </cell>
          <cell r="E22">
            <v>2019</v>
          </cell>
          <cell r="F22">
            <v>2020</v>
          </cell>
          <cell r="G22">
            <v>2021</v>
          </cell>
        </row>
        <row r="32">
          <cell r="B32" t="str">
            <v>Periodo de Cobro</v>
          </cell>
          <cell r="C32">
            <v>18.25</v>
          </cell>
          <cell r="D32">
            <v>18.25</v>
          </cell>
          <cell r="E32">
            <v>18.25</v>
          </cell>
          <cell r="F32">
            <v>18.25</v>
          </cell>
          <cell r="G32">
            <v>18.25</v>
          </cell>
        </row>
        <row r="33">
          <cell r="B33" t="str">
            <v>Rotacion de Inventarios</v>
          </cell>
          <cell r="C33">
            <v>107.26065603771967</v>
          </cell>
          <cell r="D33">
            <v>108.79250408017506</v>
          </cell>
          <cell r="E33">
            <v>100.2849690557856</v>
          </cell>
          <cell r="F33">
            <v>122.40772440917083</v>
          </cell>
          <cell r="G33">
            <v>21.499256347685726</v>
          </cell>
        </row>
        <row r="34">
          <cell r="B34" t="str">
            <v>Ciclo Operacional</v>
          </cell>
          <cell r="C34">
            <v>125.51065603771967</v>
          </cell>
          <cell r="D34">
            <v>127.04250408017506</v>
          </cell>
          <cell r="E34">
            <v>118.5349690557856</v>
          </cell>
          <cell r="F34">
            <v>140.65772440917084</v>
          </cell>
          <cell r="G34">
            <v>39.74925634768573</v>
          </cell>
        </row>
        <row r="35">
          <cell r="B35" t="str">
            <v>Periodo de Pago a Proveedores</v>
          </cell>
          <cell r="C35">
            <v>21.452131207543935</v>
          </cell>
          <cell r="D35">
            <v>21.758500816035014</v>
          </cell>
          <cell r="E35">
            <v>22.392222211253003</v>
          </cell>
          <cell r="F35">
            <v>20.227478868161018</v>
          </cell>
          <cell r="G35">
            <v>25.819478161809613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1113-CAD7-49F1-9FC0-107F6042914C}">
  <dimension ref="H12"/>
  <sheetViews>
    <sheetView showGridLines="0" zoomScale="73" zoomScaleNormal="73" workbookViewId="0">
      <selection activeCell="O20" sqref="O20"/>
    </sheetView>
  </sheetViews>
  <sheetFormatPr baseColWidth="10" defaultRowHeight="15.75"/>
  <cols>
    <col min="1" max="16384" width="11.42578125" style="19"/>
  </cols>
  <sheetData>
    <row r="12" spans="8:8">
      <c r="H12" s="179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A07B-1E2C-40DE-8488-BFCA85970D23}">
  <dimension ref="A4:K991"/>
  <sheetViews>
    <sheetView showGridLines="0" zoomScale="69" zoomScaleNormal="69" workbookViewId="0">
      <selection activeCell="I31" sqref="I31"/>
    </sheetView>
  </sheetViews>
  <sheetFormatPr baseColWidth="10" defaultColWidth="14.42578125" defaultRowHeight="15.75"/>
  <cols>
    <col min="1" max="1" width="45.42578125" style="21" customWidth="1"/>
    <col min="2" max="2" width="14.5703125" style="21" customWidth="1"/>
    <col min="3" max="6" width="29.7109375" style="21" bestFit="1" customWidth="1"/>
    <col min="7" max="7" width="23" style="21" bestFit="1" customWidth="1"/>
    <col min="8" max="8" width="18.42578125" style="21" customWidth="1"/>
    <col min="9" max="9" width="40.28515625" style="21" customWidth="1"/>
    <col min="10" max="10" width="13.28515625" style="21" bestFit="1" customWidth="1"/>
    <col min="11" max="26" width="10.7109375" style="21" customWidth="1"/>
    <col min="27" max="16384" width="14.42578125" style="21"/>
  </cols>
  <sheetData>
    <row r="4" spans="1:11">
      <c r="A4" s="40" t="s">
        <v>274</v>
      </c>
      <c r="B4" s="13"/>
      <c r="C4" s="13"/>
    </row>
    <row r="5" spans="1:11">
      <c r="A5" s="41" t="s">
        <v>273</v>
      </c>
      <c r="B5" s="13"/>
      <c r="C5" s="13"/>
    </row>
    <row r="6" spans="1:11">
      <c r="D6" s="125"/>
      <c r="E6" s="125"/>
      <c r="F6" s="125"/>
      <c r="G6" s="125"/>
      <c r="H6" s="125"/>
      <c r="I6" s="125"/>
      <c r="J6" s="125"/>
      <c r="K6" s="125"/>
    </row>
    <row r="7" spans="1:11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</row>
    <row r="8" spans="1:11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</row>
    <row r="9" spans="1:11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1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15.75" customHeight="1">
      <c r="A12" s="14"/>
      <c r="B12" s="14"/>
      <c r="C12" s="14"/>
      <c r="D12" s="14"/>
      <c r="E12" s="14"/>
      <c r="F12" s="14"/>
      <c r="G12" s="14"/>
      <c r="H12" s="125"/>
      <c r="I12" s="125"/>
      <c r="J12" s="125"/>
      <c r="K12" s="125"/>
    </row>
    <row r="13" spans="1:11" ht="15.75" customHeight="1">
      <c r="A13" s="403" t="s">
        <v>342</v>
      </c>
      <c r="B13" s="304"/>
      <c r="C13" s="205">
        <v>2018</v>
      </c>
      <c r="D13" s="205">
        <v>2019</v>
      </c>
      <c r="E13" s="205">
        <v>2020</v>
      </c>
      <c r="F13" s="205">
        <v>2021</v>
      </c>
      <c r="G13" s="205">
        <v>2022</v>
      </c>
      <c r="H13" s="125"/>
      <c r="I13" s="125"/>
      <c r="J13" s="125"/>
      <c r="K13" s="125"/>
    </row>
    <row r="14" spans="1:11" ht="15.75" customHeight="1">
      <c r="A14" s="404" t="s">
        <v>343</v>
      </c>
      <c r="B14" s="314"/>
      <c r="C14" s="42">
        <f>+'[1]Estados Financieros'!C14-'[1]Estados Financieros'!C33</f>
        <v>-5497114624</v>
      </c>
      <c r="D14" s="42">
        <f>+'[1]Estados Financieros'!D14-'[1]Estados Financieros'!D33</f>
        <v>-4418214793</v>
      </c>
      <c r="E14" s="42">
        <f>+'[1]Estados Financieros'!E14-'[1]Estados Financieros'!E33</f>
        <v>-3867219075</v>
      </c>
      <c r="F14" s="42">
        <f>+'[1]Estados Financieros'!F14-'[1]Estados Financieros'!F33</f>
        <v>-3111518342</v>
      </c>
      <c r="G14" s="42">
        <f>+'[1]Estados Financieros'!G14-'[1]Estados Financieros'!G33</f>
        <v>-2229467448</v>
      </c>
      <c r="H14" s="125"/>
      <c r="I14" s="125"/>
      <c r="J14" s="125"/>
      <c r="K14" s="125"/>
    </row>
    <row r="15" spans="1:11" ht="15.75" customHeight="1">
      <c r="A15" s="404" t="s">
        <v>344</v>
      </c>
      <c r="B15" s="314"/>
      <c r="C15" s="42">
        <f>+'[1]Estados Financieros'!C23</f>
        <v>11884890197</v>
      </c>
      <c r="D15" s="42">
        <f>+'[1]Estados Financieros'!D23</f>
        <v>12033323131</v>
      </c>
      <c r="E15" s="42">
        <f>+'[1]Estados Financieros'!E23</f>
        <v>13291817965</v>
      </c>
      <c r="F15" s="42">
        <f>+'[1]Estados Financieros'!F23</f>
        <v>12681011035</v>
      </c>
      <c r="G15" s="42">
        <f>+'[1]Estados Financieros'!G23</f>
        <v>14244769727</v>
      </c>
      <c r="H15" s="125"/>
      <c r="I15" s="125"/>
      <c r="J15" s="125"/>
      <c r="K15" s="125"/>
    </row>
    <row r="16" spans="1:11" ht="15.75" customHeight="1">
      <c r="A16" s="404" t="s">
        <v>345</v>
      </c>
      <c r="B16" s="314"/>
      <c r="C16" s="42">
        <f>+'[1]Estados Financieros'!C69+'[1]Estados Financieros'!C68+'[1]Estados Financieros'!C66</f>
        <v>1887805589</v>
      </c>
      <c r="D16" s="42">
        <f>+'[1]Estados Financieros'!D69+'[1]Estados Financieros'!D68+'[1]Estados Financieros'!D66</f>
        <v>1349054332</v>
      </c>
      <c r="E16" s="42">
        <f>+'[1]Estados Financieros'!E69+'[1]Estados Financieros'!E68+'[1]Estados Financieros'!E66</f>
        <v>1363039426</v>
      </c>
      <c r="F16" s="42">
        <f>+'[1]Estados Financieros'!F69+'[1]Estados Financieros'!F68+'[1]Estados Financieros'!F66</f>
        <v>1008418593</v>
      </c>
      <c r="G16" s="42">
        <f>+'[1]Estados Financieros'!G69+'[1]Estados Financieros'!G68+'[1]Estados Financieros'!G66</f>
        <v>1569271771</v>
      </c>
    </row>
    <row r="17" spans="1:10" ht="15.75" customHeight="1">
      <c r="A17" s="404" t="s">
        <v>346</v>
      </c>
      <c r="B17" s="314"/>
      <c r="C17" s="42">
        <f>+'[1]Estados Financieros'!C67</f>
        <v>1015170468</v>
      </c>
      <c r="D17" s="42">
        <f>+'[1]Estados Financieros'!D67</f>
        <v>540032630</v>
      </c>
      <c r="E17" s="42">
        <f>+'[1]Estados Financieros'!E67</f>
        <v>535459515</v>
      </c>
      <c r="F17" s="42">
        <f>+'[1]Estados Financieros'!F67</f>
        <v>263733720</v>
      </c>
      <c r="G17" s="42">
        <f>+'[1]Estados Financieros'!G67</f>
        <v>613484598</v>
      </c>
    </row>
    <row r="18" spans="1:10" ht="15.75" customHeight="1">
      <c r="A18" s="404" t="s">
        <v>347</v>
      </c>
      <c r="B18" s="314"/>
      <c r="C18" s="42">
        <f>+'[1]Estados Financieros'!C33</f>
        <v>9316737052</v>
      </c>
      <c r="D18" s="42">
        <f>+'[1]Estados Financieros'!D33</f>
        <v>8716298352</v>
      </c>
      <c r="E18" s="42">
        <f>+'[1]Estados Financieros'!E33</f>
        <v>10107761751</v>
      </c>
      <c r="F18" s="42">
        <f>+'[1]Estados Financieros'!F33</f>
        <v>9388936702</v>
      </c>
      <c r="G18" s="42">
        <f>+'[1]Estados Financieros'!G33</f>
        <v>10636396753</v>
      </c>
    </row>
    <row r="19" spans="1:10" ht="15.75" customHeight="1">
      <c r="A19" s="404" t="s">
        <v>42</v>
      </c>
      <c r="B19" s="314"/>
      <c r="C19" s="42">
        <f>+'[1]Estados Financieros'!C57</f>
        <v>16705472817</v>
      </c>
      <c r="D19" s="42">
        <f>+'[1]Estados Financieros'!D57</f>
        <v>20474224826</v>
      </c>
      <c r="E19" s="42">
        <f>+'[1]Estados Financieros'!E57</f>
        <v>21563111744</v>
      </c>
      <c r="F19" s="42">
        <f>+'[1]Estados Financieros'!F57</f>
        <v>22145181018</v>
      </c>
      <c r="G19" s="42">
        <f>+'[1]Estados Financieros'!G57</f>
        <v>33287737602</v>
      </c>
    </row>
    <row r="20" spans="1:10" ht="15.75" customHeight="1">
      <c r="A20" s="207"/>
      <c r="B20" s="207"/>
      <c r="C20" s="199"/>
      <c r="D20" s="192"/>
      <c r="E20" s="192"/>
      <c r="F20" s="192"/>
      <c r="G20" s="192"/>
      <c r="I20" s="104" t="s">
        <v>341</v>
      </c>
      <c r="J20" s="206" t="s">
        <v>326</v>
      </c>
    </row>
    <row r="21" spans="1:10" ht="15.75" customHeight="1">
      <c r="A21" s="403" t="s">
        <v>348</v>
      </c>
      <c r="B21" s="304"/>
      <c r="C21" s="200">
        <f>+$J$21*(C14/C15)</f>
        <v>-0.4764055846430299</v>
      </c>
      <c r="D21" s="200">
        <f t="shared" ref="D21:G21" si="0">+$J$21*(D14/D15)</f>
        <v>-0.37817992480118995</v>
      </c>
      <c r="E21" s="200">
        <f t="shared" si="0"/>
        <v>-0.2996757597597749</v>
      </c>
      <c r="F21" s="200">
        <f t="shared" si="0"/>
        <v>-0.25272936703662446</v>
      </c>
      <c r="G21" s="200">
        <f t="shared" si="0"/>
        <v>-0.16120664043360566</v>
      </c>
      <c r="I21" s="42" t="s">
        <v>348</v>
      </c>
      <c r="J21" s="189">
        <v>1.03</v>
      </c>
    </row>
    <row r="22" spans="1:10" ht="15.75" customHeight="1">
      <c r="A22" s="403" t="s">
        <v>349</v>
      </c>
      <c r="B22" s="304"/>
      <c r="C22" s="200">
        <f>+$J$22*(C16/C15)</f>
        <v>0.48764128756468644</v>
      </c>
      <c r="D22" s="200">
        <f t="shared" ref="D22:G22" si="1">+$J$22*(D16/D15)</f>
        <v>0.34417731113448646</v>
      </c>
      <c r="E22" s="200">
        <f t="shared" si="1"/>
        <v>0.31482006816815444</v>
      </c>
      <c r="F22" s="200">
        <f t="shared" si="1"/>
        <v>0.2441323544286309</v>
      </c>
      <c r="G22" s="200">
        <f t="shared" si="1"/>
        <v>0.33820584181423741</v>
      </c>
      <c r="I22" s="42" t="s">
        <v>349</v>
      </c>
      <c r="J22" s="189">
        <v>3.07</v>
      </c>
    </row>
    <row r="23" spans="1:10" ht="15.75" customHeight="1">
      <c r="A23" s="403" t="s">
        <v>350</v>
      </c>
      <c r="B23" s="304"/>
      <c r="C23" s="200">
        <f>+$J$23*(C17/C18)</f>
        <v>7.1914931712725561E-2</v>
      </c>
      <c r="D23" s="200">
        <f t="shared" ref="D23:G23" si="2">+$J$23*(D17/D18)</f>
        <v>4.0891387766484294E-2</v>
      </c>
      <c r="E23" s="200">
        <f t="shared" si="2"/>
        <v>3.4963554603474549E-2</v>
      </c>
      <c r="F23" s="200">
        <f t="shared" si="2"/>
        <v>1.8539293716073452E-2</v>
      </c>
      <c r="G23" s="200">
        <f t="shared" si="2"/>
        <v>3.8067387300666257E-2</v>
      </c>
      <c r="I23" s="42" t="s">
        <v>350</v>
      </c>
      <c r="J23" s="189">
        <v>0.66</v>
      </c>
    </row>
    <row r="24" spans="1:10" ht="15.75" customHeight="1">
      <c r="A24" s="403" t="s">
        <v>351</v>
      </c>
      <c r="B24" s="304"/>
      <c r="C24" s="200">
        <f>+$J$24*(C19/C15)</f>
        <v>0.56224239484237948</v>
      </c>
      <c r="D24" s="200">
        <f t="shared" ref="D24:G24" si="3">+$J$24*(D19/D15)</f>
        <v>0.68058422775184102</v>
      </c>
      <c r="E24" s="200">
        <f t="shared" si="3"/>
        <v>0.64891384461568657</v>
      </c>
      <c r="F24" s="200">
        <f t="shared" si="3"/>
        <v>0.69853045492598609</v>
      </c>
      <c r="G24" s="200">
        <f t="shared" si="3"/>
        <v>0.93473571675659572</v>
      </c>
      <c r="I24" s="42" t="s">
        <v>351</v>
      </c>
      <c r="J24" s="189">
        <v>0.4</v>
      </c>
    </row>
    <row r="25" spans="1:10" ht="15.75" customHeight="1"/>
    <row r="26" spans="1:10" ht="15.75" customHeight="1">
      <c r="C26" s="201">
        <f>+SUM(C21:C24)</f>
        <v>0.64539302947676158</v>
      </c>
      <c r="D26" s="201">
        <f t="shared" ref="D26:G26" si="4">+SUM(D21:D24)</f>
        <v>0.68747300185162186</v>
      </c>
      <c r="E26" s="201">
        <f t="shared" si="4"/>
        <v>0.69902170762754068</v>
      </c>
      <c r="F26" s="201">
        <f t="shared" si="4"/>
        <v>0.70847273603406602</v>
      </c>
      <c r="G26" s="201">
        <f t="shared" si="4"/>
        <v>1.1498023054378936</v>
      </c>
    </row>
    <row r="27" spans="1:10" ht="15.75" customHeight="1">
      <c r="C27" s="202" t="str">
        <f>IF(C26&lt;$B$28,"Riesgo de Insolvencia","Situación Normal")</f>
        <v>Riesgo de Insolvencia</v>
      </c>
      <c r="D27" s="202" t="str">
        <f>IF(D26&lt;$B$28,"Riesgo de Insolvencia","Situación Normal")</f>
        <v>Riesgo de Insolvencia</v>
      </c>
      <c r="E27" s="202" t="str">
        <f>IF(E26&lt;$B$28,"Riesgo de Insolvencia","Situación Normal")</f>
        <v>Riesgo de Insolvencia</v>
      </c>
      <c r="F27" s="202" t="str">
        <f>IF(F26&lt;$B$28,"Riesgo de Insolvencia","Situación Normal")</f>
        <v>Riesgo de Insolvencia</v>
      </c>
      <c r="G27" s="202" t="str">
        <f>IF(G26&lt;$B$28,"Riesgo de Insolvencia","Situación Normal")</f>
        <v>Situación Normal</v>
      </c>
    </row>
    <row r="28" spans="1:10" ht="15.75" customHeight="1">
      <c r="A28" s="79" t="s">
        <v>352</v>
      </c>
      <c r="B28" s="204">
        <v>0.86199999999999999</v>
      </c>
      <c r="C28" s="203"/>
      <c r="D28" s="203"/>
      <c r="E28" s="203"/>
      <c r="F28" s="203"/>
      <c r="G28" s="203"/>
    </row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1">
    <mergeCell ref="A13:B13"/>
    <mergeCell ref="A14:B14"/>
    <mergeCell ref="A15:B15"/>
    <mergeCell ref="A23:B23"/>
    <mergeCell ref="A24:B24"/>
    <mergeCell ref="A16:B16"/>
    <mergeCell ref="A17:B17"/>
    <mergeCell ref="A18:B18"/>
    <mergeCell ref="A19:B19"/>
    <mergeCell ref="A21:B21"/>
    <mergeCell ref="A22:B22"/>
  </mergeCells>
  <conditionalFormatting sqref="C27">
    <cfRule type="cellIs" dxfId="3" priority="1" operator="equal">
      <formula>"Situación Normal"</formula>
    </cfRule>
  </conditionalFormatting>
  <conditionalFormatting sqref="C27">
    <cfRule type="cellIs" dxfId="2" priority="2" operator="equal">
      <formula>"Riesgo de Insolvencia"</formula>
    </cfRule>
  </conditionalFormatting>
  <conditionalFormatting sqref="D27:G27">
    <cfRule type="cellIs" dxfId="1" priority="3" operator="equal">
      <formula>"Situación Normal"</formula>
    </cfRule>
  </conditionalFormatting>
  <conditionalFormatting sqref="D27:G27">
    <cfRule type="cellIs" dxfId="0" priority="4" operator="equal">
      <formula>"Riesgo de Insolvencia"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8006-1860-4565-8646-11C1A6CEB426}">
  <sheetPr>
    <tabColor theme="0"/>
  </sheetPr>
  <dimension ref="A3:AA117"/>
  <sheetViews>
    <sheetView showGridLines="0" topLeftCell="A80" zoomScale="62" zoomScaleNormal="62" workbookViewId="0">
      <selection activeCell="F27" sqref="F27"/>
    </sheetView>
  </sheetViews>
  <sheetFormatPr baseColWidth="10" defaultColWidth="11.28515625" defaultRowHeight="15"/>
  <cols>
    <col min="1" max="1" width="19.85546875" style="267" bestFit="1" customWidth="1"/>
    <col min="2" max="3" width="20.7109375" style="267" bestFit="1" customWidth="1"/>
    <col min="4" max="4" width="20.42578125" style="267" bestFit="1" customWidth="1"/>
    <col min="5" max="6" width="20.7109375" style="267" bestFit="1" customWidth="1"/>
    <col min="7" max="21" width="11.28515625" style="267"/>
    <col min="22" max="23" width="15" style="267" bestFit="1" customWidth="1"/>
    <col min="24" max="24" width="16.5703125" style="267" bestFit="1" customWidth="1"/>
    <col min="25" max="26" width="15" style="267" bestFit="1" customWidth="1"/>
    <col min="27" max="16384" width="11.28515625" style="267"/>
  </cols>
  <sheetData>
    <row r="3" spans="1:10">
      <c r="A3" s="265"/>
      <c r="B3" s="265"/>
      <c r="C3" s="265"/>
      <c r="D3" s="265"/>
      <c r="E3" s="265"/>
    </row>
    <row r="4" spans="1:10" ht="15.75">
      <c r="A4" s="15"/>
      <c r="B4" s="15"/>
      <c r="C4" s="15"/>
      <c r="D4" s="15"/>
      <c r="E4" s="15"/>
      <c r="F4" s="196"/>
      <c r="G4" s="196"/>
      <c r="H4" s="196"/>
      <c r="I4" s="196"/>
      <c r="J4" s="196"/>
    </row>
    <row r="5" spans="1:10" ht="15.75">
      <c r="A5" s="18" t="s">
        <v>274</v>
      </c>
      <c r="B5" s="266"/>
      <c r="C5" s="266"/>
      <c r="D5" s="15"/>
      <c r="E5" s="15"/>
      <c r="F5" s="196"/>
      <c r="G5" s="196"/>
      <c r="H5" s="196"/>
      <c r="I5" s="196"/>
      <c r="J5" s="196"/>
    </row>
    <row r="6" spans="1:10" ht="15.75">
      <c r="A6" s="282" t="s">
        <v>273</v>
      </c>
      <c r="B6" s="266"/>
      <c r="C6" s="266"/>
      <c r="D6" s="15"/>
      <c r="E6" s="15"/>
      <c r="F6" s="196"/>
      <c r="G6" s="196"/>
      <c r="H6" s="196"/>
      <c r="I6" s="196"/>
      <c r="J6" s="196"/>
    </row>
    <row r="7" spans="1:10" ht="15.75">
      <c r="A7" s="15"/>
      <c r="B7" s="15"/>
      <c r="C7" s="15"/>
      <c r="D7" s="15"/>
      <c r="E7" s="15"/>
      <c r="F7" s="196"/>
      <c r="G7" s="196"/>
      <c r="H7" s="196"/>
      <c r="I7" s="196"/>
      <c r="J7" s="196"/>
    </row>
    <row r="8" spans="1:10" ht="15.75">
      <c r="A8" s="15"/>
      <c r="B8" s="15"/>
      <c r="C8" s="15"/>
      <c r="D8" s="15"/>
      <c r="E8" s="15"/>
      <c r="F8" s="196"/>
      <c r="G8" s="196"/>
      <c r="H8" s="196"/>
      <c r="I8" s="196"/>
      <c r="J8" s="196"/>
    </row>
    <row r="9" spans="1:10">
      <c r="A9" s="265"/>
      <c r="B9" s="265"/>
      <c r="C9" s="265"/>
      <c r="D9" s="265"/>
      <c r="E9" s="265"/>
    </row>
    <row r="10" spans="1:10">
      <c r="A10" s="265"/>
      <c r="B10" s="265"/>
      <c r="C10" s="265"/>
      <c r="D10" s="265"/>
      <c r="E10" s="265"/>
    </row>
    <row r="11" spans="1:10">
      <c r="A11" s="265"/>
      <c r="B11" s="265"/>
      <c r="C11" s="265"/>
      <c r="D11" s="265"/>
      <c r="E11" s="265"/>
    </row>
    <row r="19" spans="1:27">
      <c r="A19" s="265"/>
      <c r="B19" s="265"/>
      <c r="C19" s="265"/>
      <c r="D19" s="265"/>
      <c r="E19" s="265"/>
      <c r="F19" s="265"/>
    </row>
    <row r="20" spans="1:27">
      <c r="F20" s="265"/>
    </row>
    <row r="21" spans="1:27" ht="15.75">
      <c r="A21" s="196">
        <f>+'Estados Financieros'!K10</f>
        <v>2018</v>
      </c>
      <c r="B21" s="196">
        <f>+'Estados Financieros'!L10</f>
        <v>2019</v>
      </c>
      <c r="C21" s="196">
        <f>+'Estados Financieros'!M10</f>
        <v>2020</v>
      </c>
      <c r="D21" s="196">
        <f>+'Estados Financieros'!N10</f>
        <v>2021</v>
      </c>
      <c r="E21" s="196">
        <f>+'Estados Financieros'!O10</f>
        <v>2022</v>
      </c>
      <c r="F21" s="265"/>
    </row>
    <row r="22" spans="1:27" ht="15.75">
      <c r="A22" s="277">
        <f>+'Estados Financieros'!F26</f>
        <v>11554862000</v>
      </c>
      <c r="B22" s="277">
        <f>+'Estados Financieros'!G26</f>
        <v>12363351328</v>
      </c>
      <c r="C22" s="277">
        <f>+'Estados Financieros'!H26</f>
        <v>13330753360</v>
      </c>
      <c r="D22" s="277">
        <f>+'Estados Financieros'!I26</f>
        <v>12681011035</v>
      </c>
      <c r="E22" s="277">
        <f>+'Estados Financieros'!J26</f>
        <v>14244769727</v>
      </c>
      <c r="F22" s="265"/>
    </row>
    <row r="23" spans="1:27" ht="15.75">
      <c r="A23" s="283">
        <f>+'Estados Financieros'!F75</f>
        <v>611758468</v>
      </c>
      <c r="B23" s="283">
        <f>+'Estados Financieros'!G75</f>
        <v>354685630</v>
      </c>
      <c r="C23" s="283">
        <f>+'Estados Financieros'!H75</f>
        <v>294071515</v>
      </c>
      <c r="D23" s="283">
        <f>+'Estados Financieros'!I75</f>
        <v>-230917280</v>
      </c>
      <c r="E23" s="283">
        <f>+'Estados Financieros'!J75</f>
        <v>316298641</v>
      </c>
      <c r="F23" s="265"/>
    </row>
    <row r="24" spans="1:27">
      <c r="F24" s="265"/>
    </row>
    <row r="25" spans="1:27">
      <c r="F25" s="265"/>
    </row>
    <row r="26" spans="1:27">
      <c r="F26" s="265"/>
    </row>
    <row r="27" spans="1:27">
      <c r="A27" s="267">
        <f>+A21</f>
        <v>2018</v>
      </c>
      <c r="B27" s="267">
        <f t="shared" ref="B27:E27" si="0">+B21</f>
        <v>2019</v>
      </c>
      <c r="C27" s="267">
        <f t="shared" si="0"/>
        <v>2020</v>
      </c>
      <c r="D27" s="267">
        <f t="shared" si="0"/>
        <v>2021</v>
      </c>
      <c r="E27" s="267">
        <f t="shared" si="0"/>
        <v>2022</v>
      </c>
      <c r="F27" s="265"/>
    </row>
    <row r="28" spans="1:27">
      <c r="A28" s="271">
        <f>+Indicadores!F15</f>
        <v>5.2943814300854479E-2</v>
      </c>
      <c r="B28" s="271">
        <f>+Indicadores!G15</f>
        <v>2.8688469702929403E-2</v>
      </c>
      <c r="C28" s="271">
        <f>+Indicadores!H15</f>
        <v>2.2059632119695898E-2</v>
      </c>
      <c r="D28" s="271">
        <f>+Indicadores!I15</f>
        <v>-1.8209690013096025E-2</v>
      </c>
      <c r="E28" s="271">
        <f>+Indicadores!J15</f>
        <v>2.2204545742882546E-2</v>
      </c>
      <c r="F28" s="265"/>
    </row>
    <row r="29" spans="1:27">
      <c r="A29" s="271">
        <f>+Indicadores!F18</f>
        <v>0.12050255161157146</v>
      </c>
      <c r="B29" s="271">
        <f>+Indicadores!G18</f>
        <v>7.5191029087733813E-2</v>
      </c>
      <c r="C29" s="271">
        <f>+Indicadores!H18</f>
        <v>7.2683164886646043E-2</v>
      </c>
      <c r="D29" s="271">
        <f>+Indicadores!I18</f>
        <v>-8.3533292779743168E-2</v>
      </c>
      <c r="E29" s="271">
        <f>+Indicadores!J18</f>
        <v>8.2326267914745316E-2</v>
      </c>
      <c r="F29" s="265"/>
    </row>
    <row r="30" spans="1:27">
      <c r="F30" s="265"/>
      <c r="O30" s="268"/>
      <c r="P30" s="268"/>
      <c r="Q30" s="268"/>
      <c r="R30" s="268"/>
      <c r="S30" s="268"/>
    </row>
    <row r="31" spans="1:27">
      <c r="F31" s="265"/>
    </row>
    <row r="32" spans="1:27">
      <c r="A32" s="265"/>
      <c r="B32" s="265"/>
      <c r="C32" s="265"/>
      <c r="D32" s="265"/>
      <c r="E32" s="265"/>
      <c r="F32" s="265"/>
      <c r="N32" s="269"/>
      <c r="O32" s="270"/>
      <c r="P32" s="271"/>
      <c r="Q32" s="271"/>
      <c r="R32" s="271"/>
      <c r="S32" s="271"/>
      <c r="T32" s="271"/>
      <c r="V32" s="269"/>
      <c r="W32" s="272"/>
      <c r="X32" s="272"/>
      <c r="Y32" s="272"/>
      <c r="Z32" s="272"/>
      <c r="AA32" s="272"/>
    </row>
    <row r="33" spans="1:27">
      <c r="N33" s="269"/>
      <c r="O33" s="270"/>
      <c r="P33" s="271"/>
      <c r="Q33" s="271"/>
      <c r="R33" s="271"/>
      <c r="S33" s="271"/>
      <c r="T33" s="271"/>
      <c r="V33" s="269"/>
      <c r="W33" s="272"/>
      <c r="X33" s="272"/>
      <c r="Y33" s="272"/>
      <c r="Z33" s="272"/>
      <c r="AA33" s="272"/>
    </row>
    <row r="34" spans="1:27">
      <c r="N34" s="269"/>
      <c r="O34" s="270"/>
      <c r="P34" s="273"/>
      <c r="Q34" s="273"/>
      <c r="R34" s="273"/>
      <c r="S34" s="273"/>
    </row>
    <row r="38" spans="1:27">
      <c r="A38" s="265"/>
      <c r="B38" s="265"/>
      <c r="C38" s="265"/>
      <c r="D38" s="265"/>
      <c r="E38" s="265"/>
      <c r="F38" s="265"/>
    </row>
    <row r="40" spans="1:27">
      <c r="A40" s="284">
        <f>+Indicadores!F21</f>
        <v>2018</v>
      </c>
      <c r="B40" s="284">
        <f>+Indicadores!G21</f>
        <v>2019</v>
      </c>
      <c r="C40" s="284">
        <f>+Indicadores!H21</f>
        <v>2020</v>
      </c>
      <c r="D40" s="284">
        <f>+Indicadores!I21</f>
        <v>2021</v>
      </c>
      <c r="E40" s="284">
        <f>+Indicadores!J21</f>
        <v>2022</v>
      </c>
    </row>
    <row r="41" spans="1:27" ht="15.75">
      <c r="A41" s="276">
        <v>16705472817</v>
      </c>
      <c r="B41" s="276">
        <v>20474224826</v>
      </c>
      <c r="C41" s="276">
        <v>21563111744</v>
      </c>
      <c r="D41" s="276">
        <v>22145181018</v>
      </c>
      <c r="E41" s="276">
        <v>33287737602</v>
      </c>
    </row>
    <row r="42" spans="1:27" ht="15.75">
      <c r="A42" s="277">
        <f>+Indicadores!F16</f>
        <v>1105000248.3290372</v>
      </c>
      <c r="B42" s="277">
        <f>+Indicadores!G16</f>
        <v>704600906.98730397</v>
      </c>
      <c r="C42" s="277">
        <f>+Indicadores!H16</f>
        <v>679789005.75275385</v>
      </c>
      <c r="D42" s="277">
        <f>+Indicadores!I16</f>
        <v>-743535013.50231516</v>
      </c>
      <c r="E42" s="277">
        <f>+Indicadores!J16</f>
        <v>755869886.55051804</v>
      </c>
    </row>
    <row r="53" spans="1:26">
      <c r="V53" s="274"/>
      <c r="W53" s="274"/>
      <c r="X53" s="274"/>
      <c r="Y53" s="274"/>
      <c r="Z53" s="274"/>
    </row>
    <row r="54" spans="1:26">
      <c r="V54" s="274"/>
      <c r="W54" s="274"/>
      <c r="X54" s="274"/>
      <c r="Y54" s="274"/>
      <c r="Z54" s="274"/>
    </row>
    <row r="56" spans="1:26" ht="15.75">
      <c r="A56" s="275">
        <v>2018</v>
      </c>
      <c r="B56" s="275">
        <v>2019</v>
      </c>
      <c r="C56" s="275">
        <v>2020</v>
      </c>
      <c r="D56" s="275">
        <v>2021</v>
      </c>
      <c r="E56" s="275">
        <v>2022</v>
      </c>
    </row>
    <row r="57" spans="1:26" ht="15.75">
      <c r="A57" s="276">
        <v>16705472817</v>
      </c>
      <c r="B57" s="276">
        <v>20474224826</v>
      </c>
      <c r="C57" s="276">
        <v>21563111744</v>
      </c>
      <c r="D57" s="276">
        <v>22145181018</v>
      </c>
      <c r="E57" s="276">
        <v>33287737602</v>
      </c>
    </row>
    <row r="58" spans="1:26" ht="15.75">
      <c r="A58" s="277">
        <v>2581170935</v>
      </c>
      <c r="B58" s="277">
        <v>2145325103</v>
      </c>
      <c r="C58" s="277">
        <v>2285863284</v>
      </c>
      <c r="D58" s="277">
        <v>1315058147</v>
      </c>
      <c r="E58" s="277">
        <v>1888503145</v>
      </c>
    </row>
    <row r="59" spans="1:26" ht="15.75">
      <c r="A59" s="278">
        <v>0.15775104277912042</v>
      </c>
      <c r="B59" s="278">
        <v>0.11813102926019417</v>
      </c>
      <c r="C59" s="278">
        <v>0.11181643547670705</v>
      </c>
      <c r="D59" s="278">
        <v>6.6573194222331378E-2</v>
      </c>
      <c r="E59" s="278">
        <v>5.9833125753801113E-2</v>
      </c>
    </row>
    <row r="63" spans="1:26">
      <c r="A63" s="267">
        <f>+A56</f>
        <v>2018</v>
      </c>
      <c r="B63" s="267">
        <f t="shared" ref="B63:E63" si="1">+B56</f>
        <v>2019</v>
      </c>
      <c r="C63" s="267">
        <f t="shared" si="1"/>
        <v>2020</v>
      </c>
      <c r="D63" s="267">
        <f t="shared" si="1"/>
        <v>2021</v>
      </c>
      <c r="E63" s="267">
        <f t="shared" si="1"/>
        <v>2022</v>
      </c>
    </row>
    <row r="64" spans="1:26">
      <c r="A64" s="279">
        <f>+A57</f>
        <v>16705472817</v>
      </c>
      <c r="B64" s="279">
        <f t="shared" ref="B64:E64" si="2">+B57</f>
        <v>20474224826</v>
      </c>
      <c r="C64" s="279">
        <f t="shared" si="2"/>
        <v>21563111744</v>
      </c>
      <c r="D64" s="279">
        <f t="shared" si="2"/>
        <v>22145181018</v>
      </c>
      <c r="E64" s="279">
        <f t="shared" si="2"/>
        <v>33287737602</v>
      </c>
    </row>
    <row r="65" spans="1:5">
      <c r="A65" s="271">
        <f>+A59</f>
        <v>0.15775104277912042</v>
      </c>
      <c r="B65" s="271">
        <f t="shared" ref="B65:E65" si="3">+B59</f>
        <v>0.11813102926019417</v>
      </c>
      <c r="C65" s="271">
        <f t="shared" si="3"/>
        <v>0.11181643547670705</v>
      </c>
      <c r="D65" s="271">
        <f t="shared" si="3"/>
        <v>6.6573194222331378E-2</v>
      </c>
      <c r="E65" s="271">
        <f t="shared" si="3"/>
        <v>5.9833125753801113E-2</v>
      </c>
    </row>
    <row r="76" spans="1:5">
      <c r="A76" s="267">
        <f>+Indicadores!F21</f>
        <v>2018</v>
      </c>
      <c r="B76" s="267">
        <f>+Indicadores!G21</f>
        <v>2019</v>
      </c>
      <c r="C76" s="267">
        <f>+Indicadores!H21</f>
        <v>2020</v>
      </c>
      <c r="D76" s="267">
        <f>+Indicadores!I21</f>
        <v>2021</v>
      </c>
      <c r="E76" s="267">
        <f>+Indicadores!J21</f>
        <v>2022</v>
      </c>
    </row>
    <row r="77" spans="1:5">
      <c r="A77" s="285">
        <f>+Indicadores!F28</f>
        <v>3.1531133944558018E-2</v>
      </c>
      <c r="B77" s="285">
        <f>+Indicadores!G28</f>
        <v>4.751784691572479E-2</v>
      </c>
      <c r="C77" s="285">
        <f>+Indicadores!H28</f>
        <v>7.5868243759169382E-2</v>
      </c>
      <c r="D77" s="285">
        <f>+Indicadores!I28</f>
        <v>4.6877171162259222E-2</v>
      </c>
      <c r="E77" s="285">
        <f>+Indicadores!J28</f>
        <v>5.5625616169503476E-2</v>
      </c>
    </row>
    <row r="80" spans="1:5">
      <c r="A80" s="267">
        <f>+A76</f>
        <v>2018</v>
      </c>
      <c r="B80" s="267">
        <f t="shared" ref="B80:E80" si="4">+B76</f>
        <v>2019</v>
      </c>
      <c r="C80" s="267">
        <f t="shared" si="4"/>
        <v>2020</v>
      </c>
      <c r="D80" s="267">
        <f t="shared" si="4"/>
        <v>2021</v>
      </c>
      <c r="E80" s="267">
        <f t="shared" si="4"/>
        <v>2022</v>
      </c>
    </row>
    <row r="81" spans="1:5">
      <c r="A81" s="267">
        <f>+'Estados Financieros'!F14</f>
        <v>2467358178</v>
      </c>
      <c r="B81" s="267">
        <f>+'Estados Financieros'!G14</f>
        <v>3158470228</v>
      </c>
      <c r="C81" s="267">
        <f>+'Estados Financieros'!H14</f>
        <v>3709808049</v>
      </c>
      <c r="D81" s="267">
        <f>+'Estados Financieros'!I14</f>
        <v>3380747041</v>
      </c>
      <c r="E81" s="267">
        <f>+'Estados Financieros'!J14</f>
        <v>3471633072</v>
      </c>
    </row>
    <row r="82" spans="1:5">
      <c r="A82" s="267">
        <f>+'Estados Financieros'!F15</f>
        <v>444313956</v>
      </c>
      <c r="B82" s="267">
        <f>+'Estados Financieros'!G15</f>
        <v>806961387</v>
      </c>
      <c r="C82" s="267">
        <f>+'Estados Financieros'!H15</f>
        <v>1865194210</v>
      </c>
      <c r="D82" s="267">
        <f>+'Estados Financieros'!I15</f>
        <v>1437305490</v>
      </c>
      <c r="E82" s="267">
        <f>+'Estados Financieros'!J15</f>
        <v>3443393761</v>
      </c>
    </row>
    <row r="83" spans="1:5">
      <c r="A83" s="267">
        <f>+'Estados Financieros'!F30</f>
        <v>2384929633</v>
      </c>
      <c r="B83" s="267">
        <f>+'Estados Financieros'!G30</f>
        <v>2992540534</v>
      </c>
      <c r="C83" s="267">
        <f>+'Estados Financieros'!H30</f>
        <v>3939046841</v>
      </c>
      <c r="D83" s="267">
        <f>+'Estados Financieros'!I30</f>
        <v>3779949090</v>
      </c>
      <c r="E83" s="267">
        <f>+'Estados Financieros'!J30</f>
        <v>5063375918</v>
      </c>
    </row>
    <row r="94" spans="1:5">
      <c r="A94" s="267">
        <f>+Indicadores!F21</f>
        <v>2018</v>
      </c>
      <c r="B94" s="267">
        <f>+Indicadores!G21</f>
        <v>2019</v>
      </c>
      <c r="C94" s="267">
        <f>+Indicadores!H21</f>
        <v>2020</v>
      </c>
      <c r="D94" s="267">
        <f>+Indicadores!I21</f>
        <v>2021</v>
      </c>
      <c r="E94" s="267">
        <f>+Indicadores!J21</f>
        <v>2022</v>
      </c>
    </row>
    <row r="95" spans="1:5">
      <c r="A95" s="285">
        <f>+Indicadores!F29</f>
        <v>2.159658102571306</v>
      </c>
      <c r="B95" s="285">
        <f>+Indicadores!G29</f>
        <v>2.5385672754344979</v>
      </c>
      <c r="C95" s="285">
        <f>+Indicadores!H29</f>
        <v>3.0580442345852652</v>
      </c>
      <c r="D95" s="285">
        <f>+Indicadores!I29</f>
        <v>3.4582432303128963</v>
      </c>
      <c r="E95" s="285">
        <f>+Indicadores!J29</f>
        <v>5.702063639244848</v>
      </c>
    </row>
    <row r="97" spans="1:5">
      <c r="A97" s="267">
        <f>+A94</f>
        <v>2018</v>
      </c>
      <c r="B97" s="267">
        <f t="shared" ref="B97:E97" si="5">+B94</f>
        <v>2019</v>
      </c>
      <c r="C97" s="267">
        <f t="shared" si="5"/>
        <v>2020</v>
      </c>
      <c r="D97" s="267">
        <f t="shared" si="5"/>
        <v>2021</v>
      </c>
      <c r="E97" s="267">
        <f t="shared" si="5"/>
        <v>2022</v>
      </c>
    </row>
    <row r="98" spans="1:5">
      <c r="A98" s="279">
        <f>+A41</f>
        <v>16705472817</v>
      </c>
      <c r="B98" s="279">
        <f t="shared" ref="B98:E98" si="6">+B41</f>
        <v>20474224826</v>
      </c>
      <c r="C98" s="279">
        <f t="shared" si="6"/>
        <v>21563111744</v>
      </c>
      <c r="D98" s="279">
        <f t="shared" si="6"/>
        <v>22145181018</v>
      </c>
      <c r="E98" s="279">
        <f t="shared" si="6"/>
        <v>33287737602</v>
      </c>
    </row>
    <row r="99" spans="1:5">
      <c r="A99" s="267">
        <f>+'Estados Financieros'!F26</f>
        <v>11554862000</v>
      </c>
      <c r="B99" s="267">
        <f>+'Estados Financieros'!G26</f>
        <v>12363351328</v>
      </c>
      <c r="C99" s="267">
        <f>+'Estados Financieros'!H26</f>
        <v>13330753360</v>
      </c>
      <c r="D99" s="267">
        <f>+'Estados Financieros'!I26</f>
        <v>12681011035</v>
      </c>
      <c r="E99" s="267">
        <f>+'Estados Financieros'!J26</f>
        <v>14244769727</v>
      </c>
    </row>
    <row r="111" spans="1:5">
      <c r="A111" s="267">
        <v>2018</v>
      </c>
      <c r="B111" s="267">
        <v>2019</v>
      </c>
      <c r="C111" s="267">
        <v>2020</v>
      </c>
      <c r="D111" s="267">
        <v>2021</v>
      </c>
      <c r="E111" s="267">
        <v>2022</v>
      </c>
    </row>
    <row r="112" spans="1:5" ht="15.75">
      <c r="A112" s="286">
        <v>4.9002518879713488</v>
      </c>
      <c r="B112" s="286">
        <v>2.2051030633304776</v>
      </c>
      <c r="C112" s="286">
        <v>1.3972650225362071</v>
      </c>
      <c r="D112" s="286">
        <v>1.2667891224146324</v>
      </c>
      <c r="E112" s="286">
        <v>1.019902363723888</v>
      </c>
    </row>
    <row r="116" spans="1:5">
      <c r="A116" s="267">
        <f>+A111</f>
        <v>2018</v>
      </c>
      <c r="B116" s="267">
        <f t="shared" ref="B116:E116" si="7">+B111</f>
        <v>2019</v>
      </c>
      <c r="C116" s="267">
        <f t="shared" si="7"/>
        <v>2020</v>
      </c>
      <c r="D116" s="267">
        <f t="shared" si="7"/>
        <v>2021</v>
      </c>
      <c r="E116" s="267">
        <f t="shared" si="7"/>
        <v>2022</v>
      </c>
    </row>
    <row r="117" spans="1:5" ht="15.75">
      <c r="A117" s="287">
        <v>1885122952.9532733</v>
      </c>
      <c r="B117" s="287">
        <v>1180457253.2886581</v>
      </c>
      <c r="C117" s="287">
        <v>2147573006.3152032</v>
      </c>
      <c r="D117" s="287">
        <v>828450571.02179122</v>
      </c>
      <c r="E117" s="287">
        <v>983723066.27614689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97"/>
  <sheetViews>
    <sheetView showGridLines="0" topLeftCell="A53" zoomScale="69" zoomScaleNormal="69" workbookViewId="0">
      <selection activeCell="M56" sqref="M56"/>
    </sheetView>
  </sheetViews>
  <sheetFormatPr baseColWidth="10" defaultColWidth="14.42578125" defaultRowHeight="15" customHeight="1"/>
  <cols>
    <col min="1" max="3" width="11.42578125" style="21" customWidth="1"/>
    <col min="4" max="4" width="4" style="21" customWidth="1"/>
    <col min="5" max="5" width="11.42578125" style="21" hidden="1" customWidth="1"/>
    <col min="6" max="8" width="21.42578125" style="21" bestFit="1" customWidth="1"/>
    <col min="9" max="9" width="21.140625" style="21" bestFit="1" customWidth="1"/>
    <col min="10" max="10" width="22.140625" style="21" bestFit="1" customWidth="1"/>
    <col min="11" max="12" width="11.5703125" style="21" customWidth="1"/>
    <col min="13" max="13" width="17.140625" style="21" bestFit="1" customWidth="1"/>
    <col min="14" max="15" width="11.5703125" style="21" customWidth="1"/>
    <col min="16" max="16" width="25.42578125" style="21" bestFit="1" customWidth="1"/>
    <col min="17" max="17" width="28.28515625" style="21" bestFit="1" customWidth="1"/>
    <col min="18" max="18" width="20.5703125" style="21" bestFit="1" customWidth="1"/>
    <col min="19" max="19" width="14.42578125" style="21" customWidth="1"/>
    <col min="20" max="20" width="11.42578125" style="21" customWidth="1"/>
    <col min="21" max="21" width="19.28515625" style="21" bestFit="1" customWidth="1"/>
    <col min="22" max="22" width="14.5703125" style="21" bestFit="1" customWidth="1"/>
    <col min="23" max="24" width="11.42578125" style="21" customWidth="1"/>
    <col min="25" max="25" width="9.7109375" style="21" customWidth="1"/>
    <col min="26" max="26" width="14.5703125" style="21" customWidth="1"/>
    <col min="27" max="27" width="11.42578125" style="21" customWidth="1"/>
    <col min="28" max="28" width="12.28515625" style="21" customWidth="1"/>
    <col min="29" max="29" width="11.42578125" style="21" customWidth="1"/>
    <col min="30" max="16384" width="14.42578125" style="21"/>
  </cols>
  <sheetData>
    <row r="1" spans="1:29" s="15" customFormat="1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29" s="15" customFormat="1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15" customFormat="1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29" s="15" customFormat="1" ht="15" customHeight="1">
      <c r="A4" s="40" t="s">
        <v>274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s="15" customFormat="1" ht="15" customHeight="1">
      <c r="A5" s="41" t="s">
        <v>273</v>
      </c>
      <c r="B5" s="13"/>
      <c r="C5" s="13"/>
      <c r="D5" s="13"/>
      <c r="E5" s="13"/>
      <c r="F5" s="13"/>
      <c r="G5" s="13"/>
      <c r="H5" s="13"/>
      <c r="I5" s="405"/>
      <c r="J5" s="13"/>
      <c r="K5" s="13"/>
      <c r="L5" s="13"/>
      <c r="M5" s="13"/>
      <c r="N5" s="13"/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s="15" customFormat="1" ht="15.7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s="15" customFormat="1" ht="15.75">
      <c r="A7" s="18"/>
      <c r="B7" s="18"/>
      <c r="C7" s="18"/>
      <c r="D7" s="18"/>
      <c r="E7" s="18"/>
      <c r="F7" s="18"/>
      <c r="G7" s="18"/>
      <c r="H7" s="18"/>
      <c r="I7" s="406"/>
      <c r="J7" s="18"/>
      <c r="K7" s="18"/>
      <c r="L7" s="18"/>
      <c r="M7" s="18"/>
      <c r="N7" s="18"/>
      <c r="O7" s="18"/>
      <c r="Q7" s="18"/>
      <c r="R7" s="18"/>
    </row>
    <row r="8" spans="1:29" s="15" customFormat="1" ht="15.75">
      <c r="A8" s="18"/>
      <c r="B8" s="18"/>
      <c r="C8" s="18"/>
      <c r="D8" s="18"/>
      <c r="E8" s="18"/>
      <c r="F8" s="18"/>
      <c r="G8" s="18"/>
      <c r="H8" s="18"/>
      <c r="I8" s="406"/>
      <c r="J8" s="18"/>
      <c r="K8" s="18"/>
      <c r="L8" s="18"/>
      <c r="M8" s="18"/>
      <c r="N8" s="18"/>
      <c r="O8" s="18"/>
      <c r="R8" s="281"/>
    </row>
    <row r="9" spans="1:29" ht="15.75">
      <c r="A9" s="27"/>
      <c r="B9" s="27"/>
      <c r="C9" s="27"/>
      <c r="D9" s="27"/>
      <c r="E9" s="27"/>
      <c r="F9" s="27"/>
      <c r="G9" s="27"/>
      <c r="H9" s="27"/>
      <c r="I9" s="27"/>
      <c r="J9" s="407"/>
      <c r="K9" s="27"/>
      <c r="L9" s="27"/>
      <c r="M9" s="27"/>
      <c r="N9" s="27"/>
      <c r="O9" s="27"/>
      <c r="Q9" s="15"/>
      <c r="R9" s="281"/>
      <c r="S9" s="15"/>
    </row>
    <row r="10" spans="1:29" ht="15.75">
      <c r="A10" s="302" t="s">
        <v>0</v>
      </c>
      <c r="B10" s="302"/>
      <c r="C10" s="302"/>
      <c r="D10" s="302"/>
      <c r="E10" s="302"/>
      <c r="F10" s="28">
        <v>2018</v>
      </c>
      <c r="G10" s="28">
        <v>2019</v>
      </c>
      <c r="H10" s="28">
        <v>2020</v>
      </c>
      <c r="I10" s="28">
        <v>2021</v>
      </c>
      <c r="J10" s="28">
        <v>2022</v>
      </c>
      <c r="K10" s="29">
        <v>2018</v>
      </c>
      <c r="L10" s="29">
        <f t="shared" ref="L10:O10" si="0">K10+1</f>
        <v>2019</v>
      </c>
      <c r="M10" s="29">
        <f t="shared" si="0"/>
        <v>2020</v>
      </c>
      <c r="N10" s="29">
        <f t="shared" si="0"/>
        <v>2021</v>
      </c>
      <c r="O10" s="29">
        <f t="shared" si="0"/>
        <v>2022</v>
      </c>
      <c r="Q10" s="15"/>
      <c r="R10" s="281"/>
      <c r="S10" s="15"/>
    </row>
    <row r="11" spans="1:29" ht="15.75">
      <c r="A11" s="301" t="s">
        <v>1</v>
      </c>
      <c r="B11" s="301"/>
      <c r="C11" s="301"/>
      <c r="D11" s="301"/>
      <c r="E11" s="301"/>
      <c r="F11" s="30"/>
      <c r="G11" s="30"/>
      <c r="H11" s="30"/>
      <c r="I11" s="30"/>
      <c r="J11" s="30"/>
      <c r="K11" s="300" t="s">
        <v>2</v>
      </c>
      <c r="L11" s="300"/>
      <c r="M11" s="300"/>
      <c r="N11" s="300"/>
      <c r="O11" s="300"/>
      <c r="Q11" s="15"/>
      <c r="R11" s="281"/>
      <c r="S11" s="15"/>
    </row>
    <row r="12" spans="1:29" ht="15.75">
      <c r="A12" s="292" t="s">
        <v>3</v>
      </c>
      <c r="B12" s="292"/>
      <c r="C12" s="292"/>
      <c r="D12" s="292"/>
      <c r="E12" s="292"/>
      <c r="F12" s="216">
        <v>907950294</v>
      </c>
      <c r="G12" s="216">
        <v>332651944</v>
      </c>
      <c r="H12" s="216">
        <v>665540417</v>
      </c>
      <c r="I12" s="216">
        <v>1459365829</v>
      </c>
      <c r="J12" s="216">
        <v>1491902472</v>
      </c>
      <c r="K12" s="33">
        <f t="shared" ref="K12:O12" si="1">+F12/F$26</f>
        <v>7.8577337747521347E-2</v>
      </c>
      <c r="L12" s="33">
        <f t="shared" si="1"/>
        <v>2.6906292248334303E-2</v>
      </c>
      <c r="M12" s="33">
        <f t="shared" si="1"/>
        <v>4.9925191699743514E-2</v>
      </c>
      <c r="N12" s="33">
        <f t="shared" si="1"/>
        <v>0.1150827662693537</v>
      </c>
      <c r="O12" s="33">
        <f t="shared" si="1"/>
        <v>0.10473335129961417</v>
      </c>
      <c r="Q12" s="15"/>
      <c r="R12" s="281"/>
      <c r="S12" s="15"/>
    </row>
    <row r="13" spans="1:29" ht="15.75">
      <c r="A13" s="292" t="s">
        <v>4</v>
      </c>
      <c r="B13" s="292"/>
      <c r="C13" s="292"/>
      <c r="D13" s="292"/>
      <c r="E13" s="292"/>
      <c r="F13" s="216">
        <v>0</v>
      </c>
      <c r="G13" s="216">
        <v>0</v>
      </c>
      <c r="H13" s="216">
        <v>0</v>
      </c>
      <c r="I13" s="216">
        <v>0</v>
      </c>
      <c r="J13" s="216">
        <v>0</v>
      </c>
      <c r="K13" s="34">
        <f t="shared" ref="K13:O13" si="2">+F13/F$26</f>
        <v>0</v>
      </c>
      <c r="L13" s="34">
        <f t="shared" si="2"/>
        <v>0</v>
      </c>
      <c r="M13" s="34">
        <f t="shared" si="2"/>
        <v>0</v>
      </c>
      <c r="N13" s="34">
        <f t="shared" si="2"/>
        <v>0</v>
      </c>
      <c r="O13" s="34">
        <f t="shared" si="2"/>
        <v>0</v>
      </c>
      <c r="Q13" s="18"/>
      <c r="R13" s="14"/>
      <c r="S13" s="18"/>
    </row>
    <row r="14" spans="1:29" ht="15.75">
      <c r="A14" s="292" t="s">
        <v>5</v>
      </c>
      <c r="B14" s="292"/>
      <c r="C14" s="292"/>
      <c r="D14" s="292"/>
      <c r="E14" s="292"/>
      <c r="F14" s="216">
        <v>2467358178</v>
      </c>
      <c r="G14" s="216">
        <v>3158470228</v>
      </c>
      <c r="H14" s="216">
        <v>3709808049</v>
      </c>
      <c r="I14" s="216">
        <v>3380747041</v>
      </c>
      <c r="J14" s="216">
        <v>3471633072</v>
      </c>
      <c r="K14" s="35">
        <f t="shared" ref="K14:O14" si="3">+F14/F$26</f>
        <v>0.2135341969467052</v>
      </c>
      <c r="L14" s="35">
        <f t="shared" si="3"/>
        <v>0.25547039343991051</v>
      </c>
      <c r="M14" s="35">
        <f t="shared" si="3"/>
        <v>0.27828945212740774</v>
      </c>
      <c r="N14" s="35">
        <f t="shared" si="3"/>
        <v>0.26659917191689442</v>
      </c>
      <c r="O14" s="35">
        <f t="shared" si="3"/>
        <v>0.24371282502515668</v>
      </c>
      <c r="Q14" s="15"/>
      <c r="R14" s="15"/>
      <c r="S14" s="15"/>
    </row>
    <row r="15" spans="1:29" ht="15.75">
      <c r="A15" s="292" t="s">
        <v>6</v>
      </c>
      <c r="B15" s="292"/>
      <c r="C15" s="292"/>
      <c r="D15" s="292"/>
      <c r="E15" s="292"/>
      <c r="F15" s="216">
        <v>444313956</v>
      </c>
      <c r="G15" s="216">
        <v>806961387</v>
      </c>
      <c r="H15" s="216">
        <v>1865194210</v>
      </c>
      <c r="I15" s="216">
        <v>1437305490</v>
      </c>
      <c r="J15" s="216">
        <v>3443393761</v>
      </c>
      <c r="K15" s="35">
        <f t="shared" ref="K15:O15" si="4">+F15/F$26</f>
        <v>3.8452554085024987E-2</v>
      </c>
      <c r="L15" s="35">
        <f t="shared" si="4"/>
        <v>6.5270440481006775E-2</v>
      </c>
      <c r="M15" s="35">
        <f t="shared" si="4"/>
        <v>0.139916639339879</v>
      </c>
      <c r="N15" s="35">
        <f t="shared" si="4"/>
        <v>0.11334313060945933</v>
      </c>
      <c r="O15" s="35">
        <f t="shared" si="4"/>
        <v>0.24173039136415658</v>
      </c>
    </row>
    <row r="16" spans="1:29" ht="15.75" customHeight="1">
      <c r="A16" s="292" t="s">
        <v>7</v>
      </c>
      <c r="B16" s="292"/>
      <c r="C16" s="292"/>
      <c r="D16" s="292"/>
      <c r="E16" s="292"/>
      <c r="F16" s="216">
        <v>0</v>
      </c>
      <c r="G16" s="216">
        <v>0</v>
      </c>
      <c r="H16" s="216">
        <v>0</v>
      </c>
      <c r="I16" s="216">
        <v>0</v>
      </c>
      <c r="J16" s="216">
        <v>0</v>
      </c>
      <c r="K16" s="35">
        <f t="shared" ref="K16:O16" si="5">+F16/F$26</f>
        <v>0</v>
      </c>
      <c r="L16" s="35">
        <f t="shared" si="5"/>
        <v>0</v>
      </c>
      <c r="M16" s="35">
        <f t="shared" si="5"/>
        <v>0</v>
      </c>
      <c r="N16" s="35">
        <f t="shared" si="5"/>
        <v>0</v>
      </c>
      <c r="O16" s="35">
        <f t="shared" si="5"/>
        <v>0</v>
      </c>
    </row>
    <row r="17" spans="1:16" ht="15.75" customHeight="1">
      <c r="A17" s="293" t="s">
        <v>8</v>
      </c>
      <c r="B17" s="293"/>
      <c r="C17" s="293"/>
      <c r="D17" s="293"/>
      <c r="E17" s="293"/>
      <c r="F17" s="157">
        <f>+SUM(F12:F16)</f>
        <v>3819622428</v>
      </c>
      <c r="G17" s="157">
        <f>+SUM(G12:G16)</f>
        <v>4298083559</v>
      </c>
      <c r="H17" s="157">
        <f t="shared" ref="H17:J17" si="6">+SUM(H12:H16)</f>
        <v>6240542676</v>
      </c>
      <c r="I17" s="157">
        <f t="shared" si="6"/>
        <v>6277418360</v>
      </c>
      <c r="J17" s="157">
        <f t="shared" si="6"/>
        <v>8406929305</v>
      </c>
      <c r="K17" s="33">
        <f t="shared" ref="K17:O17" si="7">SUM(K12:K16)</f>
        <v>0.33056408877925159</v>
      </c>
      <c r="L17" s="33">
        <f t="shared" si="7"/>
        <v>0.34764712616925159</v>
      </c>
      <c r="M17" s="33">
        <f t="shared" si="7"/>
        <v>0.46813128316703023</v>
      </c>
      <c r="N17" s="33">
        <f t="shared" si="7"/>
        <v>0.49502506879570746</v>
      </c>
      <c r="O17" s="33">
        <f t="shared" si="7"/>
        <v>0.59017656768892746</v>
      </c>
    </row>
    <row r="18" spans="1:16" ht="15.75" customHeight="1">
      <c r="A18" s="295" t="s">
        <v>9</v>
      </c>
      <c r="B18" s="295"/>
      <c r="C18" s="295"/>
      <c r="D18" s="295"/>
      <c r="E18" s="295"/>
      <c r="F18" s="254"/>
      <c r="G18" s="254"/>
      <c r="H18" s="254"/>
      <c r="I18" s="254"/>
      <c r="J18" s="254"/>
      <c r="K18" s="37"/>
      <c r="L18" s="37"/>
      <c r="M18" s="37"/>
      <c r="N18" s="37"/>
      <c r="O18" s="37"/>
    </row>
    <row r="19" spans="1:16" ht="15.75" customHeight="1">
      <c r="A19" s="292" t="s">
        <v>4</v>
      </c>
      <c r="B19" s="292"/>
      <c r="C19" s="292"/>
      <c r="D19" s="292"/>
      <c r="E19" s="292"/>
      <c r="F19" s="216">
        <v>0</v>
      </c>
      <c r="G19" s="216">
        <v>0</v>
      </c>
      <c r="H19" s="216">
        <v>0</v>
      </c>
      <c r="I19" s="216">
        <v>0</v>
      </c>
      <c r="J19" s="216">
        <v>0</v>
      </c>
      <c r="K19" s="34">
        <f t="shared" ref="K19:O19" si="8">+F19/F$26</f>
        <v>0</v>
      </c>
      <c r="L19" s="34">
        <f t="shared" si="8"/>
        <v>0</v>
      </c>
      <c r="M19" s="34">
        <f t="shared" si="8"/>
        <v>0</v>
      </c>
      <c r="N19" s="34">
        <f t="shared" si="8"/>
        <v>0</v>
      </c>
      <c r="O19" s="34">
        <f t="shared" si="8"/>
        <v>0</v>
      </c>
    </row>
    <row r="20" spans="1:16" ht="15.75" customHeight="1">
      <c r="A20" s="292" t="s">
        <v>10</v>
      </c>
      <c r="B20" s="292"/>
      <c r="C20" s="292"/>
      <c r="D20" s="292"/>
      <c r="E20" s="292"/>
      <c r="F20" s="216">
        <v>0</v>
      </c>
      <c r="G20" s="216">
        <v>0</v>
      </c>
      <c r="H20" s="216">
        <v>0</v>
      </c>
      <c r="I20" s="216">
        <v>0</v>
      </c>
      <c r="J20" s="216">
        <v>0</v>
      </c>
      <c r="K20" s="34">
        <f t="shared" ref="K20:O20" si="9">+F20/F$26</f>
        <v>0</v>
      </c>
      <c r="L20" s="34">
        <f t="shared" si="9"/>
        <v>0</v>
      </c>
      <c r="M20" s="34">
        <f t="shared" si="9"/>
        <v>0</v>
      </c>
      <c r="N20" s="34">
        <f t="shared" si="9"/>
        <v>0</v>
      </c>
      <c r="O20" s="34">
        <f t="shared" si="9"/>
        <v>0</v>
      </c>
    </row>
    <row r="21" spans="1:16" ht="15.75" customHeight="1">
      <c r="A21" s="292" t="s">
        <v>11</v>
      </c>
      <c r="B21" s="292"/>
      <c r="C21" s="292"/>
      <c r="D21" s="292"/>
      <c r="E21" s="292"/>
      <c r="F21" s="216">
        <v>7735239572</v>
      </c>
      <c r="G21" s="216">
        <v>8065267769</v>
      </c>
      <c r="H21" s="216">
        <v>7051275289</v>
      </c>
      <c r="I21" s="216">
        <v>6403592675</v>
      </c>
      <c r="J21" s="216">
        <v>5837840422</v>
      </c>
      <c r="K21" s="35">
        <f t="shared" ref="K21:O21" si="10">+F21/F$26</f>
        <v>0.66943591122074841</v>
      </c>
      <c r="L21" s="35">
        <f t="shared" si="10"/>
        <v>0.65235287383074847</v>
      </c>
      <c r="M21" s="35">
        <f t="shared" si="10"/>
        <v>0.5289479970545341</v>
      </c>
      <c r="N21" s="35">
        <f t="shared" si="10"/>
        <v>0.5049749312042926</v>
      </c>
      <c r="O21" s="35">
        <f t="shared" si="10"/>
        <v>0.40982343231107254</v>
      </c>
    </row>
    <row r="22" spans="1:16" ht="15.75" customHeight="1">
      <c r="A22" s="292" t="s">
        <v>12</v>
      </c>
      <c r="B22" s="292"/>
      <c r="C22" s="292"/>
      <c r="D22" s="292"/>
      <c r="E22" s="292"/>
      <c r="F22" s="216">
        <v>0</v>
      </c>
      <c r="G22" s="216">
        <v>0</v>
      </c>
      <c r="H22" s="216">
        <v>0</v>
      </c>
      <c r="I22" s="216">
        <v>0</v>
      </c>
      <c r="J22" s="216">
        <v>0</v>
      </c>
      <c r="K22" s="35">
        <f t="shared" ref="K22:O22" si="11">+F22/F$26</f>
        <v>0</v>
      </c>
      <c r="L22" s="35">
        <f t="shared" si="11"/>
        <v>0</v>
      </c>
      <c r="M22" s="35">
        <f t="shared" si="11"/>
        <v>0</v>
      </c>
      <c r="N22" s="35">
        <f t="shared" si="11"/>
        <v>0</v>
      </c>
      <c r="O22" s="35">
        <f t="shared" si="11"/>
        <v>0</v>
      </c>
    </row>
    <row r="23" spans="1:16" ht="15.75" customHeight="1">
      <c r="A23" s="292" t="s">
        <v>13</v>
      </c>
      <c r="B23" s="292"/>
      <c r="C23" s="292"/>
      <c r="D23" s="292"/>
      <c r="E23" s="292"/>
      <c r="F23" s="216">
        <v>0</v>
      </c>
      <c r="G23" s="216">
        <v>0</v>
      </c>
      <c r="H23" s="216">
        <v>38935395</v>
      </c>
      <c r="I23" s="216">
        <v>0</v>
      </c>
      <c r="J23" s="216">
        <v>0</v>
      </c>
      <c r="K23" s="35">
        <f t="shared" ref="K23:O23" si="12">+F23/F$26</f>
        <v>0</v>
      </c>
      <c r="L23" s="35">
        <f t="shared" si="12"/>
        <v>0</v>
      </c>
      <c r="M23" s="35">
        <f t="shared" si="12"/>
        <v>2.9207197784356879E-3</v>
      </c>
      <c r="N23" s="35">
        <f t="shared" si="12"/>
        <v>0</v>
      </c>
      <c r="O23" s="35">
        <f t="shared" si="12"/>
        <v>0</v>
      </c>
    </row>
    <row r="24" spans="1:16" ht="15.75" customHeight="1">
      <c r="A24" s="293" t="s">
        <v>14</v>
      </c>
      <c r="B24" s="293"/>
      <c r="C24" s="293"/>
      <c r="D24" s="293"/>
      <c r="E24" s="293"/>
      <c r="F24" s="157">
        <f>+SUM(F19:F23)</f>
        <v>7735239572</v>
      </c>
      <c r="G24" s="157">
        <f>+SUM(G19:G23)</f>
        <v>8065267769</v>
      </c>
      <c r="H24" s="157">
        <f t="shared" ref="H24:J24" si="13">+SUM(H19:H23)</f>
        <v>7090210684</v>
      </c>
      <c r="I24" s="157">
        <f t="shared" si="13"/>
        <v>6403592675</v>
      </c>
      <c r="J24" s="157">
        <f t="shared" si="13"/>
        <v>5837840422</v>
      </c>
      <c r="K24" s="38">
        <f t="shared" ref="K24:O24" si="14">SUM(K19:K23)</f>
        <v>0.66943591122074841</v>
      </c>
      <c r="L24" s="38">
        <f t="shared" si="14"/>
        <v>0.65235287383074847</v>
      </c>
      <c r="M24" s="38">
        <f t="shared" si="14"/>
        <v>0.53186871683296977</v>
      </c>
      <c r="N24" s="38">
        <f t="shared" si="14"/>
        <v>0.5049749312042926</v>
      </c>
      <c r="O24" s="38">
        <f t="shared" si="14"/>
        <v>0.40982343231107254</v>
      </c>
    </row>
    <row r="25" spans="1:16" ht="15.75" customHeight="1">
      <c r="A25" s="31"/>
      <c r="B25" s="31"/>
      <c r="C25" s="31"/>
      <c r="D25" s="31"/>
      <c r="E25" s="31"/>
      <c r="F25" s="11"/>
      <c r="G25" s="11"/>
      <c r="H25" s="11"/>
      <c r="I25" s="11"/>
      <c r="J25" s="11"/>
      <c r="K25" s="15"/>
      <c r="L25" s="15"/>
      <c r="M25" s="15"/>
      <c r="N25" s="15"/>
      <c r="O25" s="15"/>
    </row>
    <row r="26" spans="1:16" ht="15.75" customHeight="1">
      <c r="A26" s="303" t="s">
        <v>91</v>
      </c>
      <c r="B26" s="303"/>
      <c r="C26" s="303"/>
      <c r="D26" s="303"/>
      <c r="E26" s="303"/>
      <c r="F26" s="256">
        <f t="shared" ref="F26:J26" si="15">F17+F24</f>
        <v>11554862000</v>
      </c>
      <c r="G26" s="256">
        <f t="shared" si="15"/>
        <v>12363351328</v>
      </c>
      <c r="H26" s="256">
        <f t="shared" si="15"/>
        <v>13330753360</v>
      </c>
      <c r="I26" s="256">
        <f t="shared" si="15"/>
        <v>12681011035</v>
      </c>
      <c r="J26" s="256">
        <f t="shared" si="15"/>
        <v>14244769727</v>
      </c>
      <c r="K26" s="15"/>
      <c r="L26" s="15"/>
      <c r="M26" s="15"/>
      <c r="N26" s="15"/>
      <c r="O26" s="15"/>
    </row>
    <row r="27" spans="1:16" ht="15.75" customHeight="1">
      <c r="A27" s="31"/>
      <c r="F27" s="255"/>
      <c r="G27" s="255"/>
      <c r="H27" s="255"/>
      <c r="I27" s="255"/>
      <c r="J27" s="255"/>
      <c r="K27" s="15"/>
      <c r="L27" s="15"/>
      <c r="M27" s="15"/>
      <c r="N27" s="15"/>
      <c r="O27" s="15"/>
    </row>
    <row r="28" spans="1:16" ht="15.75" customHeight="1">
      <c r="A28" s="295" t="s">
        <v>15</v>
      </c>
      <c r="B28" s="295"/>
      <c r="C28" s="295"/>
      <c r="D28" s="295"/>
      <c r="E28" s="295"/>
      <c r="F28" s="254"/>
      <c r="G28" s="254"/>
      <c r="H28" s="254"/>
      <c r="I28" s="254"/>
      <c r="J28" s="254"/>
      <c r="K28" s="15"/>
      <c r="L28" s="15"/>
      <c r="M28" s="15"/>
      <c r="N28" s="15"/>
      <c r="O28" s="15"/>
    </row>
    <row r="29" spans="1:16" ht="15.75" customHeight="1">
      <c r="A29" s="297" t="s">
        <v>16</v>
      </c>
      <c r="B29" s="298"/>
      <c r="C29" s="298"/>
      <c r="D29" s="298"/>
      <c r="E29" s="298"/>
      <c r="F29" s="217">
        <v>5125404057</v>
      </c>
      <c r="G29" s="216">
        <v>5057191359</v>
      </c>
      <c r="H29" s="216">
        <v>4146449975</v>
      </c>
      <c r="I29" s="216">
        <v>4313438008</v>
      </c>
      <c r="J29" s="216">
        <v>4144221467</v>
      </c>
      <c r="K29" s="35">
        <f t="shared" ref="K29:O29" si="16">+F29/F$42</f>
        <v>0.58802531189446372</v>
      </c>
      <c r="L29" s="35">
        <f t="shared" si="16"/>
        <v>0.54280713631543198</v>
      </c>
      <c r="M29" s="35">
        <f t="shared" si="16"/>
        <v>0.41022434809464869</v>
      </c>
      <c r="N29" s="35">
        <f t="shared" si="16"/>
        <v>0.45941709321367197</v>
      </c>
      <c r="O29" s="35">
        <f t="shared" si="16"/>
        <v>0.38962644617700265</v>
      </c>
    </row>
    <row r="30" spans="1:16" ht="15.75" customHeight="1">
      <c r="A30" s="297" t="s">
        <v>17</v>
      </c>
      <c r="B30" s="298"/>
      <c r="C30" s="298"/>
      <c r="D30" s="298"/>
      <c r="E30" s="298"/>
      <c r="F30" s="217">
        <v>2384929633</v>
      </c>
      <c r="G30" s="216">
        <v>2992540534</v>
      </c>
      <c r="H30" s="216">
        <v>3939046841</v>
      </c>
      <c r="I30" s="216">
        <v>3779949090</v>
      </c>
      <c r="J30" s="216">
        <v>5063375918</v>
      </c>
      <c r="K30" s="35">
        <f t="shared" ref="K30:O30" si="17">+F30/F$42</f>
        <v>0.27361725547781018</v>
      </c>
      <c r="L30" s="35">
        <f t="shared" si="17"/>
        <v>0.32120049297276226</v>
      </c>
      <c r="M30" s="35">
        <f t="shared" si="17"/>
        <v>0.38970515313247217</v>
      </c>
      <c r="N30" s="35">
        <f t="shared" si="17"/>
        <v>0.40259607770013062</v>
      </c>
      <c r="O30" s="35">
        <f t="shared" si="17"/>
        <v>0.47604240755421923</v>
      </c>
    </row>
    <row r="31" spans="1:16" ht="15.75" customHeight="1">
      <c r="A31" s="297" t="s">
        <v>18</v>
      </c>
      <c r="B31" s="298"/>
      <c r="C31" s="298"/>
      <c r="D31" s="298"/>
      <c r="E31" s="298"/>
      <c r="F31" s="217">
        <v>0</v>
      </c>
      <c r="G31" s="216">
        <v>0</v>
      </c>
      <c r="H31" s="216">
        <v>0</v>
      </c>
      <c r="I31" s="216">
        <v>0</v>
      </c>
      <c r="J31" s="216">
        <v>0</v>
      </c>
      <c r="K31" s="35">
        <f t="shared" ref="K31:O31" si="18">+F31/F$42</f>
        <v>0</v>
      </c>
      <c r="L31" s="35">
        <f t="shared" si="18"/>
        <v>0</v>
      </c>
      <c r="M31" s="35">
        <f t="shared" si="18"/>
        <v>0</v>
      </c>
      <c r="N31" s="35">
        <f t="shared" si="18"/>
        <v>0</v>
      </c>
      <c r="O31" s="35">
        <f t="shared" si="18"/>
        <v>0</v>
      </c>
      <c r="P31" s="43"/>
    </row>
    <row r="32" spans="1:16" ht="15.75" customHeight="1">
      <c r="A32" s="297" t="s">
        <v>19</v>
      </c>
      <c r="B32" s="298"/>
      <c r="C32" s="298"/>
      <c r="D32" s="298"/>
      <c r="E32" s="298"/>
      <c r="F32" s="217">
        <v>931996000</v>
      </c>
      <c r="G32" s="216">
        <v>815806000</v>
      </c>
      <c r="H32" s="216">
        <v>802487395</v>
      </c>
      <c r="I32" s="216">
        <v>971177000</v>
      </c>
      <c r="J32" s="216">
        <v>1085958957</v>
      </c>
      <c r="K32" s="34">
        <f t="shared" ref="K32:O32" si="19">+F32/F$42</f>
        <v>0.10692566527236286</v>
      </c>
      <c r="L32" s="34">
        <f t="shared" si="19"/>
        <v>8.7563488745759227E-2</v>
      </c>
      <c r="M32" s="34">
        <f t="shared" si="19"/>
        <v>7.9393184640566619E-2</v>
      </c>
      <c r="N32" s="34">
        <f t="shared" si="19"/>
        <v>0.10343844365178467</v>
      </c>
      <c r="O32" s="34">
        <f t="shared" si="19"/>
        <v>0.10209838747259074</v>
      </c>
    </row>
    <row r="33" spans="1:15" ht="15.75" customHeight="1">
      <c r="A33" s="297" t="s">
        <v>268</v>
      </c>
      <c r="B33" s="298"/>
      <c r="C33" s="298"/>
      <c r="D33" s="298"/>
      <c r="E33" s="298"/>
      <c r="F33" s="217">
        <v>160143339</v>
      </c>
      <c r="G33" s="216">
        <v>450954124</v>
      </c>
      <c r="H33" s="216">
        <v>871921154</v>
      </c>
      <c r="I33" s="216">
        <v>323304633</v>
      </c>
      <c r="J33" s="216">
        <v>337007426</v>
      </c>
      <c r="K33" s="34"/>
      <c r="L33" s="34"/>
      <c r="M33" s="34"/>
      <c r="N33" s="34"/>
      <c r="O33" s="34"/>
    </row>
    <row r="34" spans="1:15" ht="15.75" customHeight="1">
      <c r="A34" s="297" t="s">
        <v>269</v>
      </c>
      <c r="B34" s="298"/>
      <c r="C34" s="298"/>
      <c r="D34" s="298"/>
      <c r="E34" s="298"/>
      <c r="F34" s="217">
        <v>113825323</v>
      </c>
      <c r="G34" s="216">
        <v>245035</v>
      </c>
      <c r="H34" s="216">
        <v>347856386</v>
      </c>
      <c r="I34" s="216">
        <v>1067971</v>
      </c>
      <c r="J34" s="216">
        <v>5832985</v>
      </c>
      <c r="K34" s="34">
        <f t="shared" ref="K34:O34" si="20">+F34/F$42</f>
        <v>1.3058906247040314E-2</v>
      </c>
      <c r="L34" s="34">
        <f t="shared" si="20"/>
        <v>2.6300516868982468E-5</v>
      </c>
      <c r="M34" s="34">
        <f t="shared" si="20"/>
        <v>3.4414778916369418E-2</v>
      </c>
      <c r="N34" s="34">
        <f t="shared" si="20"/>
        <v>1.1374781126945977E-4</v>
      </c>
      <c r="O34" s="34">
        <f t="shared" si="20"/>
        <v>5.483985916898788E-4</v>
      </c>
    </row>
    <row r="35" spans="1:15" ht="15.75" customHeight="1">
      <c r="A35" s="293" t="s">
        <v>21</v>
      </c>
      <c r="B35" s="293"/>
      <c r="C35" s="293"/>
      <c r="D35" s="293"/>
      <c r="E35" s="293"/>
      <c r="F35" s="253">
        <f t="shared" ref="F35:J35" si="21">SUM(F29:F34)</f>
        <v>8716298352</v>
      </c>
      <c r="G35" s="253">
        <f t="shared" si="21"/>
        <v>9316737052</v>
      </c>
      <c r="H35" s="253">
        <f>SUM(H29:H34)</f>
        <v>10107761751</v>
      </c>
      <c r="I35" s="253">
        <f t="shared" si="21"/>
        <v>9388936702</v>
      </c>
      <c r="J35" s="253">
        <f t="shared" si="21"/>
        <v>10636396753</v>
      </c>
      <c r="K35" s="33">
        <f t="shared" ref="K35:O35" si="22">SUM(K29:K34)</f>
        <v>0.98162713889167708</v>
      </c>
      <c r="L35" s="33">
        <f t="shared" si="22"/>
        <v>0.95159741855082247</v>
      </c>
      <c r="M35" s="33">
        <f t="shared" si="22"/>
        <v>0.91373746478405693</v>
      </c>
      <c r="N35" s="33">
        <f t="shared" si="22"/>
        <v>0.96556536237685675</v>
      </c>
      <c r="O35" s="33">
        <f t="shared" si="22"/>
        <v>0.96831563979550239</v>
      </c>
    </row>
    <row r="36" spans="1:15" ht="15.75" customHeight="1">
      <c r="A36" s="295" t="s">
        <v>22</v>
      </c>
      <c r="B36" s="295"/>
      <c r="C36" s="295"/>
      <c r="D36" s="295"/>
      <c r="E36" s="295"/>
      <c r="F36" s="254"/>
      <c r="G36" s="254"/>
      <c r="H36" s="254"/>
      <c r="I36" s="254"/>
      <c r="J36" s="254"/>
      <c r="K36" s="37"/>
      <c r="L36" s="37"/>
      <c r="M36" s="37"/>
      <c r="N36" s="37"/>
      <c r="O36" s="37"/>
    </row>
    <row r="37" spans="1:15" ht="15.75" customHeight="1">
      <c r="A37" s="292" t="s">
        <v>16</v>
      </c>
      <c r="B37" s="292"/>
      <c r="C37" s="292"/>
      <c r="D37" s="292"/>
      <c r="E37" s="292"/>
      <c r="F37" s="257">
        <v>0</v>
      </c>
      <c r="G37" s="257">
        <v>0</v>
      </c>
      <c r="H37" s="257">
        <v>0</v>
      </c>
      <c r="I37" s="257">
        <v>0</v>
      </c>
      <c r="J37" s="257">
        <v>0</v>
      </c>
      <c r="K37" s="34">
        <f t="shared" ref="K37:O37" si="23">+F37/F$42</f>
        <v>0</v>
      </c>
      <c r="L37" s="34">
        <f t="shared" si="23"/>
        <v>0</v>
      </c>
      <c r="M37" s="34">
        <f t="shared" si="23"/>
        <v>0</v>
      </c>
      <c r="N37" s="34">
        <f t="shared" si="23"/>
        <v>0</v>
      </c>
      <c r="O37" s="34">
        <f t="shared" si="23"/>
        <v>0</v>
      </c>
    </row>
    <row r="38" spans="1:15" ht="15.75" customHeight="1">
      <c r="A38" s="292" t="s">
        <v>23</v>
      </c>
      <c r="B38" s="292"/>
      <c r="C38" s="292"/>
      <c r="D38" s="292"/>
      <c r="E38" s="292"/>
      <c r="F38" s="257">
        <v>0</v>
      </c>
      <c r="G38" s="257">
        <v>0</v>
      </c>
      <c r="H38" s="257">
        <v>0</v>
      </c>
      <c r="I38" s="257">
        <v>0</v>
      </c>
      <c r="J38" s="257">
        <v>0</v>
      </c>
      <c r="K38" s="34">
        <f t="shared" ref="K38:O38" si="24">+F38/F$42</f>
        <v>0</v>
      </c>
      <c r="L38" s="34">
        <f t="shared" si="24"/>
        <v>0</v>
      </c>
      <c r="M38" s="34">
        <f t="shared" si="24"/>
        <v>0</v>
      </c>
      <c r="N38" s="34">
        <f t="shared" si="24"/>
        <v>0</v>
      </c>
      <c r="O38" s="34">
        <f t="shared" si="24"/>
        <v>0</v>
      </c>
    </row>
    <row r="39" spans="1:15" ht="15.75" customHeight="1">
      <c r="A39" s="292" t="s">
        <v>20</v>
      </c>
      <c r="B39" s="292"/>
      <c r="C39" s="292"/>
      <c r="D39" s="292"/>
      <c r="E39" s="292"/>
      <c r="F39" s="257">
        <v>0</v>
      </c>
      <c r="G39" s="257">
        <v>0</v>
      </c>
      <c r="H39" s="257">
        <v>0</v>
      </c>
      <c r="I39" s="257">
        <v>0</v>
      </c>
      <c r="J39" s="257">
        <v>0</v>
      </c>
      <c r="K39" s="34">
        <f t="shared" ref="K39:O39" si="25">+F39/F$42</f>
        <v>0</v>
      </c>
      <c r="L39" s="34">
        <f t="shared" si="25"/>
        <v>0</v>
      </c>
      <c r="M39" s="34">
        <f t="shared" si="25"/>
        <v>0</v>
      </c>
      <c r="N39" s="34">
        <f t="shared" si="25"/>
        <v>0</v>
      </c>
      <c r="O39" s="34">
        <f t="shared" si="25"/>
        <v>0</v>
      </c>
    </row>
    <row r="40" spans="1:15" ht="15.75" customHeight="1">
      <c r="A40" s="293" t="s">
        <v>24</v>
      </c>
      <c r="B40" s="293"/>
      <c r="C40" s="293"/>
      <c r="D40" s="293"/>
      <c r="E40" s="293"/>
      <c r="F40" s="258">
        <f t="shared" ref="F40:O40" si="26">SUM(F37:F39)</f>
        <v>0</v>
      </c>
      <c r="G40" s="258">
        <f t="shared" si="26"/>
        <v>0</v>
      </c>
      <c r="H40" s="258">
        <f t="shared" si="26"/>
        <v>0</v>
      </c>
      <c r="I40" s="258">
        <f t="shared" si="26"/>
        <v>0</v>
      </c>
      <c r="J40" s="258">
        <f t="shared" si="26"/>
        <v>0</v>
      </c>
      <c r="K40" s="33">
        <f t="shared" si="26"/>
        <v>0</v>
      </c>
      <c r="L40" s="33">
        <f t="shared" si="26"/>
        <v>0</v>
      </c>
      <c r="M40" s="33">
        <f t="shared" si="26"/>
        <v>0</v>
      </c>
      <c r="N40" s="33">
        <f t="shared" si="26"/>
        <v>0</v>
      </c>
      <c r="O40" s="33">
        <f t="shared" si="26"/>
        <v>0</v>
      </c>
    </row>
    <row r="41" spans="1:15" ht="15.75" customHeight="1">
      <c r="A41" s="31"/>
      <c r="B41" s="31"/>
      <c r="C41" s="31"/>
      <c r="D41" s="31"/>
      <c r="E41" s="31"/>
      <c r="F41" s="255"/>
      <c r="G41" s="255"/>
      <c r="H41" s="255"/>
      <c r="I41" s="255"/>
      <c r="J41" s="255"/>
    </row>
    <row r="42" spans="1:15" ht="15.75" customHeight="1">
      <c r="A42" s="296" t="s">
        <v>25</v>
      </c>
      <c r="B42" s="296"/>
      <c r="C42" s="296"/>
      <c r="D42" s="296"/>
      <c r="E42" s="296"/>
      <c r="F42" s="259">
        <f t="shared" ref="F42:J42" si="27">F35+F40</f>
        <v>8716298352</v>
      </c>
      <c r="G42" s="259">
        <f t="shared" si="27"/>
        <v>9316737052</v>
      </c>
      <c r="H42" s="259">
        <f t="shared" si="27"/>
        <v>10107761751</v>
      </c>
      <c r="I42" s="259">
        <f t="shared" si="27"/>
        <v>9388936702</v>
      </c>
      <c r="J42" s="259">
        <f t="shared" si="27"/>
        <v>10636396753</v>
      </c>
    </row>
    <row r="43" spans="1:15" ht="15.75" customHeight="1">
      <c r="A43" s="31"/>
      <c r="F43" s="255"/>
      <c r="G43" s="255"/>
      <c r="H43" s="255"/>
      <c r="I43" s="255"/>
      <c r="J43" s="255"/>
    </row>
    <row r="44" spans="1:15" ht="15.75" customHeight="1">
      <c r="A44" s="295" t="s">
        <v>26</v>
      </c>
      <c r="B44" s="295"/>
      <c r="C44" s="295"/>
      <c r="D44" s="295"/>
      <c r="E44" s="295"/>
      <c r="F44" s="254"/>
      <c r="G44" s="254"/>
      <c r="H44" s="254"/>
      <c r="I44" s="254"/>
      <c r="J44" s="254"/>
      <c r="K44" s="37"/>
      <c r="L44" s="37"/>
      <c r="M44" s="37"/>
      <c r="N44" s="37"/>
      <c r="O44" s="37"/>
    </row>
    <row r="45" spans="1:15" ht="15.75" customHeight="1">
      <c r="A45" s="292" t="s">
        <v>27</v>
      </c>
      <c r="B45" s="292"/>
      <c r="C45" s="292"/>
      <c r="D45" s="292"/>
      <c r="E45" s="292"/>
      <c r="F45" s="216">
        <v>586876000</v>
      </c>
      <c r="G45" s="217">
        <v>586876000</v>
      </c>
      <c r="H45" s="217">
        <v>586876000</v>
      </c>
      <c r="I45" s="11">
        <v>431041445</v>
      </c>
      <c r="J45" s="217">
        <v>886876001</v>
      </c>
      <c r="K45" s="35">
        <f t="shared" ref="K45:O45" si="28">+F45/F$50</f>
        <v>0.2067510448157476</v>
      </c>
      <c r="L45" s="35">
        <f t="shared" si="28"/>
        <v>0.19263219654131233</v>
      </c>
      <c r="M45" s="35">
        <f t="shared" si="28"/>
        <v>0.18209045234904922</v>
      </c>
      <c r="N45" s="35">
        <f t="shared" si="28"/>
        <v>0.13093308394625486</v>
      </c>
      <c r="O45" s="35">
        <f t="shared" si="28"/>
        <v>0.24578279667605116</v>
      </c>
    </row>
    <row r="46" spans="1:15" ht="15.75" customHeight="1">
      <c r="A46" s="292" t="s">
        <v>28</v>
      </c>
      <c r="B46" s="292"/>
      <c r="C46" s="292"/>
      <c r="D46" s="292"/>
      <c r="E46" s="292"/>
      <c r="F46" s="216"/>
      <c r="G46" s="217"/>
      <c r="H46" s="217">
        <v>227840384</v>
      </c>
      <c r="I46" s="217">
        <v>251247536</v>
      </c>
      <c r="J46" s="217">
        <v>257247536</v>
      </c>
      <c r="K46" s="35">
        <f t="shared" ref="K46:O46" si="29">+F46/F$50</f>
        <v>0</v>
      </c>
      <c r="L46" s="35">
        <f t="shared" si="29"/>
        <v>0</v>
      </c>
      <c r="M46" s="35">
        <f t="shared" si="29"/>
        <v>7.0692205143745995E-2</v>
      </c>
      <c r="N46" s="35">
        <f t="shared" si="29"/>
        <v>7.6318913422299087E-2</v>
      </c>
      <c r="O46" s="35">
        <f t="shared" si="29"/>
        <v>7.1291836474108347E-2</v>
      </c>
    </row>
    <row r="47" spans="1:15" ht="15.75" customHeight="1">
      <c r="A47" s="297" t="s">
        <v>270</v>
      </c>
      <c r="B47" s="298"/>
      <c r="C47" s="298"/>
      <c r="D47" s="298"/>
      <c r="E47" s="298"/>
      <c r="F47" s="217">
        <v>5062000</v>
      </c>
      <c r="G47" s="217">
        <v>5062000</v>
      </c>
      <c r="H47" s="217">
        <v>5062000</v>
      </c>
      <c r="I47" s="217">
        <v>5062000</v>
      </c>
      <c r="J47" s="217">
        <v>5062000</v>
      </c>
      <c r="K47" s="35"/>
      <c r="L47" s="35"/>
      <c r="M47" s="35"/>
      <c r="N47" s="35"/>
      <c r="O47" s="35"/>
    </row>
    <row r="48" spans="1:15" ht="15.75" customHeight="1">
      <c r="A48" s="297" t="s">
        <v>271</v>
      </c>
      <c r="B48" s="298"/>
      <c r="C48" s="298"/>
      <c r="D48" s="298"/>
      <c r="E48" s="298"/>
      <c r="F48" s="217">
        <v>187042254</v>
      </c>
      <c r="G48" s="217">
        <v>192371821</v>
      </c>
      <c r="H48" s="217">
        <v>294071515</v>
      </c>
      <c r="I48" s="217">
        <v>230917278</v>
      </c>
      <c r="J48" s="217">
        <v>316298641</v>
      </c>
      <c r="K48" s="35">
        <f t="shared" ref="K48:O48" si="30">+F48/F$50</f>
        <v>6.5893274625632076E-2</v>
      </c>
      <c r="L48" s="35">
        <f t="shared" si="30"/>
        <v>6.3142821365811785E-2</v>
      </c>
      <c r="M48" s="35">
        <f t="shared" si="30"/>
        <v>9.1241787344038969E-2</v>
      </c>
      <c r="N48" s="35">
        <f t="shared" si="30"/>
        <v>7.0143397336222907E-2</v>
      </c>
      <c r="O48" s="35">
        <f t="shared" si="30"/>
        <v>8.7656858999631784E-2</v>
      </c>
    </row>
    <row r="49" spans="1:28" ht="15.75" customHeight="1">
      <c r="A49" s="297" t="s">
        <v>29</v>
      </c>
      <c r="B49" s="298"/>
      <c r="C49" s="298"/>
      <c r="D49" s="298"/>
      <c r="E49" s="298"/>
      <c r="F49" s="217">
        <v>2059583394</v>
      </c>
      <c r="G49" s="217">
        <v>2262304455</v>
      </c>
      <c r="H49" s="217">
        <v>2109141710</v>
      </c>
      <c r="I49" s="217">
        <v>2373806074</v>
      </c>
      <c r="J49" s="217">
        <v>2142888796</v>
      </c>
      <c r="K49" s="35">
        <f t="shared" ref="K49:O49" si="31">+F49/F$50</f>
        <v>0.72557238427651416</v>
      </c>
      <c r="L49" s="35">
        <f t="shared" si="31"/>
        <v>0.74256346555634667</v>
      </c>
      <c r="M49" s="35">
        <f t="shared" si="31"/>
        <v>0.65440496466399578</v>
      </c>
      <c r="N49" s="35">
        <f t="shared" si="31"/>
        <v>0.72106697294310451</v>
      </c>
      <c r="O49" s="35">
        <f t="shared" si="31"/>
        <v>0.59386565952037307</v>
      </c>
    </row>
    <row r="50" spans="1:28" ht="15.75" customHeight="1">
      <c r="A50" s="292" t="s">
        <v>92</v>
      </c>
      <c r="B50" s="292"/>
      <c r="C50" s="292"/>
      <c r="D50" s="292"/>
      <c r="E50" s="292"/>
      <c r="F50" s="253">
        <f>SUM(F45:F49)</f>
        <v>2838563648</v>
      </c>
      <c r="G50" s="253">
        <f t="shared" ref="G50:J50" si="32">SUM(G45:G49)</f>
        <v>3046614276</v>
      </c>
      <c r="H50" s="253">
        <f t="shared" si="32"/>
        <v>3222991609</v>
      </c>
      <c r="I50" s="253">
        <f>SUM(I45:I49)</f>
        <v>3292074333</v>
      </c>
      <c r="J50" s="253">
        <f t="shared" si="32"/>
        <v>3608372974</v>
      </c>
      <c r="K50" s="38">
        <f t="shared" ref="K50:O50" si="33">SUM(K45:K49)</f>
        <v>0.99821670371789384</v>
      </c>
      <c r="L50" s="38">
        <f t="shared" si="33"/>
        <v>0.99833848346347076</v>
      </c>
      <c r="M50" s="38">
        <f t="shared" si="33"/>
        <v>0.99842940950082992</v>
      </c>
      <c r="N50" s="38">
        <f t="shared" si="33"/>
        <v>0.99846236764788132</v>
      </c>
      <c r="O50" s="38">
        <f t="shared" si="33"/>
        <v>0.99859715167016438</v>
      </c>
    </row>
    <row r="51" spans="1:28" ht="15.75" customHeight="1">
      <c r="A51" s="31"/>
      <c r="B51" s="31"/>
      <c r="C51" s="31"/>
      <c r="D51" s="31"/>
      <c r="E51" s="31"/>
      <c r="F51" s="255"/>
      <c r="G51" s="255"/>
      <c r="H51" s="255"/>
      <c r="I51" s="255"/>
      <c r="J51" s="255"/>
    </row>
    <row r="52" spans="1:28" ht="15.75" customHeight="1">
      <c r="A52" s="296" t="s">
        <v>30</v>
      </c>
      <c r="B52" s="296"/>
      <c r="C52" s="296"/>
      <c r="D52" s="296"/>
      <c r="E52" s="296"/>
      <c r="F52" s="259">
        <f t="shared" ref="F52:J52" si="34">F42+F50</f>
        <v>11554862000</v>
      </c>
      <c r="G52" s="259">
        <f t="shared" si="34"/>
        <v>12363351328</v>
      </c>
      <c r="H52" s="259">
        <f t="shared" si="34"/>
        <v>13330753360</v>
      </c>
      <c r="I52" s="259">
        <f t="shared" si="34"/>
        <v>12681011035</v>
      </c>
      <c r="J52" s="259">
        <f t="shared" si="34"/>
        <v>14244769727</v>
      </c>
    </row>
    <row r="53" spans="1:28" ht="15.75" customHeight="1"/>
    <row r="54" spans="1:28" ht="15.75" customHeight="1">
      <c r="A54" s="299" t="s">
        <v>31</v>
      </c>
      <c r="B54" s="299"/>
      <c r="C54" s="299"/>
      <c r="D54" s="299"/>
      <c r="E54" s="299"/>
      <c r="F54" s="45">
        <f t="shared" ref="F54:J54" si="35">F52-F26</f>
        <v>0</v>
      </c>
      <c r="G54" s="45">
        <f t="shared" si="35"/>
        <v>0</v>
      </c>
      <c r="H54" s="45">
        <f t="shared" si="35"/>
        <v>0</v>
      </c>
      <c r="I54" s="45">
        <f t="shared" si="35"/>
        <v>0</v>
      </c>
      <c r="J54" s="45">
        <f t="shared" si="35"/>
        <v>0</v>
      </c>
    </row>
    <row r="55" spans="1:28" ht="15.75" customHeight="1"/>
    <row r="56" spans="1:28" ht="27.75" customHeight="1">
      <c r="A56" s="290"/>
      <c r="B56" s="290"/>
      <c r="C56" s="290"/>
      <c r="D56" s="290"/>
      <c r="E56" s="290"/>
      <c r="F56" s="290"/>
      <c r="G56" s="290"/>
      <c r="H56" s="290"/>
      <c r="I56" s="290"/>
      <c r="J56" s="290"/>
    </row>
    <row r="57" spans="1:28" ht="15.75" customHeight="1">
      <c r="A57" s="290"/>
      <c r="B57" s="290"/>
      <c r="C57" s="290"/>
      <c r="D57" s="290"/>
      <c r="E57" s="290"/>
      <c r="F57" s="290"/>
      <c r="G57" s="290"/>
      <c r="H57" s="290"/>
      <c r="I57" s="290"/>
      <c r="J57" s="290"/>
    </row>
    <row r="58" spans="1:28" ht="15.75" customHeight="1">
      <c r="A58" s="290"/>
      <c r="B58" s="290"/>
      <c r="C58" s="290"/>
      <c r="D58" s="290"/>
      <c r="E58" s="290"/>
      <c r="F58" s="290"/>
      <c r="G58" s="290"/>
      <c r="H58" s="290"/>
      <c r="I58" s="290"/>
      <c r="J58" s="290"/>
      <c r="K58" s="172">
        <f>+J63/J62</f>
        <v>0.7558932185733227</v>
      </c>
    </row>
    <row r="59" spans="1:28" ht="15.75" customHeight="1">
      <c r="A59" s="290"/>
      <c r="B59" s="290"/>
      <c r="C59" s="290"/>
      <c r="D59" s="290"/>
      <c r="E59" s="290"/>
      <c r="F59" s="290"/>
      <c r="G59" s="290"/>
      <c r="H59" s="290"/>
      <c r="I59" s="290"/>
      <c r="J59" s="290"/>
    </row>
    <row r="60" spans="1:28" ht="15.75" customHeight="1">
      <c r="A60" s="294" t="s">
        <v>32</v>
      </c>
      <c r="B60" s="294"/>
      <c r="C60" s="294"/>
      <c r="D60" s="294"/>
      <c r="E60" s="294"/>
      <c r="F60" s="46">
        <v>2018</v>
      </c>
      <c r="G60" s="46">
        <v>2019</v>
      </c>
      <c r="H60" s="46">
        <v>2020</v>
      </c>
      <c r="I60" s="46">
        <v>2021</v>
      </c>
      <c r="J60" s="46">
        <v>2022</v>
      </c>
      <c r="K60" s="47">
        <f t="shared" ref="K60:O60" si="36">K10</f>
        <v>2018</v>
      </c>
      <c r="L60" s="47">
        <f t="shared" si="36"/>
        <v>2019</v>
      </c>
      <c r="M60" s="47">
        <f t="shared" si="36"/>
        <v>2020</v>
      </c>
      <c r="N60" s="47">
        <f t="shared" si="36"/>
        <v>2021</v>
      </c>
      <c r="O60" s="47">
        <f t="shared" si="36"/>
        <v>2022</v>
      </c>
      <c r="P60" s="47" t="s">
        <v>33</v>
      </c>
      <c r="R60" s="48" t="s">
        <v>34</v>
      </c>
      <c r="S60" s="48" t="s">
        <v>35</v>
      </c>
      <c r="U60" s="49" t="s">
        <v>34</v>
      </c>
      <c r="V60" s="49" t="s">
        <v>35</v>
      </c>
    </row>
    <row r="61" spans="1:28" ht="15.75" customHeight="1">
      <c r="A61" s="295" t="s">
        <v>36</v>
      </c>
      <c r="B61" s="295"/>
      <c r="C61" s="295"/>
      <c r="D61" s="295"/>
      <c r="E61" s="295"/>
      <c r="F61" s="37"/>
      <c r="G61" s="37"/>
      <c r="H61" s="37"/>
      <c r="I61" s="37"/>
      <c r="J61" s="37"/>
      <c r="K61" s="291" t="s">
        <v>37</v>
      </c>
      <c r="L61" s="291"/>
      <c r="M61" s="291"/>
      <c r="N61" s="291"/>
      <c r="O61" s="291"/>
      <c r="P61" s="50"/>
      <c r="R61" s="291" t="s">
        <v>38</v>
      </c>
      <c r="S61" s="291"/>
      <c r="U61" s="289" t="s">
        <v>39</v>
      </c>
      <c r="V61" s="289"/>
      <c r="Y61" s="290" t="s">
        <v>40</v>
      </c>
      <c r="Z61" s="290"/>
      <c r="AA61" s="290"/>
      <c r="AB61" s="290"/>
    </row>
    <row r="62" spans="1:28" ht="15.75" customHeight="1">
      <c r="A62" s="292" t="s">
        <v>41</v>
      </c>
      <c r="B62" s="292"/>
      <c r="C62" s="292"/>
      <c r="D62" s="292"/>
      <c r="E62" s="292"/>
      <c r="F62" s="216">
        <v>16705472817</v>
      </c>
      <c r="G62" s="216">
        <v>20474224826</v>
      </c>
      <c r="H62" s="216">
        <v>21563111744</v>
      </c>
      <c r="I62" s="216">
        <v>22145181018</v>
      </c>
      <c r="J62" s="216">
        <v>33287737602</v>
      </c>
      <c r="K62" s="33">
        <f t="shared" ref="K62:O62" si="37">+F62/F$62</f>
        <v>1</v>
      </c>
      <c r="L62" s="33">
        <f t="shared" si="37"/>
        <v>1</v>
      </c>
      <c r="M62" s="33">
        <f t="shared" si="37"/>
        <v>1</v>
      </c>
      <c r="N62" s="33">
        <f t="shared" si="37"/>
        <v>1</v>
      </c>
      <c r="O62" s="33">
        <f t="shared" si="37"/>
        <v>1</v>
      </c>
      <c r="P62" s="33">
        <f t="shared" ref="P62:P67" si="38">AVERAGE(K62:O62)</f>
        <v>1</v>
      </c>
      <c r="R62" s="27" t="s">
        <v>42</v>
      </c>
      <c r="S62" s="33">
        <f t="shared" ref="S62:S63" si="39">+P62</f>
        <v>1</v>
      </c>
      <c r="T62" s="34"/>
      <c r="U62" s="27" t="s">
        <v>42</v>
      </c>
      <c r="V62" s="33">
        <f>+S62</f>
        <v>1</v>
      </c>
      <c r="Y62" s="51" t="s">
        <v>43</v>
      </c>
      <c r="Z62" s="52" t="s">
        <v>44</v>
      </c>
      <c r="AA62" s="53" t="s">
        <v>45</v>
      </c>
      <c r="AB62" s="54" t="s">
        <v>46</v>
      </c>
    </row>
    <row r="63" spans="1:28" ht="15.75" customHeight="1">
      <c r="A63" s="292" t="s">
        <v>47</v>
      </c>
      <c r="B63" s="292"/>
      <c r="C63" s="292"/>
      <c r="D63" s="292"/>
      <c r="E63" s="292"/>
      <c r="F63" s="261">
        <v>11371682199</v>
      </c>
      <c r="G63" s="261">
        <v>13730508262</v>
      </c>
      <c r="H63" s="261">
        <v>14156993557</v>
      </c>
      <c r="I63" s="216">
        <v>15801044352</v>
      </c>
      <c r="J63" s="216">
        <v>25161975115</v>
      </c>
      <c r="K63" s="35">
        <f t="shared" ref="K63:O63" si="40">+F63/F$62</f>
        <v>0.68071597395482442</v>
      </c>
      <c r="L63" s="35">
        <f t="shared" si="40"/>
        <v>0.6706240836314239</v>
      </c>
      <c r="M63" s="35">
        <f t="shared" si="40"/>
        <v>0.6565375964783573</v>
      </c>
      <c r="N63" s="35">
        <f t="shared" si="40"/>
        <v>0.71352066795735958</v>
      </c>
      <c r="O63" s="35">
        <f t="shared" si="40"/>
        <v>0.7558932185733227</v>
      </c>
      <c r="P63" s="38">
        <f t="shared" si="38"/>
        <v>0.69545830811905751</v>
      </c>
      <c r="Q63" s="34"/>
      <c r="R63" s="27" t="s">
        <v>48</v>
      </c>
      <c r="S63" s="34">
        <f t="shared" si="39"/>
        <v>0.69545830811905751</v>
      </c>
      <c r="T63" s="34"/>
      <c r="U63" s="27" t="s">
        <v>48</v>
      </c>
      <c r="V63" s="34">
        <f>+Z63</f>
        <v>0.5</v>
      </c>
      <c r="X63" s="27" t="s">
        <v>48</v>
      </c>
      <c r="Y63" s="55">
        <v>0.4</v>
      </c>
      <c r="Z63" s="55">
        <v>0.5</v>
      </c>
      <c r="AA63" s="55">
        <v>0.6</v>
      </c>
      <c r="AB63" s="56">
        <v>0.7</v>
      </c>
    </row>
    <row r="64" spans="1:28" ht="15.75" customHeight="1">
      <c r="A64" s="293" t="s">
        <v>49</v>
      </c>
      <c r="B64" s="293"/>
      <c r="C64" s="293"/>
      <c r="D64" s="293"/>
      <c r="E64" s="293"/>
      <c r="F64" s="262">
        <f t="shared" ref="F64:J64" si="41">F62-F63</f>
        <v>5333790618</v>
      </c>
      <c r="G64" s="262">
        <f t="shared" si="41"/>
        <v>6743716564</v>
      </c>
      <c r="H64" s="262">
        <f t="shared" si="41"/>
        <v>7406118187</v>
      </c>
      <c r="I64" s="262">
        <f t="shared" si="41"/>
        <v>6344136666</v>
      </c>
      <c r="J64" s="262">
        <f t="shared" si="41"/>
        <v>8125762487</v>
      </c>
      <c r="K64" s="38">
        <f t="shared" ref="K64:O64" si="42">+F64/F$62</f>
        <v>0.31928402604517553</v>
      </c>
      <c r="L64" s="38">
        <f t="shared" si="42"/>
        <v>0.32937591636857605</v>
      </c>
      <c r="M64" s="38">
        <f t="shared" si="42"/>
        <v>0.34346240352164265</v>
      </c>
      <c r="N64" s="38">
        <f t="shared" si="42"/>
        <v>0.28647933204264042</v>
      </c>
      <c r="O64" s="38">
        <f t="shared" si="42"/>
        <v>0.24410678142667727</v>
      </c>
      <c r="P64" s="38">
        <f t="shared" si="38"/>
        <v>0.30454169188094238</v>
      </c>
      <c r="R64" s="21" t="s">
        <v>50</v>
      </c>
      <c r="S64" s="34">
        <f>+P65+P66</f>
        <v>0.24415072945707544</v>
      </c>
      <c r="T64" s="34"/>
      <c r="U64" s="21" t="s">
        <v>50</v>
      </c>
      <c r="V64" s="34">
        <f>+AA64</f>
        <v>0.3</v>
      </c>
      <c r="X64" s="27" t="s">
        <v>50</v>
      </c>
      <c r="Y64" s="55">
        <v>0.2</v>
      </c>
      <c r="Z64" s="55">
        <v>0.25</v>
      </c>
      <c r="AA64" s="56">
        <v>0.3</v>
      </c>
      <c r="AB64" s="58"/>
    </row>
    <row r="65" spans="1:28" ht="15.75" customHeight="1">
      <c r="A65" s="292" t="s">
        <v>51</v>
      </c>
      <c r="B65" s="292"/>
      <c r="C65" s="292"/>
      <c r="D65" s="292"/>
      <c r="E65" s="292"/>
      <c r="F65" s="263">
        <v>1399997826</v>
      </c>
      <c r="G65" s="263">
        <v>1887304063</v>
      </c>
      <c r="H65" s="263">
        <v>2008921908</v>
      </c>
      <c r="I65" s="263">
        <v>1251540197</v>
      </c>
      <c r="J65" s="263">
        <v>2340839169</v>
      </c>
      <c r="K65" s="35">
        <f t="shared" ref="K65:O65" si="43">+F65/F$62</f>
        <v>8.3804741196868093E-2</v>
      </c>
      <c r="L65" s="35">
        <f t="shared" si="43"/>
        <v>9.217951248651586E-2</v>
      </c>
      <c r="M65" s="35">
        <f t="shared" si="43"/>
        <v>9.3164749682243267E-2</v>
      </c>
      <c r="N65" s="35">
        <f t="shared" si="43"/>
        <v>5.6515238957980322E-2</v>
      </c>
      <c r="O65" s="35">
        <f t="shared" si="43"/>
        <v>7.032136569291382E-2</v>
      </c>
      <c r="P65" s="38">
        <f t="shared" si="38"/>
        <v>7.9197121603304263E-2</v>
      </c>
      <c r="Q65" s="34"/>
      <c r="R65" s="33" t="s">
        <v>52</v>
      </c>
      <c r="S65" s="33">
        <f>+S63+S64</f>
        <v>0.93960903757613301</v>
      </c>
      <c r="T65" s="33"/>
      <c r="U65" s="33" t="s">
        <v>52</v>
      </c>
      <c r="V65" s="33">
        <f>+V63+V64</f>
        <v>0.8</v>
      </c>
      <c r="Y65" s="58"/>
      <c r="Z65" s="58"/>
      <c r="AA65" s="58"/>
      <c r="AB65" s="58"/>
    </row>
    <row r="66" spans="1:28" ht="15.75" customHeight="1">
      <c r="A66" s="292" t="s">
        <v>53</v>
      </c>
      <c r="B66" s="292"/>
      <c r="C66" s="292"/>
      <c r="D66" s="292"/>
      <c r="E66" s="292"/>
      <c r="F66" s="263">
        <v>2100122025</v>
      </c>
      <c r="G66" s="263">
        <v>3783610423</v>
      </c>
      <c r="H66" s="263">
        <v>4159403862</v>
      </c>
      <c r="I66" s="263">
        <v>4243395166</v>
      </c>
      <c r="J66" s="263">
        <v>4318857792</v>
      </c>
      <c r="K66" s="35">
        <f t="shared" ref="K66:O66" si="44">+F66/F$62</f>
        <v>0.12571461149323782</v>
      </c>
      <c r="L66" s="35">
        <f t="shared" si="44"/>
        <v>0.18479871424461616</v>
      </c>
      <c r="M66" s="35">
        <f t="shared" si="44"/>
        <v>0.19289441669555724</v>
      </c>
      <c r="N66" s="35">
        <f t="shared" si="44"/>
        <v>0.1916170909847561</v>
      </c>
      <c r="O66" s="35">
        <f t="shared" si="44"/>
        <v>0.1297432058506888</v>
      </c>
      <c r="P66" s="38">
        <f t="shared" si="38"/>
        <v>0.16495360785377119</v>
      </c>
      <c r="Q66" s="34"/>
      <c r="R66" s="27" t="s">
        <v>54</v>
      </c>
      <c r="S66" s="33">
        <f>+S62-S65</f>
        <v>6.039096242386699E-2</v>
      </c>
      <c r="T66" s="33"/>
      <c r="U66" s="27" t="s">
        <v>54</v>
      </c>
      <c r="V66" s="33">
        <f>+V62-V65</f>
        <v>0.19999999999999996</v>
      </c>
      <c r="Y66" s="290" t="s">
        <v>55</v>
      </c>
      <c r="Z66" s="290"/>
      <c r="AA66" s="290"/>
      <c r="AB66" s="22"/>
    </row>
    <row r="67" spans="1:28" ht="15.75" customHeight="1">
      <c r="A67" s="293" t="s">
        <v>56</v>
      </c>
      <c r="B67" s="293"/>
      <c r="C67" s="293"/>
      <c r="D67" s="293"/>
      <c r="E67" s="293"/>
      <c r="F67" s="262">
        <f t="shared" ref="F67:J67" si="45">F64-F65-F66</f>
        <v>1833670767</v>
      </c>
      <c r="G67" s="262">
        <f t="shared" si="45"/>
        <v>1072802078</v>
      </c>
      <c r="H67" s="262">
        <f t="shared" si="45"/>
        <v>1237792417</v>
      </c>
      <c r="I67" s="262">
        <f t="shared" si="45"/>
        <v>849201303</v>
      </c>
      <c r="J67" s="262">
        <f t="shared" si="45"/>
        <v>1466065526</v>
      </c>
      <c r="K67" s="33">
        <f t="shared" ref="K67:O67" si="46">+F67/F$62</f>
        <v>0.10976467335506963</v>
      </c>
      <c r="L67" s="33">
        <f t="shared" si="46"/>
        <v>5.2397689637444053E-2</v>
      </c>
      <c r="M67" s="33">
        <f t="shared" si="46"/>
        <v>5.7403237143842163E-2</v>
      </c>
      <c r="N67" s="33">
        <f t="shared" si="46"/>
        <v>3.8347002099903993E-2</v>
      </c>
      <c r="O67" s="33">
        <f t="shared" si="46"/>
        <v>4.4042209883074647E-2</v>
      </c>
      <c r="P67" s="33">
        <f t="shared" si="38"/>
        <v>6.0390962423866899E-2</v>
      </c>
      <c r="R67" s="21" t="s">
        <v>57</v>
      </c>
      <c r="S67" s="34">
        <f>+P69</f>
        <v>1.0760809520405415E-2</v>
      </c>
      <c r="T67" s="34"/>
      <c r="U67" s="21" t="s">
        <v>57</v>
      </c>
      <c r="V67" s="34">
        <f t="shared" ref="V67:V69" si="47">+S67</f>
        <v>1.0760809520405415E-2</v>
      </c>
      <c r="Y67" s="59" t="s">
        <v>58</v>
      </c>
      <c r="Z67" s="59" t="s">
        <v>59</v>
      </c>
      <c r="AA67" s="59" t="s">
        <v>60</v>
      </c>
      <c r="AB67" s="58"/>
    </row>
    <row r="68" spans="1:28" ht="15.75" customHeight="1">
      <c r="A68" s="295" t="s">
        <v>61</v>
      </c>
      <c r="B68" s="295"/>
      <c r="C68" s="295"/>
      <c r="D68" s="295"/>
      <c r="E68" s="295"/>
      <c r="F68" s="37"/>
      <c r="G68" s="37"/>
      <c r="H68" s="37"/>
      <c r="I68" s="37"/>
      <c r="J68" s="37"/>
      <c r="K68" s="50"/>
      <c r="L68" s="50"/>
      <c r="M68" s="50"/>
      <c r="N68" s="50"/>
      <c r="O68" s="50"/>
      <c r="P68" s="60"/>
      <c r="R68" s="21" t="s">
        <v>62</v>
      </c>
      <c r="S68" s="34">
        <f>+P70+P71</f>
        <v>4.2688530366620132E-2</v>
      </c>
      <c r="T68" s="34"/>
      <c r="U68" s="21" t="s">
        <v>62</v>
      </c>
      <c r="V68" s="34">
        <f t="shared" si="47"/>
        <v>4.2688530366620132E-2</v>
      </c>
      <c r="X68" s="27" t="s">
        <v>48</v>
      </c>
      <c r="Y68" s="24">
        <f t="shared" ref="Y68:Y69" si="48">+S63</f>
        <v>0.69545830811905751</v>
      </c>
      <c r="Z68" s="55">
        <f>+Z63</f>
        <v>0.5</v>
      </c>
      <c r="AA68" s="61">
        <f t="shared" ref="AA68:AA69" si="49">+Y68-Z68</f>
        <v>0.19545830811905751</v>
      </c>
      <c r="AB68" s="62"/>
    </row>
    <row r="69" spans="1:28" ht="15.75" customHeight="1">
      <c r="A69" s="292" t="s">
        <v>63</v>
      </c>
      <c r="B69" s="292"/>
      <c r="C69" s="292"/>
      <c r="D69" s="292"/>
      <c r="E69" s="292"/>
      <c r="F69" s="263">
        <v>60951359</v>
      </c>
      <c r="G69" s="217">
        <v>276252254</v>
      </c>
      <c r="H69" s="217">
        <v>125247009</v>
      </c>
      <c r="I69" s="263">
        <v>525543088</v>
      </c>
      <c r="J69" s="263">
        <v>237097617</v>
      </c>
      <c r="K69" s="34">
        <f t="shared" ref="K69:O69" si="50">+F69/F$62</f>
        <v>3.648586284727843E-3</v>
      </c>
      <c r="L69" s="34">
        <f t="shared" si="50"/>
        <v>1.3492684404304782E-2</v>
      </c>
      <c r="M69" s="34">
        <f t="shared" si="50"/>
        <v>5.808392150768794E-3</v>
      </c>
      <c r="N69" s="34">
        <f t="shared" si="50"/>
        <v>2.3731713349862852E-2</v>
      </c>
      <c r="O69" s="34">
        <f t="shared" si="50"/>
        <v>7.1226714123628111E-3</v>
      </c>
      <c r="P69" s="33">
        <f t="shared" ref="P69:P71" si="51">AVERAGE(K69:O69)</f>
        <v>1.0760809520405415E-2</v>
      </c>
      <c r="R69" s="21" t="s">
        <v>64</v>
      </c>
      <c r="S69" s="34">
        <f>+P74</f>
        <v>1.513204096845043E-2</v>
      </c>
      <c r="T69" s="34"/>
      <c r="U69" s="21" t="s">
        <v>64</v>
      </c>
      <c r="V69" s="34">
        <f t="shared" si="47"/>
        <v>1.513204096845043E-2</v>
      </c>
      <c r="X69" s="27" t="s">
        <v>50</v>
      </c>
      <c r="Y69" s="24">
        <f t="shared" si="48"/>
        <v>0.24415072945707544</v>
      </c>
      <c r="Z69" s="55">
        <f>+AA64</f>
        <v>0.3</v>
      </c>
      <c r="AA69" s="61">
        <f t="shared" si="49"/>
        <v>-5.5849270542924545E-2</v>
      </c>
      <c r="AB69" s="62"/>
    </row>
    <row r="70" spans="1:28" ht="15.75" customHeight="1">
      <c r="A70" s="292" t="s">
        <v>65</v>
      </c>
      <c r="B70" s="292"/>
      <c r="C70" s="292"/>
      <c r="D70" s="292"/>
      <c r="E70" s="292"/>
      <c r="F70" s="263">
        <v>6816537</v>
      </c>
      <c r="G70" s="263">
        <v>2936105</v>
      </c>
      <c r="H70" s="263">
        <v>0</v>
      </c>
      <c r="I70" s="263">
        <v>366325798</v>
      </c>
      <c r="J70" s="263">
        <v>133891372</v>
      </c>
      <c r="K70" s="34">
        <f t="shared" ref="K70:O70" si="52">+F70/F$62</f>
        <v>4.0804214730535992E-4</v>
      </c>
      <c r="L70" s="34">
        <f t="shared" si="52"/>
        <v>1.4340494084403487E-4</v>
      </c>
      <c r="M70" s="34">
        <f t="shared" si="52"/>
        <v>0</v>
      </c>
      <c r="N70" s="34">
        <f t="shared" si="52"/>
        <v>1.6542009645450349E-2</v>
      </c>
      <c r="O70" s="34">
        <f t="shared" si="52"/>
        <v>4.0222430734360125E-3</v>
      </c>
      <c r="P70" s="33">
        <f t="shared" si="51"/>
        <v>4.2231399614071508E-3</v>
      </c>
      <c r="R70" s="27" t="s">
        <v>66</v>
      </c>
      <c r="S70" s="33">
        <f>+S66+S67-S68-S69</f>
        <v>1.3331200609201836E-2</v>
      </c>
      <c r="T70" s="33"/>
      <c r="U70" s="27" t="s">
        <v>66</v>
      </c>
      <c r="V70" s="33">
        <f>+V66+V67-V68-V69</f>
        <v>0.15294023818533481</v>
      </c>
      <c r="Y70" s="58"/>
      <c r="Z70" s="58"/>
      <c r="AA70" s="58"/>
      <c r="AB70" s="58"/>
    </row>
    <row r="71" spans="1:28" ht="15.75" customHeight="1">
      <c r="A71" s="292" t="s">
        <v>67</v>
      </c>
      <c r="B71" s="292"/>
      <c r="C71" s="292"/>
      <c r="D71" s="292"/>
      <c r="E71" s="292"/>
      <c r="F71" s="263">
        <v>872635121</v>
      </c>
      <c r="G71" s="263">
        <v>806085597</v>
      </c>
      <c r="H71" s="263">
        <v>827579911</v>
      </c>
      <c r="I71" s="263">
        <v>744684873</v>
      </c>
      <c r="J71" s="263">
        <v>955787173</v>
      </c>
      <c r="K71" s="34">
        <f t="shared" ref="K71:O71" si="53">+F71/F$62</f>
        <v>5.2236481454866687E-2</v>
      </c>
      <c r="L71" s="34">
        <f t="shared" si="53"/>
        <v>3.937075048508603E-2</v>
      </c>
      <c r="M71" s="34">
        <f t="shared" si="53"/>
        <v>3.8379428758944151E-2</v>
      </c>
      <c r="N71" s="34">
        <f t="shared" si="53"/>
        <v>3.3627400579598191E-2</v>
      </c>
      <c r="O71" s="34">
        <f t="shared" si="53"/>
        <v>2.8712890747569886E-2</v>
      </c>
      <c r="P71" s="33">
        <f t="shared" si="51"/>
        <v>3.8465390405212983E-2</v>
      </c>
      <c r="S71" s="43"/>
    </row>
    <row r="72" spans="1:28" ht="15.75" customHeight="1">
      <c r="A72" s="295" t="s">
        <v>68</v>
      </c>
      <c r="B72" s="295"/>
      <c r="C72" s="295"/>
      <c r="D72" s="295"/>
      <c r="E72" s="295"/>
      <c r="F72" s="37"/>
      <c r="G72" s="37"/>
      <c r="H72" s="37"/>
      <c r="I72" s="37"/>
      <c r="J72" s="37"/>
      <c r="K72" s="50"/>
      <c r="L72" s="50"/>
      <c r="M72" s="50"/>
      <c r="N72" s="50"/>
      <c r="O72" s="50"/>
      <c r="P72" s="60"/>
      <c r="S72" s="43"/>
      <c r="T72" s="43"/>
    </row>
    <row r="73" spans="1:28" ht="15.75" customHeight="1">
      <c r="A73" s="293" t="s">
        <v>69</v>
      </c>
      <c r="B73" s="293"/>
      <c r="C73" s="293"/>
      <c r="D73" s="293"/>
      <c r="E73" s="293"/>
      <c r="F73" s="262">
        <f>F67+F69-F70-F71</f>
        <v>1015170468</v>
      </c>
      <c r="G73" s="262">
        <f t="shared" ref="G73:J73" si="54">G67+G69-G70-G71</f>
        <v>540032630</v>
      </c>
      <c r="H73" s="262">
        <f t="shared" si="54"/>
        <v>535459515</v>
      </c>
      <c r="I73" s="262">
        <f t="shared" si="54"/>
        <v>263733720</v>
      </c>
      <c r="J73" s="262">
        <f t="shared" si="54"/>
        <v>613484598</v>
      </c>
      <c r="K73" s="33">
        <f t="shared" ref="K73:O73" si="55">+F73/F$62</f>
        <v>6.0768736037625434E-2</v>
      </c>
      <c r="L73" s="33">
        <f t="shared" si="55"/>
        <v>2.6376218615818771E-2</v>
      </c>
      <c r="M73" s="33">
        <f t="shared" si="55"/>
        <v>2.4832200535666805E-2</v>
      </c>
      <c r="N73" s="33">
        <f t="shared" si="55"/>
        <v>1.1909305224718303E-2</v>
      </c>
      <c r="O73" s="33">
        <f t="shared" si="55"/>
        <v>1.842974747443156E-2</v>
      </c>
      <c r="P73" s="33">
        <f t="shared" ref="P73:P75" si="56">AVERAGE(K73:O73)</f>
        <v>2.8463241577652176E-2</v>
      </c>
    </row>
    <row r="74" spans="1:28" ht="15.75" customHeight="1">
      <c r="A74" s="292" t="s">
        <v>70</v>
      </c>
      <c r="B74" s="292"/>
      <c r="C74" s="292"/>
      <c r="D74" s="292"/>
      <c r="E74" s="292"/>
      <c r="F74" s="263">
        <v>403412000</v>
      </c>
      <c r="G74" s="263">
        <v>185347000</v>
      </c>
      <c r="H74" s="263">
        <v>241388000</v>
      </c>
      <c r="I74" s="263">
        <v>494651000</v>
      </c>
      <c r="J74" s="263">
        <v>297185957</v>
      </c>
      <c r="K74" s="34">
        <f t="shared" ref="K74:O74" si="57">+F74/F$62</f>
        <v>2.4148493396096853E-2</v>
      </c>
      <c r="L74" s="34">
        <f t="shared" si="57"/>
        <v>9.0526992633503667E-3</v>
      </c>
      <c r="M74" s="34">
        <f t="shared" si="57"/>
        <v>1.1194488201229442E-2</v>
      </c>
      <c r="N74" s="34">
        <f t="shared" si="57"/>
        <v>2.2336733197075194E-2</v>
      </c>
      <c r="O74" s="34">
        <f t="shared" si="57"/>
        <v>8.9277907845003081E-3</v>
      </c>
      <c r="P74" s="33">
        <f t="shared" si="56"/>
        <v>1.513204096845043E-2</v>
      </c>
    </row>
    <row r="75" spans="1:28" ht="15.75" customHeight="1">
      <c r="A75" s="293" t="s">
        <v>71</v>
      </c>
      <c r="B75" s="293"/>
      <c r="C75" s="293"/>
      <c r="D75" s="293"/>
      <c r="E75" s="293"/>
      <c r="F75" s="262">
        <f>F73-F74</f>
        <v>611758468</v>
      </c>
      <c r="G75" s="262">
        <f t="shared" ref="G75:J75" si="58">G73-G74</f>
        <v>354685630</v>
      </c>
      <c r="H75" s="262">
        <f t="shared" si="58"/>
        <v>294071515</v>
      </c>
      <c r="I75" s="262">
        <f t="shared" si="58"/>
        <v>-230917280</v>
      </c>
      <c r="J75" s="262">
        <f t="shared" si="58"/>
        <v>316298641</v>
      </c>
      <c r="K75" s="33">
        <f t="shared" ref="K75:O75" si="59">+F75/F$62</f>
        <v>3.6620242641528584E-2</v>
      </c>
      <c r="L75" s="33">
        <f t="shared" si="59"/>
        <v>1.7323519352468401E-2</v>
      </c>
      <c r="M75" s="33">
        <f t="shared" si="59"/>
        <v>1.3637712334437365E-2</v>
      </c>
      <c r="N75" s="33">
        <f t="shared" si="59"/>
        <v>-1.0427427972356889E-2</v>
      </c>
      <c r="O75" s="33">
        <f t="shared" si="59"/>
        <v>9.5019566899312517E-3</v>
      </c>
      <c r="P75" s="33">
        <f t="shared" si="56"/>
        <v>1.3331200609201743E-2</v>
      </c>
    </row>
    <row r="76" spans="1:28" ht="15.75" customHeight="1">
      <c r="G76" s="63"/>
      <c r="H76" s="63"/>
      <c r="I76" s="63"/>
      <c r="J76" s="63"/>
      <c r="K76" s="63"/>
      <c r="L76" s="63"/>
      <c r="M76" s="63"/>
      <c r="N76" s="63"/>
      <c r="O76" s="63"/>
    </row>
    <row r="77" spans="1:28" ht="15.75" customHeight="1"/>
    <row r="78" spans="1:28" ht="15.75" customHeight="1">
      <c r="B78" s="21" t="s">
        <v>72</v>
      </c>
      <c r="F78" s="64"/>
    </row>
    <row r="79" spans="1:28" ht="15.75" customHeight="1">
      <c r="A79" s="27" t="s">
        <v>73</v>
      </c>
      <c r="F79" s="46">
        <f t="shared" ref="F79:J79" si="60">F60</f>
        <v>2018</v>
      </c>
      <c r="G79" s="46">
        <f t="shared" si="60"/>
        <v>2019</v>
      </c>
      <c r="H79" s="46">
        <f t="shared" si="60"/>
        <v>2020</v>
      </c>
      <c r="I79" s="46">
        <f t="shared" si="60"/>
        <v>2021</v>
      </c>
      <c r="J79" s="46">
        <f t="shared" si="60"/>
        <v>2022</v>
      </c>
    </row>
    <row r="80" spans="1:28" ht="15.75" customHeight="1">
      <c r="A80" s="21" t="s">
        <v>74</v>
      </c>
      <c r="F80" s="216">
        <v>493803100</v>
      </c>
      <c r="G80" s="216">
        <v>780704399</v>
      </c>
      <c r="H80" s="216">
        <v>789070726</v>
      </c>
      <c r="I80" s="216">
        <v>465856844</v>
      </c>
      <c r="J80" s="216">
        <v>407852963</v>
      </c>
    </row>
    <row r="81" spans="1:13" ht="15.75" customHeight="1">
      <c r="A81" s="21" t="s">
        <v>75</v>
      </c>
      <c r="F81" s="264">
        <v>253697068</v>
      </c>
      <c r="G81" s="264">
        <v>291818626</v>
      </c>
      <c r="H81" s="264">
        <v>259000141</v>
      </c>
      <c r="I81" s="216">
        <v>0</v>
      </c>
      <c r="J81" s="216">
        <v>14584656</v>
      </c>
      <c r="M81" s="43"/>
    </row>
    <row r="82" spans="1:13" ht="15.75" customHeight="1"/>
    <row r="83" spans="1:13" ht="15.75" customHeight="1"/>
    <row r="84" spans="1:13" ht="15.75" customHeight="1"/>
    <row r="85" spans="1:13" ht="15.75" customHeight="1"/>
    <row r="86" spans="1:13" ht="15.75" customHeight="1"/>
    <row r="87" spans="1:13" ht="15.75" customHeight="1"/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</sheetData>
  <mergeCells count="65">
    <mergeCell ref="A47:E47"/>
    <mergeCell ref="A18:E18"/>
    <mergeCell ref="A10:E10"/>
    <mergeCell ref="A22:E22"/>
    <mergeCell ref="A15:E15"/>
    <mergeCell ref="A16:E16"/>
    <mergeCell ref="A17:E17"/>
    <mergeCell ref="A20:E20"/>
    <mergeCell ref="A19:E19"/>
    <mergeCell ref="A30:E30"/>
    <mergeCell ref="A28:E28"/>
    <mergeCell ref="A31:E31"/>
    <mergeCell ref="A24:E24"/>
    <mergeCell ref="A23:E23"/>
    <mergeCell ref="A21:E21"/>
    <mergeCell ref="A26:E26"/>
    <mergeCell ref="K11:O11"/>
    <mergeCell ref="A11:E11"/>
    <mergeCell ref="A13:E13"/>
    <mergeCell ref="A14:E14"/>
    <mergeCell ref="A12:E12"/>
    <mergeCell ref="A59:J59"/>
    <mergeCell ref="A64:E64"/>
    <mergeCell ref="A65:E65"/>
    <mergeCell ref="A49:E49"/>
    <mergeCell ref="A48:E48"/>
    <mergeCell ref="A50:E50"/>
    <mergeCell ref="A52:E52"/>
    <mergeCell ref="A54:E54"/>
    <mergeCell ref="A56:J56"/>
    <mergeCell ref="A57:J57"/>
    <mergeCell ref="A58:J58"/>
    <mergeCell ref="A29:E29"/>
    <mergeCell ref="A44:E44"/>
    <mergeCell ref="A32:E32"/>
    <mergeCell ref="A34:E34"/>
    <mergeCell ref="A38:E38"/>
    <mergeCell ref="A37:E37"/>
    <mergeCell ref="A36:E36"/>
    <mergeCell ref="A35:E35"/>
    <mergeCell ref="A33:E33"/>
    <mergeCell ref="A46:E46"/>
    <mergeCell ref="A42:E42"/>
    <mergeCell ref="A45:E45"/>
    <mergeCell ref="A39:E39"/>
    <mergeCell ref="A40:E40"/>
    <mergeCell ref="A74:E74"/>
    <mergeCell ref="A75:E75"/>
    <mergeCell ref="A60:E60"/>
    <mergeCell ref="A68:E68"/>
    <mergeCell ref="A62:E62"/>
    <mergeCell ref="A63:E63"/>
    <mergeCell ref="A61:E61"/>
    <mergeCell ref="A73:E73"/>
    <mergeCell ref="A69:E69"/>
    <mergeCell ref="A70:E70"/>
    <mergeCell ref="A72:E72"/>
    <mergeCell ref="A71:E71"/>
    <mergeCell ref="A66:E66"/>
    <mergeCell ref="A67:E67"/>
    <mergeCell ref="U61:V61"/>
    <mergeCell ref="Y61:AB61"/>
    <mergeCell ref="Y66:AA66"/>
    <mergeCell ref="R61:S61"/>
    <mergeCell ref="K61:O61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C158"/>
  <sheetViews>
    <sheetView showGridLines="0" topLeftCell="J1" zoomScale="55" zoomScaleNormal="55" workbookViewId="0">
      <selection activeCell="Q28" sqref="Q28"/>
    </sheetView>
  </sheetViews>
  <sheetFormatPr baseColWidth="10" defaultColWidth="14.42578125" defaultRowHeight="15" customHeight="1"/>
  <cols>
    <col min="1" max="1" width="11.42578125" style="21" customWidth="1"/>
    <col min="2" max="2" width="13.85546875" style="21" customWidth="1"/>
    <col min="3" max="4" width="11.42578125" style="21" customWidth="1"/>
    <col min="5" max="5" width="15.140625" style="21" customWidth="1"/>
    <col min="6" max="7" width="23" style="21" bestFit="1" customWidth="1"/>
    <col min="8" max="8" width="23.5703125" style="21" bestFit="1" customWidth="1"/>
    <col min="9" max="9" width="22.42578125" style="21" bestFit="1" customWidth="1"/>
    <col min="10" max="12" width="23.5703125" style="21" bestFit="1" customWidth="1"/>
    <col min="13" max="13" width="23" style="21" bestFit="1" customWidth="1"/>
    <col min="14" max="14" width="23.5703125" style="21" bestFit="1" customWidth="1"/>
    <col min="15" max="15" width="24" style="21" bestFit="1" customWidth="1"/>
    <col min="16" max="16" width="11.42578125" style="21" customWidth="1"/>
    <col min="17" max="17" width="27.85546875" style="21" customWidth="1"/>
    <col min="18" max="18" width="23.7109375" style="21" customWidth="1"/>
    <col min="19" max="19" width="22.5703125" style="21" customWidth="1"/>
    <col min="20" max="21" width="12.28515625" style="21" customWidth="1"/>
    <col min="22" max="22" width="8.42578125" style="21" customWidth="1"/>
    <col min="23" max="23" width="14.7109375" style="21" customWidth="1"/>
    <col min="24" max="24" width="23.140625" style="21" customWidth="1"/>
    <col min="25" max="25" width="22.5703125" style="21" customWidth="1"/>
    <col min="26" max="26" width="13.5703125" style="21" customWidth="1"/>
    <col min="27" max="27" width="14.140625" style="21" customWidth="1"/>
    <col min="28" max="34" width="11.42578125" style="21" customWidth="1"/>
    <col min="35" max="35" width="24.85546875" style="21" customWidth="1"/>
    <col min="36" max="16384" width="14.42578125" style="21"/>
  </cols>
  <sheetData>
    <row r="1" spans="1:29" s="15" customFormat="1" ht="15" customHeight="1">
      <c r="A1" s="13"/>
    </row>
    <row r="2" spans="1:29" s="15" customFormat="1" ht="15.75"/>
    <row r="3" spans="1:29" s="15" customFormat="1" ht="37.5" customHeight="1"/>
    <row r="4" spans="1:29" s="15" customFormat="1" ht="18" customHeight="1">
      <c r="A4" s="40" t="s">
        <v>274</v>
      </c>
      <c r="B4" s="13"/>
      <c r="C4" s="13"/>
      <c r="D4" s="13"/>
      <c r="E4" s="13"/>
      <c r="F4" s="13"/>
    </row>
    <row r="5" spans="1:29" s="15" customFormat="1" ht="12.75" customHeight="1">
      <c r="A5" s="41" t="s">
        <v>273</v>
      </c>
      <c r="B5" s="13"/>
      <c r="C5" s="13"/>
      <c r="D5" s="13"/>
      <c r="E5" s="13"/>
      <c r="F5" s="13"/>
    </row>
    <row r="6" spans="1:29" s="15" customFormat="1" ht="15.75"/>
    <row r="7" spans="1:29" s="15" customFormat="1" ht="15.75"/>
    <row r="8" spans="1:29" s="15" customFormat="1" ht="15.75"/>
    <row r="9" spans="1:29" ht="15.75" customHeight="1">
      <c r="A9" s="309"/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</row>
    <row r="10" spans="1:29" ht="22.5" customHeight="1">
      <c r="A10" s="27"/>
      <c r="B10" s="27"/>
      <c r="C10" s="27"/>
      <c r="D10" s="27"/>
      <c r="E10" s="27"/>
      <c r="F10" s="290" t="s">
        <v>82</v>
      </c>
      <c r="G10" s="298"/>
      <c r="H10" s="298"/>
      <c r="I10" s="298"/>
      <c r="J10" s="298"/>
      <c r="K10" s="290" t="s">
        <v>83</v>
      </c>
      <c r="L10" s="290"/>
      <c r="M10" s="290"/>
      <c r="N10" s="290"/>
      <c r="O10" s="290"/>
      <c r="P10" s="290"/>
      <c r="S10" s="290"/>
      <c r="T10" s="298"/>
      <c r="U10" s="298"/>
      <c r="V10" s="298"/>
      <c r="W10" s="298"/>
      <c r="Y10" s="290"/>
      <c r="Z10" s="298"/>
      <c r="AA10" s="298"/>
      <c r="AB10" s="298"/>
      <c r="AC10" s="298"/>
    </row>
    <row r="11" spans="1:29" ht="15.75" customHeight="1">
      <c r="A11" s="293" t="s">
        <v>84</v>
      </c>
      <c r="B11" s="298"/>
      <c r="C11" s="298"/>
      <c r="D11" s="298"/>
      <c r="E11" s="298"/>
      <c r="F11" s="67">
        <v>2018</v>
      </c>
      <c r="G11" s="67">
        <v>2019</v>
      </c>
      <c r="H11" s="67">
        <v>2020</v>
      </c>
      <c r="I11" s="67">
        <v>2021</v>
      </c>
      <c r="J11" s="67">
        <v>2022</v>
      </c>
      <c r="K11" s="68">
        <f>J11+1</f>
        <v>2023</v>
      </c>
      <c r="L11" s="68">
        <f>K11+1</f>
        <v>2024</v>
      </c>
      <c r="M11" s="68">
        <f>L11+1</f>
        <v>2025</v>
      </c>
      <c r="N11" s="68">
        <f>M11+1</f>
        <v>2026</v>
      </c>
      <c r="O11" s="68">
        <f>N11+1</f>
        <v>2027</v>
      </c>
      <c r="P11" s="69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5.75" customHeight="1">
      <c r="A12" s="292" t="s">
        <v>85</v>
      </c>
      <c r="B12" s="298"/>
      <c r="C12" s="298"/>
      <c r="D12" s="298"/>
      <c r="E12" s="298"/>
      <c r="F12" s="34">
        <v>4.1000000000000002E-2</v>
      </c>
      <c r="G12" s="34">
        <v>3.6999999999999998E-2</v>
      </c>
      <c r="H12" s="34">
        <v>3.7999999999999999E-2</v>
      </c>
      <c r="I12" s="34">
        <v>1.61E-2</v>
      </c>
      <c r="J12" s="34">
        <v>5.6000000000000001E-2</v>
      </c>
      <c r="K12" s="34">
        <v>0.125</v>
      </c>
      <c r="L12" s="34">
        <v>0.115</v>
      </c>
      <c r="M12" s="34">
        <v>8.5000000000000006E-2</v>
      </c>
      <c r="N12" s="34">
        <v>0.05</v>
      </c>
      <c r="O12" s="34">
        <v>4.4999999999999998E-2</v>
      </c>
      <c r="P12" s="69"/>
      <c r="S12" s="34"/>
      <c r="T12" s="34"/>
      <c r="U12" s="34"/>
      <c r="V12" s="34"/>
      <c r="W12" s="34"/>
      <c r="Y12" s="34"/>
      <c r="Z12" s="34"/>
      <c r="AA12" s="34"/>
      <c r="AB12" s="34"/>
      <c r="AC12" s="34"/>
    </row>
    <row r="13" spans="1:29" ht="15.75" customHeight="1" thickBot="1">
      <c r="A13" s="292" t="s">
        <v>86</v>
      </c>
      <c r="B13" s="298"/>
      <c r="C13" s="298"/>
      <c r="D13" s="298"/>
      <c r="E13" s="298"/>
      <c r="F13" s="34">
        <v>1.7999999999999999E-2</v>
      </c>
      <c r="G13" s="34">
        <v>2.5000000000000001E-2</v>
      </c>
      <c r="H13" s="34">
        <v>3.3000000000000002E-2</v>
      </c>
      <c r="I13" s="34">
        <v>-6.8000000000000005E-2</v>
      </c>
      <c r="J13" s="34">
        <v>7.4999999999999997E-2</v>
      </c>
      <c r="K13" s="34">
        <v>2.1999999999999999E-2</v>
      </c>
      <c r="L13" s="34">
        <v>1.4999999999999999E-2</v>
      </c>
      <c r="M13" s="34">
        <v>0.02</v>
      </c>
      <c r="N13" s="34">
        <v>2.5000000000000001E-2</v>
      </c>
      <c r="O13" s="34">
        <v>3.5000000000000003E-2</v>
      </c>
      <c r="P13" s="69"/>
      <c r="S13" s="34"/>
      <c r="T13" s="34"/>
      <c r="U13" s="34"/>
      <c r="V13" s="34"/>
      <c r="W13" s="34"/>
      <c r="Y13" s="34"/>
      <c r="Z13" s="34"/>
      <c r="AA13" s="34"/>
      <c r="AB13" s="34"/>
      <c r="AC13" s="34"/>
    </row>
    <row r="14" spans="1:29" ht="15.75" customHeight="1" thickBot="1">
      <c r="A14" s="293" t="s">
        <v>87</v>
      </c>
      <c r="B14" s="298"/>
      <c r="C14" s="298"/>
      <c r="D14" s="298"/>
      <c r="E14" s="298"/>
      <c r="F14" s="70">
        <f t="shared" ref="F14:O14" si="0">((1+F12)*(1+F13))-1</f>
        <v>5.9737999999999847E-2</v>
      </c>
      <c r="G14" s="70">
        <f t="shared" si="0"/>
        <v>6.2924999999999898E-2</v>
      </c>
      <c r="H14" s="70">
        <f t="shared" si="0"/>
        <v>7.225400000000004E-2</v>
      </c>
      <c r="I14" s="70">
        <f t="shared" si="0"/>
        <v>-5.2994800000000009E-2</v>
      </c>
      <c r="J14" s="70">
        <f t="shared" si="0"/>
        <v>0.13519999999999999</v>
      </c>
      <c r="K14" s="33">
        <f t="shared" si="0"/>
        <v>0.14975000000000005</v>
      </c>
      <c r="L14" s="33">
        <f t="shared" si="0"/>
        <v>0.13172499999999987</v>
      </c>
      <c r="M14" s="33">
        <f t="shared" si="0"/>
        <v>0.10670000000000002</v>
      </c>
      <c r="N14" s="33">
        <f t="shared" si="0"/>
        <v>7.6249999999999929E-2</v>
      </c>
      <c r="O14" s="33">
        <f t="shared" si="0"/>
        <v>8.1574999999999953E-2</v>
      </c>
      <c r="P14" s="69"/>
      <c r="R14" s="305" t="s">
        <v>77</v>
      </c>
      <c r="S14" s="306"/>
      <c r="T14" s="306"/>
      <c r="U14" s="306"/>
      <c r="V14" s="306"/>
      <c r="W14" s="306"/>
      <c r="X14" s="306"/>
      <c r="Y14" s="306"/>
      <c r="Z14" s="306"/>
      <c r="AA14" s="306"/>
      <c r="AB14" s="307"/>
      <c r="AC14" s="34"/>
    </row>
    <row r="15" spans="1:29" ht="15.75" customHeight="1">
      <c r="A15" s="293"/>
      <c r="B15" s="298"/>
      <c r="C15" s="298"/>
      <c r="D15" s="298"/>
      <c r="E15" s="298"/>
      <c r="F15" s="71"/>
      <c r="G15" s="308" t="s">
        <v>88</v>
      </c>
      <c r="H15" s="298"/>
      <c r="I15" s="298"/>
      <c r="J15" s="298"/>
      <c r="K15" s="310" t="s">
        <v>89</v>
      </c>
      <c r="L15" s="298"/>
      <c r="M15" s="298"/>
      <c r="N15" s="298"/>
      <c r="O15" s="298"/>
      <c r="P15" s="69"/>
      <c r="R15" s="1" t="s">
        <v>78</v>
      </c>
      <c r="S15" s="2">
        <f t="shared" ref="S15:AB15" si="1">F24</f>
        <v>2018</v>
      </c>
      <c r="T15" s="2">
        <f t="shared" si="1"/>
        <v>2019</v>
      </c>
      <c r="U15" s="2">
        <f t="shared" si="1"/>
        <v>2020</v>
      </c>
      <c r="V15" s="2">
        <f t="shared" si="1"/>
        <v>2021</v>
      </c>
      <c r="W15" s="3">
        <f t="shared" si="1"/>
        <v>2022</v>
      </c>
      <c r="X15" s="4">
        <f t="shared" si="1"/>
        <v>2023</v>
      </c>
      <c r="Y15" s="5">
        <f t="shared" si="1"/>
        <v>2024</v>
      </c>
      <c r="Z15" s="5">
        <f t="shared" si="1"/>
        <v>2025</v>
      </c>
      <c r="AA15" s="5">
        <f t="shared" si="1"/>
        <v>2026</v>
      </c>
      <c r="AB15" s="6">
        <f t="shared" si="1"/>
        <v>2027</v>
      </c>
      <c r="AC15" s="33"/>
    </row>
    <row r="16" spans="1:29" ht="15" customHeight="1">
      <c r="A16" s="21" t="s">
        <v>90</v>
      </c>
      <c r="K16" s="34"/>
      <c r="L16" s="311"/>
      <c r="M16" s="311"/>
      <c r="N16" s="311"/>
      <c r="O16" s="311"/>
      <c r="P16" s="311"/>
      <c r="R16" s="7" t="s">
        <v>79</v>
      </c>
      <c r="S16" s="208">
        <v>0.15</v>
      </c>
      <c r="T16" s="209">
        <v>0.1124</v>
      </c>
      <c r="U16" s="209">
        <v>9.7100000000000006E-2</v>
      </c>
      <c r="V16" s="209">
        <v>7.5800000000000006E-2</v>
      </c>
      <c r="W16" s="210">
        <v>7.4399999999999994E-2</v>
      </c>
      <c r="X16" s="12">
        <v>0.1598</v>
      </c>
      <c r="Y16" s="8">
        <f>((1+$X$18)*(1+$Y$17))-1</f>
        <v>0.14949066666666666</v>
      </c>
      <c r="Z16" s="8">
        <f>((1+$X$18)*(1+$Z$17))-1</f>
        <v>0.11856266666666659</v>
      </c>
      <c r="AA16" s="8">
        <f>((1+$X$18)*(1+$AA$17))-1</f>
        <v>8.2479999999999887E-2</v>
      </c>
      <c r="AB16" s="8">
        <f>((1+$X$18)*(1+$AB$17))-1</f>
        <v>7.7325333333333246E-2</v>
      </c>
      <c r="AC16" s="61"/>
    </row>
    <row r="17" spans="1:28" ht="21" customHeight="1" thickBot="1">
      <c r="A17" s="293"/>
      <c r="B17" s="298"/>
      <c r="C17" s="298"/>
      <c r="D17" s="298"/>
      <c r="E17" s="298"/>
      <c r="F17" s="27"/>
      <c r="L17" s="311"/>
      <c r="M17" s="311"/>
      <c r="N17" s="311"/>
      <c r="O17" s="311"/>
      <c r="P17" s="311"/>
      <c r="R17" s="9" t="s">
        <v>80</v>
      </c>
      <c r="S17" s="211">
        <f>+F12</f>
        <v>4.1000000000000002E-2</v>
      </c>
      <c r="T17" s="211">
        <f t="shared" ref="T17:AB17" si="2">+G12</f>
        <v>3.6999999999999998E-2</v>
      </c>
      <c r="U17" s="211">
        <f t="shared" si="2"/>
        <v>3.7999999999999999E-2</v>
      </c>
      <c r="V17" s="211">
        <f t="shared" si="2"/>
        <v>1.61E-2</v>
      </c>
      <c r="W17" s="211">
        <f t="shared" si="2"/>
        <v>5.6000000000000001E-2</v>
      </c>
      <c r="X17" s="211">
        <f t="shared" si="2"/>
        <v>0.125</v>
      </c>
      <c r="Y17" s="211">
        <f t="shared" si="2"/>
        <v>0.115</v>
      </c>
      <c r="Z17" s="211">
        <f t="shared" si="2"/>
        <v>8.5000000000000006E-2</v>
      </c>
      <c r="AA17" s="211">
        <f t="shared" si="2"/>
        <v>0.05</v>
      </c>
      <c r="AB17" s="211">
        <f t="shared" si="2"/>
        <v>4.4999999999999998E-2</v>
      </c>
    </row>
    <row r="18" spans="1:28" ht="15.75" customHeight="1" thickBot="1">
      <c r="A18" s="313"/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R18" s="11"/>
      <c r="S18" s="11"/>
      <c r="T18" s="11"/>
      <c r="U18" s="11"/>
      <c r="V18" s="11"/>
      <c r="W18" s="212"/>
      <c r="X18" s="10">
        <f>(1+X16)/(1+X17)-1</f>
        <v>3.0933333333333257E-2</v>
      </c>
      <c r="Y18" s="212"/>
      <c r="Z18" s="212"/>
      <c r="AA18" s="212"/>
      <c r="AB18" s="212"/>
    </row>
    <row r="19" spans="1:28" ht="15.75" customHeight="1">
      <c r="A19" s="315" t="s">
        <v>76</v>
      </c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R19" s="22"/>
      <c r="S19" s="22"/>
    </row>
    <row r="20" spans="1:28" ht="15.75" customHeight="1">
      <c r="A20" s="314"/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R20" s="22"/>
      <c r="S20" s="22"/>
    </row>
    <row r="21" spans="1:28" ht="15.75" customHeight="1">
      <c r="A21" s="290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R21" s="22"/>
      <c r="S21" s="22"/>
    </row>
    <row r="22" spans="1:28" ht="15.75" customHeight="1">
      <c r="A22" s="290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</row>
    <row r="23" spans="1:28" ht="15.75" customHeight="1">
      <c r="A23" s="290"/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</row>
    <row r="24" spans="1:28" ht="15.75" customHeight="1">
      <c r="A24" s="312" t="s">
        <v>0</v>
      </c>
      <c r="B24" s="298"/>
      <c r="C24" s="298"/>
      <c r="D24" s="298"/>
      <c r="E24" s="298"/>
      <c r="F24" s="67">
        <f t="shared" ref="F24:O24" si="3">F11</f>
        <v>2018</v>
      </c>
      <c r="G24" s="67">
        <f t="shared" si="3"/>
        <v>2019</v>
      </c>
      <c r="H24" s="67">
        <f t="shared" si="3"/>
        <v>2020</v>
      </c>
      <c r="I24" s="67">
        <f t="shared" si="3"/>
        <v>2021</v>
      </c>
      <c r="J24" s="67">
        <f t="shared" si="3"/>
        <v>2022</v>
      </c>
      <c r="K24" s="68">
        <f t="shared" si="3"/>
        <v>2023</v>
      </c>
      <c r="L24" s="68">
        <f t="shared" si="3"/>
        <v>2024</v>
      </c>
      <c r="M24" s="68">
        <f t="shared" si="3"/>
        <v>2025</v>
      </c>
      <c r="N24" s="68">
        <f t="shared" si="3"/>
        <v>2026</v>
      </c>
      <c r="O24" s="68">
        <f t="shared" si="3"/>
        <v>2027</v>
      </c>
    </row>
    <row r="25" spans="1:28" ht="15.75" customHeight="1">
      <c r="A25" s="295" t="s">
        <v>1</v>
      </c>
      <c r="B25" s="304"/>
      <c r="C25" s="304"/>
      <c r="D25" s="304"/>
      <c r="E25" s="304"/>
      <c r="F25" s="37"/>
      <c r="G25" s="37"/>
      <c r="H25" s="37"/>
      <c r="I25" s="37"/>
      <c r="J25" s="37"/>
      <c r="K25" s="73"/>
      <c r="L25" s="73"/>
      <c r="M25" s="73"/>
      <c r="N25" s="73"/>
      <c r="O25" s="73"/>
    </row>
    <row r="26" spans="1:28" ht="15.75" customHeight="1">
      <c r="A26" s="293" t="s">
        <v>5</v>
      </c>
      <c r="B26" s="298"/>
      <c r="C26" s="298"/>
      <c r="D26" s="298"/>
      <c r="E26" s="298"/>
      <c r="F26" s="32">
        <f>'Estados Financieros'!F14</f>
        <v>2467358178</v>
      </c>
      <c r="G26" s="32">
        <f>'Estados Financieros'!G14</f>
        <v>3158470228</v>
      </c>
      <c r="H26" s="32">
        <f>'Estados Financieros'!H14</f>
        <v>3709808049</v>
      </c>
      <c r="I26" s="32">
        <f>'Estados Financieros'!I14</f>
        <v>3380747041</v>
      </c>
      <c r="J26" s="32">
        <f>'Estados Financieros'!J14</f>
        <v>3471633072</v>
      </c>
      <c r="K26" s="32">
        <f t="shared" ref="K26:O28" si="4">J26*(1+K$14)</f>
        <v>3991510124.5320001</v>
      </c>
      <c r="L26" s="32">
        <f t="shared" si="4"/>
        <v>4517291795.685977</v>
      </c>
      <c r="M26" s="32">
        <f t="shared" si="4"/>
        <v>4999286830.2856712</v>
      </c>
      <c r="N26" s="32">
        <f t="shared" si="4"/>
        <v>5380482451.0949535</v>
      </c>
      <c r="O26" s="32">
        <f t="shared" si="4"/>
        <v>5819395307.0430241</v>
      </c>
    </row>
    <row r="27" spans="1:28" ht="15.75" customHeight="1">
      <c r="A27" s="293" t="s">
        <v>6</v>
      </c>
      <c r="B27" s="298"/>
      <c r="C27" s="298"/>
      <c r="D27" s="298"/>
      <c r="E27" s="298"/>
      <c r="F27" s="32">
        <f>'Estados Financieros'!F15</f>
        <v>444313956</v>
      </c>
      <c r="G27" s="32">
        <f>'Estados Financieros'!G15</f>
        <v>806961387</v>
      </c>
      <c r="H27" s="32">
        <f>'Estados Financieros'!H15</f>
        <v>1865194210</v>
      </c>
      <c r="I27" s="32">
        <f>'Estados Financieros'!I15</f>
        <v>1437305490</v>
      </c>
      <c r="J27" s="32">
        <f>'Estados Financieros'!J15</f>
        <v>3443393761</v>
      </c>
      <c r="K27" s="32">
        <f t="shared" si="4"/>
        <v>3959041976.7097502</v>
      </c>
      <c r="L27" s="32">
        <f t="shared" si="4"/>
        <v>4480546781.0918417</v>
      </c>
      <c r="M27" s="32">
        <f t="shared" si="4"/>
        <v>4958621122.6343412</v>
      </c>
      <c r="N27" s="32">
        <f t="shared" si="4"/>
        <v>5336715983.2352095</v>
      </c>
      <c r="O27" s="32">
        <f t="shared" si="4"/>
        <v>5772058589.5676212</v>
      </c>
    </row>
    <row r="28" spans="1:28" ht="15.75" customHeight="1">
      <c r="A28" s="293" t="s">
        <v>8</v>
      </c>
      <c r="B28" s="298"/>
      <c r="C28" s="298"/>
      <c r="D28" s="298"/>
      <c r="E28" s="298"/>
      <c r="F28" s="36">
        <f>'Estados Financieros'!F17</f>
        <v>3819622428</v>
      </c>
      <c r="G28" s="36">
        <f>'Estados Financieros'!G17</f>
        <v>4298083559</v>
      </c>
      <c r="H28" s="36">
        <f>'Estados Financieros'!H17</f>
        <v>6240542676</v>
      </c>
      <c r="I28" s="36">
        <f>'Estados Financieros'!I17</f>
        <v>6277418360</v>
      </c>
      <c r="J28" s="36">
        <f>'Estados Financieros'!J17</f>
        <v>8406929305</v>
      </c>
      <c r="K28" s="74">
        <f t="shared" si="4"/>
        <v>9665866968.4237499</v>
      </c>
      <c r="L28" s="36">
        <f t="shared" si="4"/>
        <v>10939103294.839367</v>
      </c>
      <c r="M28" s="36">
        <f t="shared" si="4"/>
        <v>12106305616.398727</v>
      </c>
      <c r="N28" s="36">
        <f t="shared" si="4"/>
        <v>13029411419.64913</v>
      </c>
      <c r="O28" s="36">
        <f t="shared" si="4"/>
        <v>14092285656.207006</v>
      </c>
    </row>
    <row r="29" spans="1:28" ht="15.75" customHeight="1">
      <c r="A29" s="295" t="s">
        <v>9</v>
      </c>
      <c r="B29" s="304"/>
      <c r="C29" s="304"/>
      <c r="D29" s="304"/>
      <c r="E29" s="304"/>
      <c r="F29" s="37"/>
      <c r="G29" s="37"/>
      <c r="H29" s="37"/>
      <c r="I29" s="37"/>
      <c r="J29" s="37"/>
      <c r="K29" s="73"/>
      <c r="L29" s="73"/>
      <c r="M29" s="73"/>
      <c r="N29" s="73"/>
      <c r="O29" s="73"/>
    </row>
    <row r="30" spans="1:28" ht="15.75" customHeight="1">
      <c r="A30" s="293" t="s">
        <v>11</v>
      </c>
      <c r="B30" s="298"/>
      <c r="C30" s="298"/>
      <c r="D30" s="298"/>
      <c r="E30" s="298"/>
      <c r="F30" s="32">
        <f>'Estados Financieros'!F21</f>
        <v>7735239572</v>
      </c>
      <c r="G30" s="32">
        <f>'Estados Financieros'!G21</f>
        <v>8065267769</v>
      </c>
      <c r="H30" s="32">
        <f>'Estados Financieros'!H21</f>
        <v>7051275289</v>
      </c>
      <c r="I30" s="32">
        <f>'Estados Financieros'!I21</f>
        <v>6403592675</v>
      </c>
      <c r="J30" s="32">
        <f>'Estados Financieros'!J21</f>
        <v>5837840422</v>
      </c>
      <c r="K30" s="32">
        <f t="shared" ref="K30:O31" si="5">+J30*(1+K$14)</f>
        <v>6712057025.1945</v>
      </c>
      <c r="L30" s="32">
        <f t="shared" si="5"/>
        <v>7596202736.8382444</v>
      </c>
      <c r="M30" s="32">
        <f t="shared" si="5"/>
        <v>8406717568.8588848</v>
      </c>
      <c r="N30" s="32">
        <f t="shared" si="5"/>
        <v>9047729783.484375</v>
      </c>
      <c r="O30" s="32">
        <f t="shared" si="5"/>
        <v>9785798340.572113</v>
      </c>
    </row>
    <row r="31" spans="1:28" ht="15.75" customHeight="1">
      <c r="A31" s="293" t="s">
        <v>14</v>
      </c>
      <c r="B31" s="298"/>
      <c r="C31" s="298"/>
      <c r="D31" s="298"/>
      <c r="E31" s="298"/>
      <c r="F31" s="36">
        <f>'Estados Financieros'!F24</f>
        <v>7735239572</v>
      </c>
      <c r="G31" s="36">
        <f>'Estados Financieros'!G24</f>
        <v>8065267769</v>
      </c>
      <c r="H31" s="36">
        <f>'Estados Financieros'!H24</f>
        <v>7090210684</v>
      </c>
      <c r="I31" s="36">
        <f>'Estados Financieros'!I24</f>
        <v>6403592675</v>
      </c>
      <c r="J31" s="36">
        <f>'Estados Financieros'!J24</f>
        <v>5837840422</v>
      </c>
      <c r="K31" s="74">
        <f t="shared" si="5"/>
        <v>6712057025.1945</v>
      </c>
      <c r="L31" s="74">
        <f t="shared" si="5"/>
        <v>7596202736.8382444</v>
      </c>
      <c r="M31" s="74">
        <f t="shared" si="5"/>
        <v>8406717568.8588848</v>
      </c>
      <c r="N31" s="74">
        <f t="shared" si="5"/>
        <v>9047729783.484375</v>
      </c>
      <c r="O31" s="74">
        <f t="shared" si="5"/>
        <v>9785798340.572113</v>
      </c>
    </row>
    <row r="32" spans="1:28" ht="15.75" customHeight="1">
      <c r="A32" s="31"/>
      <c r="B32" s="31"/>
      <c r="C32" s="31"/>
      <c r="D32" s="31"/>
      <c r="E32" s="31"/>
    </row>
    <row r="33" spans="1:27" ht="15.75" customHeight="1">
      <c r="A33" s="296" t="s">
        <v>91</v>
      </c>
      <c r="B33" s="298"/>
      <c r="C33" s="298"/>
      <c r="D33" s="298"/>
      <c r="E33" s="298"/>
      <c r="F33" s="44">
        <f>F28+F31</f>
        <v>11554862000</v>
      </c>
      <c r="G33" s="44">
        <f>G28+G31</f>
        <v>12363351328</v>
      </c>
      <c r="H33" s="44">
        <f>H28+H31</f>
        <v>13330753360</v>
      </c>
      <c r="I33" s="44">
        <f>I28+I31</f>
        <v>12681011035</v>
      </c>
      <c r="J33" s="44">
        <f>J28+J31</f>
        <v>14244769727</v>
      </c>
      <c r="K33" s="75">
        <f>+J33*(1+K14)</f>
        <v>16377923993.61825</v>
      </c>
      <c r="L33" s="75">
        <f>+K33*(1+L14)</f>
        <v>18535306031.677612</v>
      </c>
      <c r="M33" s="75">
        <f>+L33*(1+M14)</f>
        <v>20513023185.257614</v>
      </c>
      <c r="N33" s="75">
        <f>+M33*(1+N14)</f>
        <v>22077141203.133507</v>
      </c>
      <c r="O33" s="75">
        <f>+N33*(1+O14)</f>
        <v>23878083996.779121</v>
      </c>
    </row>
    <row r="34" spans="1:27" ht="15.75" customHeight="1">
      <c r="A34" s="31"/>
    </row>
    <row r="35" spans="1:27" ht="15.75" customHeight="1">
      <c r="A35" s="295" t="s">
        <v>15</v>
      </c>
      <c r="B35" s="304"/>
      <c r="C35" s="304"/>
      <c r="D35" s="304"/>
      <c r="E35" s="304"/>
      <c r="F35" s="37"/>
      <c r="G35" s="37"/>
      <c r="H35" s="37"/>
      <c r="I35" s="37"/>
      <c r="J35" s="37"/>
      <c r="K35" s="73"/>
      <c r="L35" s="73"/>
      <c r="M35" s="73"/>
      <c r="N35" s="73"/>
      <c r="O35" s="73"/>
      <c r="U35" s="27"/>
    </row>
    <row r="36" spans="1:27" ht="15.75" customHeight="1">
      <c r="A36" s="293" t="s">
        <v>16</v>
      </c>
      <c r="B36" s="298"/>
      <c r="C36" s="298"/>
      <c r="D36" s="298"/>
      <c r="E36" s="298"/>
      <c r="F36" s="32">
        <f>'Estados Financieros'!F29</f>
        <v>5125404057</v>
      </c>
      <c r="G36" s="32">
        <f>'Estados Financieros'!G29</f>
        <v>5057191359</v>
      </c>
      <c r="H36" s="32">
        <f>'Estados Financieros'!H29</f>
        <v>4146449975</v>
      </c>
      <c r="I36" s="32">
        <f>'Estados Financieros'!I29</f>
        <v>4313438008</v>
      </c>
      <c r="J36" s="32">
        <f>'Estados Financieros'!J29</f>
        <v>4144221467</v>
      </c>
      <c r="K36" s="32">
        <f t="shared" ref="K36:O38" si="6">+J36*(1+K$14)</f>
        <v>4764818631.6832504</v>
      </c>
      <c r="L36" s="32">
        <f t="shared" si="6"/>
        <v>5392464365.9417257</v>
      </c>
      <c r="M36" s="32">
        <f t="shared" si="6"/>
        <v>5967840313.7877083</v>
      </c>
      <c r="N36" s="32">
        <f t="shared" si="6"/>
        <v>6422888137.7140207</v>
      </c>
      <c r="O36" s="32">
        <f t="shared" si="6"/>
        <v>6946835237.5480413</v>
      </c>
    </row>
    <row r="37" spans="1:27" ht="15.75" customHeight="1">
      <c r="A37" s="293" t="s">
        <v>17</v>
      </c>
      <c r="B37" s="298"/>
      <c r="C37" s="298"/>
      <c r="D37" s="298"/>
      <c r="E37" s="298"/>
      <c r="F37" s="32">
        <f>'Estados Financieros'!F30</f>
        <v>2384929633</v>
      </c>
      <c r="G37" s="32">
        <f>'Estados Financieros'!G30</f>
        <v>2992540534</v>
      </c>
      <c r="H37" s="32">
        <f>'Estados Financieros'!H30</f>
        <v>3939046841</v>
      </c>
      <c r="I37" s="32">
        <f>'Estados Financieros'!I30</f>
        <v>3779949090</v>
      </c>
      <c r="J37" s="32">
        <f>'Estados Financieros'!J30</f>
        <v>5063375918</v>
      </c>
      <c r="K37" s="32">
        <f t="shared" si="6"/>
        <v>5821616461.7205</v>
      </c>
      <c r="L37" s="32">
        <f t="shared" si="6"/>
        <v>6588468890.1406317</v>
      </c>
      <c r="M37" s="32">
        <f t="shared" si="6"/>
        <v>7291458520.7186375</v>
      </c>
      <c r="N37" s="32">
        <f t="shared" si="6"/>
        <v>7847432232.9234333</v>
      </c>
      <c r="O37" s="32">
        <f t="shared" si="6"/>
        <v>8487586517.3241625</v>
      </c>
      <c r="R37" s="290"/>
      <c r="S37" s="298"/>
      <c r="T37" s="298"/>
      <c r="U37" s="298"/>
      <c r="V37" s="298"/>
      <c r="W37" s="298"/>
      <c r="X37" s="298"/>
      <c r="Y37" s="298"/>
      <c r="Z37" s="298"/>
      <c r="AA37" s="298"/>
    </row>
    <row r="38" spans="1:27" ht="15.75" customHeight="1">
      <c r="A38" s="293" t="s">
        <v>21</v>
      </c>
      <c r="B38" s="298"/>
      <c r="C38" s="298"/>
      <c r="D38" s="298"/>
      <c r="E38" s="298"/>
      <c r="F38" s="36">
        <f>'Estados Financieros'!F35</f>
        <v>8716298352</v>
      </c>
      <c r="G38" s="36">
        <f>'Estados Financieros'!G35</f>
        <v>9316737052</v>
      </c>
      <c r="H38" s="36">
        <f>'Estados Financieros'!H35</f>
        <v>10107761751</v>
      </c>
      <c r="I38" s="36">
        <f>'Estados Financieros'!I35</f>
        <v>9388936702</v>
      </c>
      <c r="J38" s="36">
        <f>'Estados Financieros'!J35</f>
        <v>10636396753</v>
      </c>
      <c r="K38" s="74">
        <f t="shared" si="6"/>
        <v>12229197166.761751</v>
      </c>
      <c r="L38" s="74">
        <f t="shared" si="6"/>
        <v>13840088163.553442</v>
      </c>
      <c r="M38" s="74">
        <f t="shared" si="6"/>
        <v>15316825570.604595</v>
      </c>
      <c r="N38" s="74">
        <f t="shared" si="6"/>
        <v>16484733520.363195</v>
      </c>
      <c r="O38" s="74">
        <f t="shared" si="6"/>
        <v>17829475657.286823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ht="15.75" customHeight="1">
      <c r="A39" s="295" t="s">
        <v>22</v>
      </c>
      <c r="B39" s="304"/>
      <c r="C39" s="304"/>
      <c r="D39" s="304"/>
      <c r="E39" s="304"/>
      <c r="F39" s="37"/>
      <c r="G39" s="37"/>
      <c r="H39" s="37"/>
      <c r="I39" s="37"/>
      <c r="J39" s="37"/>
      <c r="K39" s="73"/>
      <c r="L39" s="73"/>
      <c r="M39" s="73"/>
      <c r="N39" s="73"/>
      <c r="O39" s="73"/>
      <c r="W39" s="76"/>
      <c r="X39" s="76"/>
      <c r="Y39" s="76"/>
      <c r="Z39" s="76"/>
      <c r="AA39" s="76"/>
    </row>
    <row r="40" spans="1:27" ht="15.75" customHeight="1">
      <c r="A40" s="293" t="s">
        <v>16</v>
      </c>
      <c r="B40" s="298"/>
      <c r="C40" s="298"/>
      <c r="D40" s="298"/>
      <c r="E40" s="298"/>
      <c r="F40" s="32">
        <f>'Estados Financieros'!F37</f>
        <v>0</v>
      </c>
      <c r="G40" s="32">
        <f>'Estados Financieros'!G37</f>
        <v>0</v>
      </c>
      <c r="H40" s="32">
        <f>'Estados Financieros'!H37</f>
        <v>0</v>
      </c>
      <c r="I40" s="32">
        <f>'Estados Financieros'!I37</f>
        <v>0</v>
      </c>
      <c r="J40" s="32">
        <f>'Estados Financieros'!J37</f>
        <v>0</v>
      </c>
      <c r="K40" s="32">
        <f>+J40*(1+K$14)</f>
        <v>0</v>
      </c>
      <c r="L40" s="32">
        <f>+K40*(1+L$14)</f>
        <v>0</v>
      </c>
      <c r="M40" s="32">
        <f>+L40*(1+M$14)</f>
        <v>0</v>
      </c>
      <c r="N40" s="32">
        <f>+M40*(1+N$14)</f>
        <v>0</v>
      </c>
      <c r="O40" s="32">
        <f>+N40*(1+O$14)</f>
        <v>0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1:27" ht="15.75" customHeight="1">
      <c r="A41" s="31"/>
      <c r="B41" s="31"/>
      <c r="C41" s="31"/>
      <c r="D41" s="31"/>
      <c r="E41" s="31"/>
      <c r="P41" s="78"/>
    </row>
    <row r="42" spans="1:27" ht="15.75" customHeight="1">
      <c r="A42" s="296" t="s">
        <v>25</v>
      </c>
      <c r="B42" s="298"/>
      <c r="C42" s="298"/>
      <c r="D42" s="298"/>
      <c r="E42" s="298"/>
      <c r="F42" s="44">
        <f>'Estados Financieros'!F42</f>
        <v>8716298352</v>
      </c>
      <c r="G42" s="44">
        <f>'Estados Financieros'!G42</f>
        <v>9316737052</v>
      </c>
      <c r="H42" s="44">
        <f>'Estados Financieros'!H42</f>
        <v>10107761751</v>
      </c>
      <c r="I42" s="44">
        <f>'Estados Financieros'!I42</f>
        <v>9388936702</v>
      </c>
      <c r="J42" s="44">
        <f>'Estados Financieros'!J42</f>
        <v>10636396753</v>
      </c>
      <c r="K42" s="75">
        <f>+J42*(1+K14)</f>
        <v>12229197166.761751</v>
      </c>
      <c r="L42" s="75">
        <f>+K42*(1+L14)</f>
        <v>13840088163.553442</v>
      </c>
      <c r="M42" s="75">
        <f>+L42*(1+M14)</f>
        <v>15316825570.604595</v>
      </c>
      <c r="N42" s="75">
        <f>+M42*(1+N14)</f>
        <v>16484733520.363195</v>
      </c>
      <c r="O42" s="75">
        <f>+N42*(1+O14)</f>
        <v>17829475657.286823</v>
      </c>
    </row>
    <row r="43" spans="1:27" ht="15.75" customHeight="1">
      <c r="A43" s="31"/>
    </row>
    <row r="44" spans="1:27" ht="15.75" customHeight="1">
      <c r="A44" s="295" t="s">
        <v>26</v>
      </c>
      <c r="B44" s="304"/>
      <c r="C44" s="304"/>
      <c r="D44" s="304"/>
      <c r="E44" s="304"/>
      <c r="F44" s="37"/>
      <c r="G44" s="37"/>
      <c r="H44" s="37"/>
      <c r="I44" s="37"/>
      <c r="J44" s="37"/>
      <c r="K44" s="73"/>
      <c r="L44" s="73"/>
      <c r="M44" s="73"/>
      <c r="N44" s="73"/>
      <c r="O44" s="73"/>
    </row>
    <row r="45" spans="1:27" ht="15.75" customHeight="1">
      <c r="A45" s="293" t="s">
        <v>92</v>
      </c>
      <c r="B45" s="298"/>
      <c r="C45" s="298"/>
      <c r="D45" s="298"/>
      <c r="E45" s="298"/>
      <c r="F45" s="36">
        <f>'Estados Financieros'!F50</f>
        <v>2838563648</v>
      </c>
      <c r="G45" s="36">
        <f>'Estados Financieros'!G50</f>
        <v>3046614276</v>
      </c>
      <c r="H45" s="36">
        <f>'Estados Financieros'!H50</f>
        <v>3222991609</v>
      </c>
      <c r="I45" s="36">
        <f>'Estados Financieros'!I50</f>
        <v>3292074333</v>
      </c>
      <c r="J45" s="36">
        <f>'Estados Financieros'!J50</f>
        <v>3608372974</v>
      </c>
      <c r="K45" s="32">
        <f>+J45*(1+K$14)</f>
        <v>4148726826.8565001</v>
      </c>
      <c r="L45" s="32">
        <f>+K45*(1+L$14)</f>
        <v>4695217868.1241722</v>
      </c>
      <c r="M45" s="32">
        <f>+L45*(1+M$14)</f>
        <v>5196197614.6530218</v>
      </c>
      <c r="N45" s="32">
        <f>+M45*(1+N$14)</f>
        <v>5592407682.7703142</v>
      </c>
      <c r="O45" s="32">
        <f>+N45*(1+O$14)</f>
        <v>6048608339.4923019</v>
      </c>
    </row>
    <row r="46" spans="1:27" ht="15.75" customHeight="1">
      <c r="A46" s="31"/>
      <c r="B46" s="31"/>
      <c r="C46" s="31"/>
      <c r="D46" s="31"/>
      <c r="E46" s="31"/>
    </row>
    <row r="47" spans="1:27" ht="15.75" customHeight="1">
      <c r="A47" s="296" t="s">
        <v>30</v>
      </c>
      <c r="B47" s="298"/>
      <c r="C47" s="298"/>
      <c r="D47" s="298"/>
      <c r="E47" s="298"/>
      <c r="F47" s="44">
        <f>F42+F45</f>
        <v>11554862000</v>
      </c>
      <c r="G47" s="44">
        <f>G42+G45</f>
        <v>12363351328</v>
      </c>
      <c r="H47" s="44">
        <f>H42+H45</f>
        <v>13330753360</v>
      </c>
      <c r="I47" s="44">
        <f>I42+I45</f>
        <v>12681011035</v>
      </c>
      <c r="J47" s="44">
        <f>J42+J45</f>
        <v>14244769727</v>
      </c>
      <c r="K47" s="75">
        <f>+J47*(1+K14)</f>
        <v>16377923993.61825</v>
      </c>
      <c r="L47" s="75">
        <f>+K47*(1+L14)</f>
        <v>18535306031.677612</v>
      </c>
      <c r="M47" s="75">
        <f>+L47*(1+M14)</f>
        <v>20513023185.257614</v>
      </c>
      <c r="N47" s="75">
        <f>+M47*(1+N14)</f>
        <v>22077141203.133507</v>
      </c>
      <c r="O47" s="75">
        <f>+N47*(1+O14)</f>
        <v>23878083996.779121</v>
      </c>
    </row>
    <row r="48" spans="1:27" ht="15.75" customHeight="1">
      <c r="F48" s="43"/>
      <c r="K48" s="43">
        <f>+K33-K42-K45</f>
        <v>0</v>
      </c>
      <c r="L48" s="43">
        <f>+L33-L42-L45</f>
        <v>0</v>
      </c>
      <c r="M48" s="43">
        <f>+M33-M42-M45</f>
        <v>0</v>
      </c>
      <c r="N48" s="43">
        <f>+N33-N42-N45</f>
        <v>0</v>
      </c>
      <c r="O48" s="43">
        <f>+O33-O42-O45</f>
        <v>0</v>
      </c>
      <c r="Q48" s="293"/>
      <c r="R48" s="298"/>
    </row>
    <row r="49" spans="1:15" ht="15.75" customHeight="1">
      <c r="K49" s="43"/>
      <c r="L49" s="43"/>
      <c r="M49" s="43"/>
      <c r="N49" s="43"/>
      <c r="O49" s="43"/>
    </row>
    <row r="50" spans="1:15" ht="15.75" customHeight="1"/>
    <row r="51" spans="1:15" ht="15.75" customHeight="1">
      <c r="A51" s="312" t="s">
        <v>32</v>
      </c>
      <c r="B51" s="298"/>
      <c r="C51" s="298"/>
      <c r="D51" s="298"/>
      <c r="E51" s="298"/>
      <c r="F51" s="67">
        <f>'Estados Financieros'!F60</f>
        <v>2018</v>
      </c>
      <c r="G51" s="67">
        <f>'Estados Financieros'!G60</f>
        <v>2019</v>
      </c>
      <c r="H51" s="67">
        <f>'Estados Financieros'!H60</f>
        <v>2020</v>
      </c>
      <c r="I51" s="67">
        <f>'Estados Financieros'!I60</f>
        <v>2021</v>
      </c>
      <c r="J51" s="67">
        <f>'Estados Financieros'!J60</f>
        <v>2022</v>
      </c>
      <c r="K51" s="68">
        <f>K24</f>
        <v>2023</v>
      </c>
      <c r="L51" s="68">
        <f>L24</f>
        <v>2024</v>
      </c>
      <c r="M51" s="68">
        <f>M24</f>
        <v>2025</v>
      </c>
      <c r="N51" s="68">
        <f>N24</f>
        <v>2026</v>
      </c>
      <c r="O51" s="68">
        <f>O24</f>
        <v>2027</v>
      </c>
    </row>
    <row r="52" spans="1:15" ht="15.75" customHeight="1">
      <c r="A52" s="295" t="s">
        <v>36</v>
      </c>
      <c r="B52" s="304"/>
      <c r="C52" s="304"/>
      <c r="D52" s="304"/>
      <c r="E52" s="304"/>
      <c r="F52" s="37"/>
      <c r="G52" s="37"/>
      <c r="H52" s="37"/>
      <c r="I52" s="37"/>
      <c r="J52" s="37"/>
      <c r="K52" s="316"/>
      <c r="L52" s="314"/>
      <c r="M52" s="314"/>
      <c r="N52" s="314"/>
      <c r="O52" s="314"/>
    </row>
    <row r="53" spans="1:15" ht="15.75" customHeight="1">
      <c r="A53" s="292" t="s">
        <v>41</v>
      </c>
      <c r="B53" s="298"/>
      <c r="C53" s="298"/>
      <c r="D53" s="298"/>
      <c r="E53" s="298"/>
      <c r="F53" s="32">
        <f>+'Estados Financieros'!F62</f>
        <v>16705472817</v>
      </c>
      <c r="G53" s="32">
        <f>+'Estados Financieros'!G62</f>
        <v>20474224826</v>
      </c>
      <c r="H53" s="32">
        <f>+'Estados Financieros'!H62</f>
        <v>21563111744</v>
      </c>
      <c r="I53" s="32">
        <f>+'Estados Financieros'!I62</f>
        <v>22145181018</v>
      </c>
      <c r="J53" s="32">
        <f>+'Estados Financieros'!J62</f>
        <v>33287737602</v>
      </c>
      <c r="K53" s="32">
        <f>J53*(1+K$14)</f>
        <v>38272576307.899498</v>
      </c>
      <c r="L53" s="32">
        <f>K53*(1+L$14)</f>
        <v>43314031422.057556</v>
      </c>
      <c r="M53" s="32">
        <f>L53*(1+M$14)</f>
        <v>47935638574.7911</v>
      </c>
      <c r="N53" s="32">
        <f>M53*(1+N$14)</f>
        <v>51590731016.118919</v>
      </c>
      <c r="O53" s="32">
        <f>N53*(1+O$14)</f>
        <v>55799244898.75882</v>
      </c>
    </row>
    <row r="54" spans="1:15" ht="15.75" customHeight="1">
      <c r="A54" s="292" t="s">
        <v>47</v>
      </c>
      <c r="B54" s="298"/>
      <c r="C54" s="298"/>
      <c r="D54" s="298"/>
      <c r="E54" s="298"/>
      <c r="F54" s="32">
        <f>+'Estados Financieros'!F63</f>
        <v>11371682199</v>
      </c>
      <c r="G54" s="32">
        <f>+'Estados Financieros'!G63</f>
        <v>13730508262</v>
      </c>
      <c r="H54" s="32">
        <f>+'Estados Financieros'!H63</f>
        <v>14156993557</v>
      </c>
      <c r="I54" s="32">
        <f>+'Estados Financieros'!I63</f>
        <v>15801044352</v>
      </c>
      <c r="J54" s="32">
        <f>+'Estados Financieros'!J63</f>
        <v>25161975115</v>
      </c>
      <c r="K54" s="43">
        <f>K53*'Estados Financieros'!$P$63</f>
        <v>26616981166.44931</v>
      </c>
      <c r="L54" s="43">
        <f>L53*'Estados Financieros'!$P$63</f>
        <v>30123103010.599842</v>
      </c>
      <c r="M54" s="43">
        <f>M53*'Estados Financieros'!$P$63</f>
        <v>33337238101.830849</v>
      </c>
      <c r="N54" s="43">
        <f>N53*'Estados Financieros'!$P$63</f>
        <v>35879202507.095451</v>
      </c>
      <c r="O54" s="43">
        <f>O53*'Estados Financieros'!$P$63</f>
        <v>38806048451.611755</v>
      </c>
    </row>
    <row r="55" spans="1:15" ht="15.75" customHeight="1">
      <c r="A55" s="293" t="s">
        <v>49</v>
      </c>
      <c r="B55" s="298"/>
      <c r="C55" s="298"/>
      <c r="D55" s="298"/>
      <c r="E55" s="298"/>
      <c r="F55" s="57">
        <f t="shared" ref="F55:O55" si="7">F53-F54</f>
        <v>5333790618</v>
      </c>
      <c r="G55" s="57">
        <f t="shared" si="7"/>
        <v>6743716564</v>
      </c>
      <c r="H55" s="57">
        <f t="shared" si="7"/>
        <v>7406118187</v>
      </c>
      <c r="I55" s="57">
        <f t="shared" si="7"/>
        <v>6344136666</v>
      </c>
      <c r="J55" s="57">
        <f t="shared" si="7"/>
        <v>8125762487</v>
      </c>
      <c r="K55" s="57">
        <f t="shared" si="7"/>
        <v>11655595141.450188</v>
      </c>
      <c r="L55" s="57">
        <f t="shared" si="7"/>
        <v>13190928411.457714</v>
      </c>
      <c r="M55" s="57">
        <f t="shared" si="7"/>
        <v>14598400472.960251</v>
      </c>
      <c r="N55" s="57">
        <f t="shared" si="7"/>
        <v>15711528509.023468</v>
      </c>
      <c r="O55" s="57">
        <f t="shared" si="7"/>
        <v>16993196447.147064</v>
      </c>
    </row>
    <row r="56" spans="1:15" ht="15.75" customHeight="1">
      <c r="A56" s="292" t="s">
        <v>51</v>
      </c>
      <c r="B56" s="298"/>
      <c r="C56" s="298"/>
      <c r="D56" s="298"/>
      <c r="E56" s="298"/>
      <c r="F56" s="43">
        <f>+'Estados Financieros'!F65</f>
        <v>1399997826</v>
      </c>
      <c r="G56" s="43">
        <f>+'Estados Financieros'!G65</f>
        <v>1887304063</v>
      </c>
      <c r="H56" s="43">
        <f>+'Estados Financieros'!H65</f>
        <v>2008921908</v>
      </c>
      <c r="I56" s="43">
        <f>+'Estados Financieros'!I65</f>
        <v>1251540197</v>
      </c>
      <c r="J56" s="43">
        <f>+'Estados Financieros'!J65</f>
        <v>2340839169</v>
      </c>
      <c r="K56" s="43">
        <f>K53*'Estados Financieros'!$P$65</f>
        <v>3031077879.9284582</v>
      </c>
      <c r="L56" s="43">
        <f>L53*'Estados Financieros'!$P$65</f>
        <v>3430346613.662034</v>
      </c>
      <c r="M56" s="43">
        <f>M53*'Estados Financieros'!$P$65</f>
        <v>3796364597.3397732</v>
      </c>
      <c r="N56" s="43">
        <f>N53*'Estados Financieros'!$P$65</f>
        <v>4085837397.8869309</v>
      </c>
      <c r="O56" s="43">
        <f>O53*'Estados Financieros'!$P$65</f>
        <v>4419139583.6195574</v>
      </c>
    </row>
    <row r="57" spans="1:15" ht="15.75" customHeight="1">
      <c r="A57" s="292" t="s">
        <v>53</v>
      </c>
      <c r="B57" s="298"/>
      <c r="C57" s="298"/>
      <c r="D57" s="298"/>
      <c r="E57" s="298"/>
      <c r="F57" s="43">
        <f>+'Estados Financieros'!F66</f>
        <v>2100122025</v>
      </c>
      <c r="G57" s="43">
        <f>+'Estados Financieros'!G66</f>
        <v>3783610423</v>
      </c>
      <c r="H57" s="43">
        <f>+'Estados Financieros'!H66</f>
        <v>4159403862</v>
      </c>
      <c r="I57" s="43">
        <f>+'Estados Financieros'!I66</f>
        <v>4243395166</v>
      </c>
      <c r="J57" s="43">
        <f>+'Estados Financieros'!J66</f>
        <v>4318857792</v>
      </c>
      <c r="K57" s="43">
        <f>+K53*'Estados Financieros'!$P$66</f>
        <v>6313199543.8467884</v>
      </c>
      <c r="L57" s="43">
        <f>+L53*'Estados Financieros'!$P$66</f>
        <v>7144805753.760006</v>
      </c>
      <c r="M57" s="43">
        <f>+M53*'Estados Financieros'!$P$66</f>
        <v>7907156527.6861982</v>
      </c>
      <c r="N57" s="43">
        <f>+N53*'Estados Financieros'!$P$66</f>
        <v>8510077212.9222708</v>
      </c>
      <c r="O57" s="43">
        <f>+O53*'Estados Financieros'!$P$66</f>
        <v>9204286761.5664043</v>
      </c>
    </row>
    <row r="58" spans="1:15" ht="15.75" customHeight="1">
      <c r="A58" s="293" t="s">
        <v>56</v>
      </c>
      <c r="B58" s="298"/>
      <c r="C58" s="298"/>
      <c r="D58" s="298"/>
      <c r="E58" s="298"/>
      <c r="F58" s="57">
        <f t="shared" ref="F58:O58" si="8">F55-F56-F57</f>
        <v>1833670767</v>
      </c>
      <c r="G58" s="57">
        <f t="shared" si="8"/>
        <v>1072802078</v>
      </c>
      <c r="H58" s="57">
        <f t="shared" si="8"/>
        <v>1237792417</v>
      </c>
      <c r="I58" s="57">
        <f t="shared" si="8"/>
        <v>849201303</v>
      </c>
      <c r="J58" s="57">
        <f t="shared" si="8"/>
        <v>1466065526</v>
      </c>
      <c r="K58" s="57">
        <f t="shared" si="8"/>
        <v>2311317717.6749401</v>
      </c>
      <c r="L58" s="57">
        <f t="shared" si="8"/>
        <v>2615776044.035675</v>
      </c>
      <c r="M58" s="57">
        <f t="shared" si="8"/>
        <v>2894879347.9342794</v>
      </c>
      <c r="N58" s="57">
        <f t="shared" si="8"/>
        <v>3115613898.2142668</v>
      </c>
      <c r="O58" s="57">
        <f t="shared" si="8"/>
        <v>3369770101.9611034</v>
      </c>
    </row>
    <row r="59" spans="1:15" ht="15.75" customHeight="1">
      <c r="A59" s="295" t="s">
        <v>61</v>
      </c>
      <c r="B59" s="317"/>
      <c r="C59" s="317"/>
      <c r="D59" s="317"/>
      <c r="E59" s="317"/>
      <c r="F59" s="80"/>
      <c r="G59" s="80"/>
      <c r="H59" s="80"/>
      <c r="I59" s="80"/>
      <c r="J59" s="80"/>
      <c r="K59" s="73"/>
      <c r="L59" s="73"/>
      <c r="M59" s="73"/>
      <c r="N59" s="73"/>
      <c r="O59" s="73"/>
    </row>
    <row r="60" spans="1:15" ht="15.75" customHeight="1">
      <c r="A60" s="292" t="s">
        <v>63</v>
      </c>
      <c r="B60" s="298"/>
      <c r="C60" s="298"/>
      <c r="D60" s="298"/>
      <c r="E60" s="298"/>
      <c r="F60" s="32">
        <f>+'Estados Financieros'!F69</f>
        <v>60951359</v>
      </c>
      <c r="G60" s="32">
        <f>+'Estados Financieros'!G69</f>
        <v>276252254</v>
      </c>
      <c r="H60" s="32">
        <f>+'Estados Financieros'!H69</f>
        <v>125247009</v>
      </c>
      <c r="I60" s="32">
        <f>+'Estados Financieros'!I69</f>
        <v>525543088</v>
      </c>
      <c r="J60" s="32">
        <f>+'Estados Financieros'!J69</f>
        <v>237097617</v>
      </c>
      <c r="K60" s="32">
        <f>+K53*'Estados Financieros'!$P$69</f>
        <v>411843903.50448763</v>
      </c>
      <c r="L60" s="32">
        <f>+L53*'Estados Financieros'!$P$69</f>
        <v>466094041.69361621</v>
      </c>
      <c r="M60" s="32">
        <f>+M53*'Estados Financieros'!$P$69</f>
        <v>515826275.94232512</v>
      </c>
      <c r="N60" s="32">
        <f>+N53*'Estados Financieros'!$P$69</f>
        <v>555158029.48292732</v>
      </c>
      <c r="O60" s="32">
        <f>+O53*'Estados Financieros'!$P$69</f>
        <v>600445045.73799717</v>
      </c>
    </row>
    <row r="61" spans="1:15" ht="15.75" customHeight="1">
      <c r="A61" s="292" t="s">
        <v>65</v>
      </c>
      <c r="B61" s="298"/>
      <c r="C61" s="298"/>
      <c r="D61" s="298"/>
      <c r="E61" s="298"/>
      <c r="F61" s="32">
        <f>+'Estados Financieros'!F70</f>
        <v>6816537</v>
      </c>
      <c r="G61" s="32">
        <f>+'Estados Financieros'!G70</f>
        <v>2936105</v>
      </c>
      <c r="H61" s="32">
        <f>+'Estados Financieros'!H70</f>
        <v>0</v>
      </c>
      <c r="I61" s="32">
        <f>+'Estados Financieros'!I70</f>
        <v>366325798</v>
      </c>
      <c r="J61" s="32">
        <f>+'Estados Financieros'!J70</f>
        <v>133891372</v>
      </c>
      <c r="K61" s="43">
        <f>+K53*'Estados Financieros'!$P$70</f>
        <v>161630446.43189493</v>
      </c>
      <c r="L61" s="43">
        <f>+L53*'Estados Financieros'!$P$70</f>
        <v>182921216.98813626</v>
      </c>
      <c r="M61" s="43">
        <f>+M53*'Estados Financieros'!$P$70</f>
        <v>202438910.84077042</v>
      </c>
      <c r="N61" s="43">
        <f>+N53*'Estados Financieros'!$P$70</f>
        <v>217874877.79237914</v>
      </c>
      <c r="O61" s="43">
        <f>+O53*'Estados Financieros'!$P$70</f>
        <v>235648020.94829246</v>
      </c>
    </row>
    <row r="62" spans="1:15" ht="15.75" customHeight="1">
      <c r="A62" s="292" t="s">
        <v>67</v>
      </c>
      <c r="B62" s="298"/>
      <c r="C62" s="298"/>
      <c r="D62" s="298"/>
      <c r="E62" s="298"/>
      <c r="F62" s="32">
        <f>+'Estados Financieros'!F71</f>
        <v>872635121</v>
      </c>
      <c r="G62" s="32">
        <f>+'Estados Financieros'!G71</f>
        <v>806085597</v>
      </c>
      <c r="H62" s="32">
        <f>+'Estados Financieros'!H71</f>
        <v>827579911</v>
      </c>
      <c r="I62" s="32">
        <f>+'Estados Financieros'!I71</f>
        <v>744684873</v>
      </c>
      <c r="J62" s="32">
        <f>+'Estados Financieros'!J71</f>
        <v>955787173</v>
      </c>
      <c r="K62" s="43">
        <f>+K53*'Estados Financieros'!$P$71</f>
        <v>1472169589.496659</v>
      </c>
      <c r="L62" s="43">
        <f>+L53*'Estados Financieros'!$P$71</f>
        <v>1666091128.6731064</v>
      </c>
      <c r="M62" s="43">
        <f>+M53*'Estados Financieros'!$P$71</f>
        <v>1843863052.1025269</v>
      </c>
      <c r="N62" s="43">
        <f>+N53*'Estados Financieros'!$P$71</f>
        <v>1984457609.8253446</v>
      </c>
      <c r="O62" s="43">
        <f>+O53*'Estados Financieros'!$P$71</f>
        <v>2146339739.3468471</v>
      </c>
    </row>
    <row r="63" spans="1:15" ht="15.75" customHeight="1">
      <c r="A63" s="295" t="s">
        <v>68</v>
      </c>
      <c r="B63" s="317"/>
      <c r="C63" s="317"/>
      <c r="D63" s="317"/>
      <c r="E63" s="317"/>
      <c r="F63" s="80"/>
      <c r="G63" s="80"/>
      <c r="H63" s="80"/>
      <c r="I63" s="80"/>
      <c r="J63" s="80"/>
      <c r="K63" s="73"/>
      <c r="L63" s="73"/>
      <c r="M63" s="73"/>
      <c r="N63" s="73"/>
      <c r="O63" s="73"/>
    </row>
    <row r="64" spans="1:15" ht="15.75" customHeight="1">
      <c r="A64" s="293" t="s">
        <v>69</v>
      </c>
      <c r="B64" s="298"/>
      <c r="C64" s="298"/>
      <c r="D64" s="298"/>
      <c r="E64" s="298"/>
      <c r="F64" s="57">
        <f t="shared" ref="F64:O64" si="9">F58+F60-F61-F62</f>
        <v>1015170468</v>
      </c>
      <c r="G64" s="57">
        <f t="shared" si="9"/>
        <v>540032630</v>
      </c>
      <c r="H64" s="57">
        <f t="shared" si="9"/>
        <v>535459515</v>
      </c>
      <c r="I64" s="57">
        <f t="shared" si="9"/>
        <v>263733720</v>
      </c>
      <c r="J64" s="57">
        <f t="shared" si="9"/>
        <v>613484598</v>
      </c>
      <c r="K64" s="57">
        <f t="shared" si="9"/>
        <v>1089361585.2508738</v>
      </c>
      <c r="L64" s="57">
        <f t="shared" si="9"/>
        <v>1232857740.0680487</v>
      </c>
      <c r="M64" s="57">
        <f t="shared" si="9"/>
        <v>1364403660.9333074</v>
      </c>
      <c r="N64" s="57">
        <f t="shared" si="9"/>
        <v>1468439440.0794702</v>
      </c>
      <c r="O64" s="57">
        <f t="shared" si="9"/>
        <v>1588227387.4039612</v>
      </c>
    </row>
    <row r="65" spans="1:15" ht="15.75" customHeight="1">
      <c r="A65" s="292" t="s">
        <v>70</v>
      </c>
      <c r="B65" s="298"/>
      <c r="C65" s="298"/>
      <c r="D65" s="298"/>
      <c r="E65" s="298"/>
      <c r="F65" s="43">
        <f>+'Estados Financieros'!F74</f>
        <v>403412000</v>
      </c>
      <c r="G65" s="43">
        <f>+'Estados Financieros'!G74</f>
        <v>185347000</v>
      </c>
      <c r="H65" s="43">
        <f>+'Estados Financieros'!H74</f>
        <v>241388000</v>
      </c>
      <c r="I65" s="43">
        <f>+'Estados Financieros'!I74</f>
        <v>494651000</v>
      </c>
      <c r="J65" s="43">
        <f>+'Estados Financieros'!J74</f>
        <v>297185957</v>
      </c>
      <c r="K65" s="43">
        <f>+K53*'Estados Financieros'!$P$74</f>
        <v>579142192.65928054</v>
      </c>
      <c r="L65" s="43">
        <f>+L53*'Estados Financieros'!$P$74</f>
        <v>655429697.98732424</v>
      </c>
      <c r="M65" s="43">
        <f>+M53*'Estados Financieros'!$P$74</f>
        <v>725364046.76257169</v>
      </c>
      <c r="N65" s="43">
        <f>+N53*'Estados Financieros'!$P$74</f>
        <v>780673055.32821774</v>
      </c>
      <c r="O65" s="43">
        <f>+O53*'Estados Financieros'!$P$74</f>
        <v>844356459.81661713</v>
      </c>
    </row>
    <row r="66" spans="1:15" ht="15.75" customHeight="1">
      <c r="A66" s="293" t="s">
        <v>71</v>
      </c>
      <c r="B66" s="298"/>
      <c r="C66" s="298"/>
      <c r="D66" s="298"/>
      <c r="E66" s="298"/>
      <c r="F66" s="57">
        <f t="shared" ref="F66:O66" si="10">F64-F65</f>
        <v>611758468</v>
      </c>
      <c r="G66" s="57">
        <f t="shared" si="10"/>
        <v>354685630</v>
      </c>
      <c r="H66" s="57">
        <f t="shared" si="10"/>
        <v>294071515</v>
      </c>
      <c r="I66" s="57">
        <f t="shared" si="10"/>
        <v>-230917280</v>
      </c>
      <c r="J66" s="57">
        <f t="shared" si="10"/>
        <v>316298641</v>
      </c>
      <c r="K66" s="57">
        <f t="shared" si="10"/>
        <v>510219392.59159327</v>
      </c>
      <c r="L66" s="57">
        <f t="shared" si="10"/>
        <v>577428042.08072448</v>
      </c>
      <c r="M66" s="57">
        <f t="shared" si="10"/>
        <v>639039614.17073572</v>
      </c>
      <c r="N66" s="57">
        <f t="shared" si="10"/>
        <v>687766384.75125241</v>
      </c>
      <c r="O66" s="57">
        <f t="shared" si="10"/>
        <v>743870927.58734405</v>
      </c>
    </row>
    <row r="67" spans="1:15" ht="15.75" customHeight="1">
      <c r="G67" s="34"/>
      <c r="H67" s="34"/>
      <c r="I67" s="34"/>
      <c r="J67" s="34"/>
      <c r="K67" s="43"/>
      <c r="L67" s="34"/>
      <c r="M67" s="34"/>
      <c r="N67" s="34"/>
      <c r="O67" s="34"/>
    </row>
    <row r="68" spans="1:15" ht="15.75" customHeight="1">
      <c r="F68" s="77"/>
      <c r="G68" s="77"/>
      <c r="H68" s="77"/>
      <c r="I68" s="77"/>
      <c r="J68" s="77"/>
    </row>
    <row r="69" spans="1:15" ht="15.75" customHeight="1"/>
    <row r="70" spans="1:15" ht="15.75" customHeight="1">
      <c r="A70" s="79" t="s">
        <v>73</v>
      </c>
      <c r="B70" s="66"/>
      <c r="C70" s="66"/>
      <c r="D70" s="66"/>
      <c r="E70" s="66"/>
      <c r="F70" s="46">
        <f t="shared" ref="F70:O70" si="11">F51</f>
        <v>2018</v>
      </c>
      <c r="G70" s="67">
        <f t="shared" si="11"/>
        <v>2019</v>
      </c>
      <c r="H70" s="67">
        <f t="shared" si="11"/>
        <v>2020</v>
      </c>
      <c r="I70" s="67">
        <f t="shared" si="11"/>
        <v>2021</v>
      </c>
      <c r="J70" s="67">
        <f t="shared" si="11"/>
        <v>2022</v>
      </c>
      <c r="K70" s="68">
        <f t="shared" si="11"/>
        <v>2023</v>
      </c>
      <c r="L70" s="68">
        <f t="shared" si="11"/>
        <v>2024</v>
      </c>
      <c r="M70" s="68">
        <f t="shared" si="11"/>
        <v>2025</v>
      </c>
      <c r="N70" s="68">
        <f t="shared" si="11"/>
        <v>2026</v>
      </c>
      <c r="O70" s="68">
        <f t="shared" si="11"/>
        <v>2027</v>
      </c>
    </row>
    <row r="71" spans="1:15" ht="15.75" customHeight="1">
      <c r="A71" s="27" t="s">
        <v>74</v>
      </c>
      <c r="F71" s="32">
        <f>+'Estados Financieros'!F80</f>
        <v>493803100</v>
      </c>
      <c r="G71" s="32">
        <f>+'Estados Financieros'!G80</f>
        <v>780704399</v>
      </c>
      <c r="H71" s="32">
        <f>+'Estados Financieros'!H80</f>
        <v>789070726</v>
      </c>
      <c r="I71" s="32">
        <f>+'Estados Financieros'!I80</f>
        <v>465856844</v>
      </c>
      <c r="J71" s="32">
        <f>+'Estados Financieros'!J80</f>
        <v>407852963</v>
      </c>
      <c r="K71" s="32">
        <f t="shared" ref="K71:O72" si="12">AVERAGE(F71:J71)</f>
        <v>587457606.39999998</v>
      </c>
      <c r="L71" s="32">
        <f t="shared" si="12"/>
        <v>606188507.68000007</v>
      </c>
      <c r="M71" s="32">
        <f t="shared" si="12"/>
        <v>571285329.41600001</v>
      </c>
      <c r="N71" s="32">
        <f t="shared" si="12"/>
        <v>527728250.09920007</v>
      </c>
      <c r="O71" s="32">
        <f t="shared" si="12"/>
        <v>540102531.31904006</v>
      </c>
    </row>
    <row r="72" spans="1:15" ht="15.75" customHeight="1">
      <c r="A72" s="27" t="s">
        <v>75</v>
      </c>
      <c r="F72" s="32">
        <f>+'Estados Financieros'!F81</f>
        <v>253697068</v>
      </c>
      <c r="G72" s="65">
        <f>+'Estados Financieros'!G81</f>
        <v>291818626</v>
      </c>
      <c r="H72" s="65">
        <f>+'Estados Financieros'!H81</f>
        <v>259000141</v>
      </c>
      <c r="I72" s="32">
        <f>+'Estados Financieros'!I81</f>
        <v>0</v>
      </c>
      <c r="J72" s="32">
        <f>+'Estados Financieros'!J81</f>
        <v>14584656</v>
      </c>
      <c r="K72" s="32">
        <f t="shared" si="12"/>
        <v>163820098.19999999</v>
      </c>
      <c r="L72" s="32">
        <f t="shared" si="12"/>
        <v>145844704.24000001</v>
      </c>
      <c r="M72" s="32">
        <f t="shared" si="12"/>
        <v>116649919.88800001</v>
      </c>
      <c r="N72" s="32">
        <f t="shared" si="12"/>
        <v>88179875.665600002</v>
      </c>
      <c r="O72" s="32">
        <f t="shared" si="12"/>
        <v>105815850.79872</v>
      </c>
    </row>
    <row r="73" spans="1:15" ht="15.75" customHeight="1"/>
    <row r="74" spans="1:15" ht="15.75" customHeight="1"/>
    <row r="75" spans="1:15" ht="15.75" customHeight="1"/>
    <row r="76" spans="1:15" ht="15.75" customHeight="1"/>
    <row r="77" spans="1:15" ht="15.75" customHeight="1"/>
    <row r="78" spans="1:15" ht="15.75" customHeight="1"/>
    <row r="79" spans="1:15" ht="15.75" customHeight="1"/>
    <row r="80" spans="1:15" ht="15.75" customHeight="1"/>
    <row r="81" spans="17:17" ht="15.75" customHeight="1"/>
    <row r="82" spans="17:17" ht="15.75" customHeight="1"/>
    <row r="83" spans="17:17" ht="15.75" customHeight="1"/>
    <row r="84" spans="17:17" ht="15.75" customHeight="1"/>
    <row r="85" spans="17:17" ht="15.75" customHeight="1"/>
    <row r="86" spans="17:17" ht="15.75" customHeight="1"/>
    <row r="87" spans="17:17" ht="15.75" customHeight="1"/>
    <row r="88" spans="17:17" ht="15.75" customHeight="1"/>
    <row r="89" spans="17:17" ht="15.75" customHeight="1"/>
    <row r="90" spans="17:17" ht="15.75" customHeight="1"/>
    <row r="91" spans="17:17" ht="15.75" customHeight="1"/>
    <row r="92" spans="17:17" ht="15.75" customHeight="1">
      <c r="Q92" s="43"/>
    </row>
    <row r="93" spans="17:17" ht="15.75" customHeight="1">
      <c r="Q93" s="43"/>
    </row>
    <row r="94" spans="17:17" ht="15.75" customHeight="1"/>
    <row r="95" spans="17:17" ht="15.75" customHeight="1"/>
    <row r="96" spans="17:17" ht="15.75" customHeight="1"/>
    <row r="97" spans="17:17" ht="15.75" customHeight="1"/>
    <row r="98" spans="17:17" ht="15.75" customHeight="1">
      <c r="Q98" s="43"/>
    </row>
    <row r="99" spans="17:17" ht="15.75" customHeight="1">
      <c r="Q99" s="43"/>
    </row>
    <row r="100" spans="17:17" ht="15.75" customHeight="1">
      <c r="Q100" s="43"/>
    </row>
    <row r="101" spans="17:17" ht="15.75" customHeight="1"/>
    <row r="102" spans="17:17" ht="15.75" customHeight="1">
      <c r="Q102" s="43"/>
    </row>
    <row r="103" spans="17:17" ht="15.75" customHeight="1">
      <c r="Q103" s="43"/>
    </row>
    <row r="104" spans="17:17" ht="15.75" customHeight="1">
      <c r="Q104" s="43"/>
    </row>
    <row r="105" spans="17:17" ht="15.75" customHeight="1">
      <c r="Q105" s="43"/>
    </row>
    <row r="106" spans="17:17" ht="15.75" customHeight="1">
      <c r="Q106" s="43"/>
    </row>
    <row r="107" spans="17:17" ht="15.75" customHeight="1">
      <c r="Q107" s="43"/>
    </row>
    <row r="108" spans="17:17" ht="15.75" customHeight="1"/>
    <row r="109" spans="17:17" ht="15.75" customHeight="1"/>
    <row r="110" spans="17:17" ht="15.75" customHeight="1"/>
    <row r="111" spans="17:17" ht="15.75" customHeight="1"/>
    <row r="112" spans="17:1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s="88" customFormat="1" ht="15.75" customHeight="1"/>
    <row r="144" ht="15.75" customHeight="1"/>
    <row r="145" s="88" customFormat="1" ht="15.75" customHeight="1"/>
    <row r="146" s="88" customFormat="1" ht="15.75" customHeight="1"/>
    <row r="147" ht="15.75" customHeight="1"/>
    <row r="148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</sheetData>
  <mergeCells count="58">
    <mergeCell ref="A66:E66"/>
    <mergeCell ref="A64:E64"/>
    <mergeCell ref="A65:E65"/>
    <mergeCell ref="A57:E57"/>
    <mergeCell ref="A58:E58"/>
    <mergeCell ref="A59:E59"/>
    <mergeCell ref="A60:E60"/>
    <mergeCell ref="A61:E61"/>
    <mergeCell ref="A62:E62"/>
    <mergeCell ref="A63:E63"/>
    <mergeCell ref="A53:E53"/>
    <mergeCell ref="A56:E56"/>
    <mergeCell ref="A54:E54"/>
    <mergeCell ref="A55:E55"/>
    <mergeCell ref="A51:E51"/>
    <mergeCell ref="A18:P18"/>
    <mergeCell ref="A19:P20"/>
    <mergeCell ref="A52:E52"/>
    <mergeCell ref="A42:E42"/>
    <mergeCell ref="A21:P21"/>
    <mergeCell ref="A22:P22"/>
    <mergeCell ref="A23:P23"/>
    <mergeCell ref="A24:E24"/>
    <mergeCell ref="A25:E25"/>
    <mergeCell ref="A26:E26"/>
    <mergeCell ref="A36:E36"/>
    <mergeCell ref="A37:E37"/>
    <mergeCell ref="A29:E29"/>
    <mergeCell ref="K52:O52"/>
    <mergeCell ref="A9:P9"/>
    <mergeCell ref="A12:E12"/>
    <mergeCell ref="A13:E13"/>
    <mergeCell ref="A35:E35"/>
    <mergeCell ref="A31:E31"/>
    <mergeCell ref="A33:E33"/>
    <mergeCell ref="A30:E30"/>
    <mergeCell ref="A14:E14"/>
    <mergeCell ref="K15:O15"/>
    <mergeCell ref="A15:E15"/>
    <mergeCell ref="K10:P10"/>
    <mergeCell ref="L16:P17"/>
    <mergeCell ref="A27:E27"/>
    <mergeCell ref="A17:E17"/>
    <mergeCell ref="A28:E28"/>
    <mergeCell ref="R14:AB14"/>
    <mergeCell ref="A11:E11"/>
    <mergeCell ref="F10:J10"/>
    <mergeCell ref="A47:E47"/>
    <mergeCell ref="S10:W10"/>
    <mergeCell ref="Y10:AC10"/>
    <mergeCell ref="G15:J15"/>
    <mergeCell ref="A38:E38"/>
    <mergeCell ref="R37:AA37"/>
    <mergeCell ref="Q48:R48"/>
    <mergeCell ref="A45:E45"/>
    <mergeCell ref="A39:E39"/>
    <mergeCell ref="A40:E40"/>
    <mergeCell ref="A44:E44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9EA95-202A-434A-B832-5F81E2F63532}">
  <sheetPr>
    <tabColor theme="0"/>
  </sheetPr>
  <dimension ref="A5:P92"/>
  <sheetViews>
    <sheetView showGridLines="0" tabSelected="1" topLeftCell="A10" zoomScale="82" zoomScaleNormal="82" workbookViewId="0">
      <selection activeCell="F18" sqref="F18:J18"/>
    </sheetView>
  </sheetViews>
  <sheetFormatPr baseColWidth="10" defaultRowHeight="15"/>
  <cols>
    <col min="6" max="8" width="15.85546875" bestFit="1" customWidth="1"/>
    <col min="9" max="9" width="15.85546875" customWidth="1"/>
    <col min="10" max="10" width="15.85546875" bestFit="1" customWidth="1"/>
    <col min="11" max="15" width="17.140625" bestFit="1" customWidth="1"/>
    <col min="18" max="19" width="15.85546875" bestFit="1" customWidth="1"/>
  </cols>
  <sheetData>
    <row r="5" spans="1:16" ht="15.7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.75">
      <c r="A6" s="40" t="s">
        <v>274</v>
      </c>
      <c r="B6" s="13"/>
      <c r="C6" s="13"/>
      <c r="D6" s="13"/>
      <c r="E6" s="13"/>
      <c r="F6" s="13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5.75">
      <c r="A7" s="41" t="s">
        <v>273</v>
      </c>
      <c r="B7" s="13"/>
      <c r="C7" s="13"/>
      <c r="D7" s="13"/>
      <c r="E7" s="13"/>
      <c r="F7" s="13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5.7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10" spans="1:16" ht="15.75">
      <c r="A10" s="27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15.75">
      <c r="A11" s="27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ht="15.75">
      <c r="A12" s="21"/>
      <c r="B12" s="21"/>
      <c r="C12" s="21"/>
      <c r="D12" s="21"/>
      <c r="E12" s="21"/>
      <c r="K12" s="21"/>
      <c r="L12" s="21"/>
      <c r="M12" s="21"/>
      <c r="N12" s="21"/>
      <c r="O12" s="21"/>
      <c r="P12" s="21"/>
    </row>
    <row r="13" spans="1:16" ht="15.75">
      <c r="A13" s="81"/>
      <c r="B13" s="21"/>
      <c r="C13" s="21"/>
      <c r="D13" s="21"/>
      <c r="E13" s="21"/>
      <c r="K13" s="21"/>
      <c r="L13" s="21"/>
      <c r="M13" s="21"/>
      <c r="N13" s="21"/>
      <c r="O13" s="21"/>
      <c r="P13" s="21"/>
    </row>
    <row r="14" spans="1:16" ht="15.75">
      <c r="A14" s="82" t="s">
        <v>94</v>
      </c>
      <c r="B14" s="21"/>
      <c r="C14" s="21"/>
      <c r="D14" s="21"/>
      <c r="E14" s="21"/>
      <c r="F14" s="67">
        <f>Proyecciones!F70</f>
        <v>2018</v>
      </c>
      <c r="G14" s="67">
        <f>Proyecciones!G70</f>
        <v>2019</v>
      </c>
      <c r="H14" s="67">
        <f>Proyecciones!H70</f>
        <v>2020</v>
      </c>
      <c r="I14" s="67">
        <f>Proyecciones!I70</f>
        <v>2021</v>
      </c>
      <c r="J14" s="67">
        <f>Proyecciones!J70</f>
        <v>2022</v>
      </c>
      <c r="K14" s="68">
        <f>Proyecciones!K70</f>
        <v>2023</v>
      </c>
      <c r="L14" s="68">
        <f>Proyecciones!L70</f>
        <v>2024</v>
      </c>
      <c r="M14" s="68">
        <f>Proyecciones!M70</f>
        <v>2025</v>
      </c>
      <c r="N14" s="68">
        <f>Proyecciones!N70</f>
        <v>2026</v>
      </c>
      <c r="O14" s="68">
        <f>Proyecciones!O70</f>
        <v>2027</v>
      </c>
      <c r="P14" s="21"/>
    </row>
    <row r="15" spans="1:16" ht="15.75">
      <c r="A15" s="27" t="s">
        <v>95</v>
      </c>
      <c r="B15" s="21"/>
      <c r="C15" s="21"/>
      <c r="D15" s="21"/>
      <c r="E15" s="21"/>
      <c r="F15" s="34">
        <f>Proyecciones!F66/Proyecciones!F33</f>
        <v>5.2943814300854479E-2</v>
      </c>
      <c r="G15" s="34">
        <f>Proyecciones!G66/Proyecciones!G33</f>
        <v>2.8688469702929403E-2</v>
      </c>
      <c r="H15" s="34">
        <f>Proyecciones!H66/Proyecciones!H33</f>
        <v>2.2059632119695898E-2</v>
      </c>
      <c r="I15" s="34">
        <f>Proyecciones!I66/Proyecciones!I33</f>
        <v>-1.8209690013096025E-2</v>
      </c>
      <c r="J15" s="34">
        <f>Proyecciones!J66/Proyecciones!J33</f>
        <v>2.2204545742882546E-2</v>
      </c>
      <c r="K15" s="34">
        <f>Proyecciones!K66/Proyecciones!K33</f>
        <v>3.1152873391670589E-2</v>
      </c>
      <c r="L15" s="34">
        <f>Proyecciones!L66/Proyecciones!L33</f>
        <v>3.1152873391670784E-2</v>
      </c>
      <c r="M15" s="34">
        <f>Proyecciones!M66/Proyecciones!M33</f>
        <v>3.1152873391670683E-2</v>
      </c>
      <c r="N15" s="34">
        <f>Proyecciones!N66/Proyecciones!N33</f>
        <v>3.1152873391670596E-2</v>
      </c>
      <c r="O15" s="34">
        <f>Proyecciones!O66/Proyecciones!O33</f>
        <v>3.1152873391670943E-2</v>
      </c>
      <c r="P15" s="21"/>
    </row>
    <row r="16" spans="1:16" ht="15.75">
      <c r="A16" s="21" t="s">
        <v>96</v>
      </c>
      <c r="B16" s="21"/>
      <c r="C16" s="21"/>
      <c r="D16" s="21"/>
      <c r="E16" s="21"/>
      <c r="F16" s="43">
        <f>Proyecciones!F58*(1-(Proyecciones!F65/Proyecciones!F64))</f>
        <v>1105000248.3290372</v>
      </c>
      <c r="G16" s="43">
        <f>Proyecciones!G58*(1-(Proyecciones!G65/Proyecciones!G64))</f>
        <v>704600906.98730397</v>
      </c>
      <c r="H16" s="43">
        <f>Proyecciones!H58*(1-(Proyecciones!H65/Proyecciones!H64))</f>
        <v>679789005.75275385</v>
      </c>
      <c r="I16" s="43">
        <f>Proyecciones!I58*(1-(Proyecciones!I65/Proyecciones!I64))</f>
        <v>-743535013.50231516</v>
      </c>
      <c r="J16" s="43">
        <f>Proyecciones!J58*(1-(Proyecciones!J65/Proyecciones!J64))</f>
        <v>755869886.55051804</v>
      </c>
      <c r="K16" s="43">
        <f>Proyecciones!K58*(1-(Proyecciones!K65/Proyecciones!K64))</f>
        <v>1082541497.666924</v>
      </c>
      <c r="L16" s="43">
        <f>Proyecciones!L58*(1-(Proyecciones!L65/Proyecciones!L64))</f>
        <v>1225139276.4471054</v>
      </c>
      <c r="M16" s="43">
        <f>Proyecciones!M58*(1-(Proyecciones!M65/Proyecciones!M64))</f>
        <v>1355861637.2440083</v>
      </c>
      <c r="N16" s="43">
        <f>Proyecciones!N58*(1-(Proyecciones!N65/Proyecciones!N64))</f>
        <v>1459246087.0838611</v>
      </c>
      <c r="O16" s="43">
        <f>Proyecciones!O58*(1-(Proyecciones!O65/Proyecciones!O64))</f>
        <v>1578284086.6377401</v>
      </c>
      <c r="P16" s="21"/>
    </row>
    <row r="17" spans="1:16" ht="15.75">
      <c r="A17" s="21" t="s">
        <v>97</v>
      </c>
      <c r="B17" s="21"/>
      <c r="C17" s="21"/>
      <c r="D17" s="21"/>
      <c r="E17" s="21"/>
      <c r="F17" s="43">
        <f>(Proyecciones!F28+Proyecciones!F30-Proyecciones!F37)</f>
        <v>9169932367</v>
      </c>
      <c r="G17" s="43">
        <f>(Proyecciones!G28+Proyecciones!G30-Proyecciones!G37)</f>
        <v>9370810794</v>
      </c>
      <c r="H17" s="43">
        <f>(Proyecciones!H28+Proyecciones!H30-Proyecciones!H37)</f>
        <v>9352771124</v>
      </c>
      <c r="I17" s="43">
        <f>(Proyecciones!I28+Proyecciones!I30-Proyecciones!I37)</f>
        <v>8901061945</v>
      </c>
      <c r="J17" s="43">
        <f>(Proyecciones!J28+Proyecciones!J30-Proyecciones!J37)</f>
        <v>9181393809</v>
      </c>
      <c r="K17" s="43">
        <f>(Proyecciones!K28+Proyecciones!K30-Proyecciones!K37)</f>
        <v>10556307531.897751</v>
      </c>
      <c r="L17" s="43">
        <f>(Proyecciones!L28+Proyecciones!L30-Proyecciones!L37)</f>
        <v>11946837141.53698</v>
      </c>
      <c r="M17" s="43">
        <f>(Proyecciones!M28+Proyecciones!M30-Proyecciones!M37)</f>
        <v>13221564664.538977</v>
      </c>
      <c r="N17" s="43">
        <f>(Proyecciones!N28+Proyecciones!N30-Proyecciones!N37)</f>
        <v>14229708970.210073</v>
      </c>
      <c r="O17" s="43">
        <f>(Proyecciones!O28+Proyecciones!O30-Proyecciones!O37)</f>
        <v>15390497479.45496</v>
      </c>
      <c r="P17" s="21"/>
    </row>
    <row r="18" spans="1:16" ht="15.75">
      <c r="A18" s="27" t="s">
        <v>98</v>
      </c>
      <c r="B18" s="21"/>
      <c r="C18" s="21"/>
      <c r="D18" s="21"/>
      <c r="E18" s="21"/>
      <c r="F18" s="34">
        <f t="shared" ref="F18:O18" si="0">+F16/F17</f>
        <v>0.12050255161157146</v>
      </c>
      <c r="G18" s="34">
        <f t="shared" si="0"/>
        <v>7.5191029087733813E-2</v>
      </c>
      <c r="H18" s="34">
        <f t="shared" si="0"/>
        <v>7.2683164886646043E-2</v>
      </c>
      <c r="I18" s="34">
        <f t="shared" si="0"/>
        <v>-8.3533292779743168E-2</v>
      </c>
      <c r="J18" s="34">
        <f t="shared" si="0"/>
        <v>8.2326267914745316E-2</v>
      </c>
      <c r="K18" s="34">
        <f t="shared" si="0"/>
        <v>0.10254925734172042</v>
      </c>
      <c r="L18" s="34">
        <f t="shared" si="0"/>
        <v>0.10254925734172093</v>
      </c>
      <c r="M18" s="34">
        <f t="shared" si="0"/>
        <v>0.10254925734172067</v>
      </c>
      <c r="N18" s="34">
        <f t="shared" si="0"/>
        <v>0.10254925734172048</v>
      </c>
      <c r="O18" s="34">
        <f t="shared" si="0"/>
        <v>0.10254925734172132</v>
      </c>
      <c r="P18" s="21"/>
    </row>
    <row r="19" spans="1:16" ht="15.75">
      <c r="A19" s="21" t="s">
        <v>99</v>
      </c>
      <c r="B19" s="21"/>
      <c r="C19" s="21"/>
      <c r="D19" s="21"/>
      <c r="E19" s="21"/>
      <c r="F19" s="34">
        <f>+F18-F15</f>
        <v>6.7558737310716988E-2</v>
      </c>
      <c r="G19" s="34">
        <f t="shared" ref="G19:O19" si="1">+G18-G15</f>
        <v>4.6502559384804409E-2</v>
      </c>
      <c r="H19" s="34">
        <f t="shared" si="1"/>
        <v>5.0623532766950141E-2</v>
      </c>
      <c r="I19" s="34">
        <f t="shared" si="1"/>
        <v>-6.5323602766647143E-2</v>
      </c>
      <c r="J19" s="34">
        <f t="shared" si="1"/>
        <v>6.012172217186277E-2</v>
      </c>
      <c r="K19" s="34">
        <f t="shared" si="1"/>
        <v>7.1396383950049824E-2</v>
      </c>
      <c r="L19" s="34">
        <f t="shared" si="1"/>
        <v>7.1396383950050157E-2</v>
      </c>
      <c r="M19" s="34">
        <f t="shared" si="1"/>
        <v>7.1396383950049991E-2</v>
      </c>
      <c r="N19" s="34">
        <f t="shared" si="1"/>
        <v>7.139638395004988E-2</v>
      </c>
      <c r="O19" s="34">
        <f t="shared" si="1"/>
        <v>7.1396383950050379E-2</v>
      </c>
      <c r="P19" s="21"/>
    </row>
    <row r="20" spans="1:16" ht="15.7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21"/>
    </row>
    <row r="21" spans="1:16" ht="15.75">
      <c r="A21" s="82" t="s">
        <v>100</v>
      </c>
      <c r="B21" s="21"/>
      <c r="C21" s="21"/>
      <c r="D21" s="21"/>
      <c r="E21" s="21"/>
      <c r="F21" s="67">
        <f t="shared" ref="F21:O21" si="2">F14</f>
        <v>2018</v>
      </c>
      <c r="G21" s="67">
        <f t="shared" si="2"/>
        <v>2019</v>
      </c>
      <c r="H21" s="67">
        <f t="shared" si="2"/>
        <v>2020</v>
      </c>
      <c r="I21" s="67">
        <f t="shared" si="2"/>
        <v>2021</v>
      </c>
      <c r="J21" s="67">
        <f t="shared" si="2"/>
        <v>2022</v>
      </c>
      <c r="K21" s="68">
        <f t="shared" si="2"/>
        <v>2023</v>
      </c>
      <c r="L21" s="68">
        <f t="shared" si="2"/>
        <v>2024</v>
      </c>
      <c r="M21" s="68">
        <f t="shared" si="2"/>
        <v>2025</v>
      </c>
      <c r="N21" s="68">
        <f t="shared" si="2"/>
        <v>2026</v>
      </c>
      <c r="O21" s="68">
        <f t="shared" si="2"/>
        <v>2027</v>
      </c>
      <c r="P21" s="21"/>
    </row>
    <row r="22" spans="1:16" ht="15.75">
      <c r="A22" s="21" t="s">
        <v>101</v>
      </c>
      <c r="B22" s="21"/>
      <c r="C22" s="21"/>
      <c r="D22" s="21"/>
      <c r="E22" s="21"/>
      <c r="F22" s="43">
        <f>+Proyecciones!F66+Proyecciones!F65+Proyecciones!F62+Proyecciones!F71+Proyecciones!F72</f>
        <v>2635305757</v>
      </c>
      <c r="G22" s="43">
        <f>+Proyecciones!G66+Proyecciones!G65+Proyecciones!G62+Proyecciones!G71+Proyecciones!G72</f>
        <v>2418641252</v>
      </c>
      <c r="H22" s="43">
        <f>+Proyecciones!H66+Proyecciones!H65+Proyecciones!H62+Proyecciones!H71+Proyecciones!H72</f>
        <v>2411110293</v>
      </c>
      <c r="I22" s="43">
        <f>+Proyecciones!I66+Proyecciones!I65+Proyecciones!I62+Proyecciones!I71+Proyecciones!I72</f>
        <v>1474275437</v>
      </c>
      <c r="J22" s="43">
        <f>+Proyecciones!J66+Proyecciones!J65+Proyecciones!J62+Proyecciones!J71+Proyecciones!J72</f>
        <v>1991709390</v>
      </c>
      <c r="K22" s="43">
        <f>+Proyecciones!K66+Proyecciones!K65+Proyecciones!K62+Proyecciones!K71+Proyecciones!K72</f>
        <v>3312808879.3475327</v>
      </c>
      <c r="L22" s="43">
        <f>+Proyecciones!L66+Proyecciones!L65+Proyecciones!L62+Proyecciones!L71+Proyecciones!L72</f>
        <v>3650982080.6611547</v>
      </c>
      <c r="M22" s="43">
        <f>+Proyecciones!M66+Proyecciones!M65+Proyecciones!M62+Proyecciones!M71+Proyecciones!M72</f>
        <v>3896201962.3398342</v>
      </c>
      <c r="N22" s="43">
        <f>+Proyecciones!N66+Proyecciones!N65+Proyecciones!N62+Proyecciones!N71+Proyecciones!N72</f>
        <v>4068805175.6696148</v>
      </c>
      <c r="O22" s="43">
        <f>+Proyecciones!O66+Proyecciones!O65+Proyecciones!O62+Proyecciones!O71+Proyecciones!O72</f>
        <v>4380485508.8685684</v>
      </c>
      <c r="P22" s="21"/>
    </row>
    <row r="23" spans="1:16" ht="15.75">
      <c r="A23" s="27" t="s">
        <v>102</v>
      </c>
      <c r="B23" s="21"/>
      <c r="C23" s="21"/>
      <c r="D23" s="21"/>
      <c r="E23" s="21"/>
      <c r="F23" s="43">
        <f>+Proyecciones!F58+Proyecciones!F71+Proyecciones!F72</f>
        <v>2581170935</v>
      </c>
      <c r="G23" s="43">
        <f>+Proyecciones!G58+Proyecciones!G71+Proyecciones!G72</f>
        <v>2145325103</v>
      </c>
      <c r="H23" s="43">
        <f>+Proyecciones!H58+Proyecciones!H71+Proyecciones!H72</f>
        <v>2285863284</v>
      </c>
      <c r="I23" s="43">
        <f>+Proyecciones!I58+Proyecciones!I71+Proyecciones!I72</f>
        <v>1315058147</v>
      </c>
      <c r="J23" s="43">
        <f>+Proyecciones!J58+Proyecciones!J71+Proyecciones!J72</f>
        <v>1888503145</v>
      </c>
      <c r="K23" s="43">
        <f>+Proyecciones!K58+Proyecciones!K71+Proyecciones!K72</f>
        <v>3062595422.27494</v>
      </c>
      <c r="L23" s="43">
        <f>+Proyecciones!L58+Proyecciones!L71+Proyecciones!L72</f>
        <v>3367809255.9556751</v>
      </c>
      <c r="M23" s="43">
        <f>+Proyecciones!M58+Proyecciones!M71+Proyecciones!M72</f>
        <v>3582814597.2382793</v>
      </c>
      <c r="N23" s="43">
        <f>+Proyecciones!N58+Proyecciones!N71+Proyecciones!N72</f>
        <v>3731522023.9790668</v>
      </c>
      <c r="O23" s="43">
        <f>+Proyecciones!O58+Proyecciones!O71+Proyecciones!O72</f>
        <v>4015688484.0788636</v>
      </c>
      <c r="P23" s="21"/>
    </row>
    <row r="24" spans="1:16" ht="15.75">
      <c r="A24" s="21" t="s">
        <v>103</v>
      </c>
      <c r="B24" s="21"/>
      <c r="C24" s="21"/>
      <c r="D24" s="21"/>
      <c r="E24" s="21"/>
      <c r="F24" s="34">
        <f>+F22/Proyecciones!F53</f>
        <v>0.15775104277912042</v>
      </c>
      <c r="G24" s="34">
        <f>+G22/Proyecciones!G53</f>
        <v>0.11813102926019417</v>
      </c>
      <c r="H24" s="34">
        <f>+H22/Proyecciones!H53</f>
        <v>0.11181643547670705</v>
      </c>
      <c r="I24" s="34">
        <f>+I22/Proyecciones!I53</f>
        <v>6.6573194222331378E-2</v>
      </c>
      <c r="J24" s="34">
        <f>+J22/Proyecciones!J53</f>
        <v>5.9833125753801113E-2</v>
      </c>
      <c r="K24" s="34">
        <f>+K22/Proyecciones!K53</f>
        <v>8.655829314170746E-2</v>
      </c>
      <c r="L24" s="34">
        <f>+L22/Proyecciones!L53</f>
        <v>8.4290978253340365E-2</v>
      </c>
      <c r="M24" s="34">
        <f>+M22/Proyecciones!M53</f>
        <v>8.1279859373539459E-2</v>
      </c>
      <c r="N24" s="34">
        <f>+N22/Proyecciones!N53</f>
        <v>7.8866980473650664E-2</v>
      </c>
      <c r="O24" s="34">
        <f>+O22/Proyecciones!O53</f>
        <v>7.8504386875063364E-2</v>
      </c>
      <c r="P24" s="21"/>
    </row>
    <row r="25" spans="1:16" ht="15.75">
      <c r="A25" s="27" t="s">
        <v>104</v>
      </c>
      <c r="B25" s="21"/>
      <c r="C25" s="21"/>
      <c r="D25" s="21"/>
      <c r="E25" s="21"/>
      <c r="F25" s="34">
        <f>+F23/Proyecciones!F53</f>
        <v>0.15451049864169791</v>
      </c>
      <c r="G25" s="34">
        <f>+G23/Proyecciones!G53</f>
        <v>0.10478174979673342</v>
      </c>
      <c r="H25" s="34">
        <f>+H23/Proyecciones!H53</f>
        <v>0.10600804332593826</v>
      </c>
      <c r="I25" s="34">
        <f>+I23/Proyecciones!I53</f>
        <v>5.9383490517918872E-2</v>
      </c>
      <c r="J25" s="34">
        <f>+J23/Proyecciones!J53</f>
        <v>5.6732697414874314E-2</v>
      </c>
      <c r="K25" s="34">
        <f>+K23/Proyecciones!K53</f>
        <v>8.0020623582709199E-2</v>
      </c>
      <c r="L25" s="34">
        <f>+L23/Proyecciones!L53</f>
        <v>7.7753308694342105E-2</v>
      </c>
      <c r="M25" s="34">
        <f>+M23/Proyecciones!M53</f>
        <v>7.4742189814541199E-2</v>
      </c>
      <c r="N25" s="34">
        <f>+N23/Proyecciones!N53</f>
        <v>7.2329310914652417E-2</v>
      </c>
      <c r="O25" s="34">
        <f>+O23/Proyecciones!O53</f>
        <v>7.1966717316065104E-2</v>
      </c>
      <c r="P25" s="21"/>
    </row>
    <row r="26" spans="1:16" ht="15.75">
      <c r="A26" s="21" t="s">
        <v>105</v>
      </c>
      <c r="B26" s="21"/>
      <c r="C26" s="21"/>
      <c r="D26" s="21"/>
      <c r="E26" s="21"/>
      <c r="F26" s="32">
        <f>+Proyecciones!F26+Proyecciones!F27-Proyecciones!F37</f>
        <v>526742501</v>
      </c>
      <c r="G26" s="32">
        <f>+Proyecciones!G26+Proyecciones!G27-Proyecciones!G37</f>
        <v>972891081</v>
      </c>
      <c r="H26" s="32">
        <f>+Proyecciones!H26+Proyecciones!H27-Proyecciones!H37</f>
        <v>1635955418</v>
      </c>
      <c r="I26" s="32">
        <f>+Proyecciones!I26+Proyecciones!I27-Proyecciones!I37</f>
        <v>1038103441</v>
      </c>
      <c r="J26" s="32">
        <f>+Proyecciones!J26+Proyecciones!J27-Proyecciones!J37</f>
        <v>1851650915</v>
      </c>
      <c r="K26" s="32">
        <f>+Proyecciones!K26+Proyecciones!K27-Proyecciones!K37</f>
        <v>2128935639.5212507</v>
      </c>
      <c r="L26" s="32">
        <f>+Proyecciones!L26+Proyecciones!L27-Proyecciones!L37</f>
        <v>2409369686.637187</v>
      </c>
      <c r="M26" s="32">
        <f>+Proyecciones!M26+Proyecciones!M27-Proyecciones!M37</f>
        <v>2666449432.201376</v>
      </c>
      <c r="N26" s="32">
        <f>+Proyecciones!N26+Proyecciones!N27-Proyecciones!N37</f>
        <v>2869766201.4067287</v>
      </c>
      <c r="O26" s="32">
        <f>+Proyecciones!O26+Proyecciones!O27-Proyecciones!O37</f>
        <v>3103867379.2864828</v>
      </c>
      <c r="P26" s="21"/>
    </row>
    <row r="27" spans="1:16" ht="15.75">
      <c r="A27" s="21" t="s">
        <v>106</v>
      </c>
      <c r="B27" s="21"/>
      <c r="C27" s="21"/>
      <c r="D27" s="21"/>
      <c r="E27" s="21"/>
      <c r="F27" s="83"/>
      <c r="G27" s="32">
        <f t="shared" ref="G27:O27" si="3">+G26-F26</f>
        <v>446148580</v>
      </c>
      <c r="H27" s="32">
        <f t="shared" si="3"/>
        <v>663064337</v>
      </c>
      <c r="I27" s="32">
        <f t="shared" si="3"/>
        <v>-597851977</v>
      </c>
      <c r="J27" s="32">
        <f t="shared" si="3"/>
        <v>813547474</v>
      </c>
      <c r="K27" s="32">
        <f t="shared" si="3"/>
        <v>277284724.52125072</v>
      </c>
      <c r="L27" s="32">
        <f t="shared" si="3"/>
        <v>280434047.11593628</v>
      </c>
      <c r="M27" s="32">
        <f t="shared" si="3"/>
        <v>257079745.56418896</v>
      </c>
      <c r="N27" s="32">
        <f t="shared" si="3"/>
        <v>203316769.20535278</v>
      </c>
      <c r="O27" s="32">
        <f t="shared" si="3"/>
        <v>234101177.87975407</v>
      </c>
      <c r="P27" s="21"/>
    </row>
    <row r="28" spans="1:16" ht="15.75">
      <c r="A28" s="21" t="s">
        <v>107</v>
      </c>
      <c r="B28" s="21"/>
      <c r="C28" s="21"/>
      <c r="D28" s="21"/>
      <c r="E28" s="21"/>
      <c r="F28" s="84">
        <f>F26/Proyecciones!F53</f>
        <v>3.1531133944558018E-2</v>
      </c>
      <c r="G28" s="84">
        <f>G26/Proyecciones!G53</f>
        <v>4.751784691572479E-2</v>
      </c>
      <c r="H28" s="84">
        <f>H26/Proyecciones!H53</f>
        <v>7.5868243759169382E-2</v>
      </c>
      <c r="I28" s="84">
        <f>I26/Proyecciones!I53</f>
        <v>4.6877171162259222E-2</v>
      </c>
      <c r="J28" s="84">
        <f>J26/Proyecciones!J53</f>
        <v>5.5625616169503476E-2</v>
      </c>
      <c r="K28" s="84">
        <f>K26/Proyecciones!K53</f>
        <v>5.5625616169503497E-2</v>
      </c>
      <c r="L28" s="84">
        <f>L26/Proyecciones!L53</f>
        <v>5.562561616950349E-2</v>
      </c>
      <c r="M28" s="84">
        <f>M26/Proyecciones!M53</f>
        <v>5.5625616169503511E-2</v>
      </c>
      <c r="N28" s="84">
        <f>N26/Proyecciones!N53</f>
        <v>5.562561616950347E-2</v>
      </c>
      <c r="O28" s="84">
        <f>O26/Proyecciones!O53</f>
        <v>5.5625616169503476E-2</v>
      </c>
      <c r="P28" s="21"/>
    </row>
    <row r="29" spans="1:16" ht="15.75">
      <c r="A29" s="21" t="s">
        <v>108</v>
      </c>
      <c r="B29" s="21"/>
      <c r="C29" s="21"/>
      <c r="D29" s="21"/>
      <c r="E29" s="21"/>
      <c r="F29" s="84">
        <f>Proyecciones!F53/Proyecciones!F30</f>
        <v>2.159658102571306</v>
      </c>
      <c r="G29" s="84">
        <f>Proyecciones!G53/Proyecciones!G30</f>
        <v>2.5385672754344979</v>
      </c>
      <c r="H29" s="84">
        <f>Proyecciones!H53/Proyecciones!H30</f>
        <v>3.0580442345852652</v>
      </c>
      <c r="I29" s="84">
        <f>Proyecciones!I53/Proyecciones!I30</f>
        <v>3.4582432303128963</v>
      </c>
      <c r="J29" s="84">
        <f>Proyecciones!J53/Proyecciones!J30</f>
        <v>5.702063639244848</v>
      </c>
      <c r="K29" s="84">
        <f>Proyecciones!K53/Proyecciones!K30</f>
        <v>5.702063639244848</v>
      </c>
      <c r="L29" s="84">
        <f>Proyecciones!L53/Proyecciones!L30</f>
        <v>5.702063639244848</v>
      </c>
      <c r="M29" s="84">
        <f>Proyecciones!M53/Proyecciones!M30</f>
        <v>5.7020636392448489</v>
      </c>
      <c r="N29" s="84">
        <f>Proyecciones!N53/Proyecciones!N30</f>
        <v>5.702063639244848</v>
      </c>
      <c r="O29" s="84">
        <f>Proyecciones!O53/Proyecciones!O30</f>
        <v>5.702063639244848</v>
      </c>
      <c r="P29" s="21"/>
    </row>
    <row r="30" spans="1:16" ht="15.75">
      <c r="A30" s="27" t="s">
        <v>109</v>
      </c>
      <c r="B30" s="21"/>
      <c r="C30" s="21"/>
      <c r="D30" s="21"/>
      <c r="E30" s="21"/>
      <c r="F30" s="85">
        <f t="shared" ref="F30:O30" si="4">+F25/F28</f>
        <v>4.9002518879713488</v>
      </c>
      <c r="G30" s="85">
        <f t="shared" si="4"/>
        <v>2.2051030633304776</v>
      </c>
      <c r="H30" s="85">
        <f t="shared" si="4"/>
        <v>1.3972650225362071</v>
      </c>
      <c r="I30" s="85">
        <f t="shared" si="4"/>
        <v>1.2667891224146324</v>
      </c>
      <c r="J30" s="85">
        <f t="shared" si="4"/>
        <v>1.019902363723888</v>
      </c>
      <c r="K30" s="85">
        <f t="shared" si="4"/>
        <v>1.4385570730375146</v>
      </c>
      <c r="L30" s="85">
        <f t="shared" si="4"/>
        <v>1.3977968074530747</v>
      </c>
      <c r="M30" s="85">
        <f t="shared" si="4"/>
        <v>1.3436649328393104</v>
      </c>
      <c r="N30" s="85">
        <f t="shared" si="4"/>
        <v>1.3002878151362696</v>
      </c>
      <c r="O30" s="85">
        <f t="shared" si="4"/>
        <v>1.2937693507388162</v>
      </c>
      <c r="P30" s="21"/>
    </row>
    <row r="31" spans="1:16" ht="15.7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21"/>
    </row>
    <row r="32" spans="1:16" ht="15.7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ht="15.75">
      <c r="A33" s="82" t="s">
        <v>110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5.75">
      <c r="A34" s="21"/>
      <c r="B34" s="21"/>
      <c r="C34" s="21"/>
      <c r="D34" s="21"/>
      <c r="E34" s="21"/>
      <c r="F34" s="67">
        <f t="shared" ref="F34:O34" si="5">F21</f>
        <v>2018</v>
      </c>
      <c r="G34" s="67">
        <f t="shared" si="5"/>
        <v>2019</v>
      </c>
      <c r="H34" s="67">
        <f t="shared" si="5"/>
        <v>2020</v>
      </c>
      <c r="I34" s="67">
        <f t="shared" si="5"/>
        <v>2021</v>
      </c>
      <c r="J34" s="67">
        <f t="shared" si="5"/>
        <v>2022</v>
      </c>
      <c r="K34" s="68">
        <f t="shared" si="5"/>
        <v>2023</v>
      </c>
      <c r="L34" s="68">
        <f t="shared" si="5"/>
        <v>2024</v>
      </c>
      <c r="M34" s="68">
        <f t="shared" si="5"/>
        <v>2025</v>
      </c>
      <c r="N34" s="68">
        <f t="shared" si="5"/>
        <v>2026</v>
      </c>
      <c r="O34" s="68">
        <f t="shared" si="5"/>
        <v>2027</v>
      </c>
      <c r="P34" s="21"/>
    </row>
    <row r="35" spans="1:16" ht="15.75">
      <c r="A35" s="27" t="s">
        <v>111</v>
      </c>
      <c r="B35" s="21"/>
      <c r="C35" s="21"/>
      <c r="D35" s="21"/>
      <c r="E35" s="21"/>
      <c r="F35" s="64">
        <f>+Proyecciones!F66</f>
        <v>611758468</v>
      </c>
      <c r="G35" s="64">
        <f>+Proyecciones!G66</f>
        <v>354685630</v>
      </c>
      <c r="H35" s="64">
        <f>+Proyecciones!H66</f>
        <v>294071515</v>
      </c>
      <c r="I35" s="64">
        <f>+Proyecciones!I66</f>
        <v>-230917280</v>
      </c>
      <c r="J35" s="64">
        <f>+Proyecciones!J66</f>
        <v>316298641</v>
      </c>
      <c r="K35" s="64">
        <f>+Proyecciones!K66</f>
        <v>510219392.59159327</v>
      </c>
      <c r="L35" s="64">
        <f>+Proyecciones!L66</f>
        <v>577428042.08072448</v>
      </c>
      <c r="M35" s="64">
        <f>+Proyecciones!M66</f>
        <v>639039614.17073572</v>
      </c>
      <c r="N35" s="64">
        <f>+Proyecciones!N66</f>
        <v>687766384.75125241</v>
      </c>
      <c r="O35" s="64">
        <f>+Proyecciones!O66</f>
        <v>743870927.58734405</v>
      </c>
      <c r="P35" s="21"/>
    </row>
    <row r="36" spans="1:16" ht="15.75">
      <c r="A36" s="21" t="s">
        <v>112</v>
      </c>
      <c r="B36" s="21"/>
      <c r="C36" s="21"/>
      <c r="D36" s="21"/>
      <c r="E36" s="21"/>
      <c r="F36" s="43">
        <f>+Proyecciones!F65</f>
        <v>403412000</v>
      </c>
      <c r="G36" s="43">
        <f>+Proyecciones!G65</f>
        <v>185347000</v>
      </c>
      <c r="H36" s="43">
        <f>+Proyecciones!H65</f>
        <v>241388000</v>
      </c>
      <c r="I36" s="43">
        <f>+Proyecciones!I65</f>
        <v>494651000</v>
      </c>
      <c r="J36" s="43">
        <f>+Proyecciones!J65</f>
        <v>297185957</v>
      </c>
      <c r="K36" s="43">
        <f>+Proyecciones!K65</f>
        <v>579142192.65928054</v>
      </c>
      <c r="L36" s="43">
        <f>+Proyecciones!L65</f>
        <v>655429697.98732424</v>
      </c>
      <c r="M36" s="43">
        <f>+Proyecciones!M65</f>
        <v>725364046.76257169</v>
      </c>
      <c r="N36" s="43">
        <f>+Proyecciones!N65</f>
        <v>780673055.32821774</v>
      </c>
      <c r="O36" s="43">
        <f>+Proyecciones!O65</f>
        <v>844356459.81661713</v>
      </c>
      <c r="P36" s="21"/>
    </row>
    <row r="37" spans="1:16" ht="15.75">
      <c r="A37" s="21" t="s">
        <v>113</v>
      </c>
      <c r="B37" s="21"/>
      <c r="C37" s="21"/>
      <c r="D37" s="21"/>
      <c r="E37" s="21"/>
      <c r="F37" s="43">
        <f>+Proyecciones!F62</f>
        <v>872635121</v>
      </c>
      <c r="G37" s="43">
        <f>+Proyecciones!G62</f>
        <v>806085597</v>
      </c>
      <c r="H37" s="43">
        <f>+Proyecciones!H62</f>
        <v>827579911</v>
      </c>
      <c r="I37" s="43">
        <f>+Proyecciones!I62</f>
        <v>744684873</v>
      </c>
      <c r="J37" s="43">
        <f>+Proyecciones!J62</f>
        <v>955787173</v>
      </c>
      <c r="K37" s="43">
        <f>+Proyecciones!K62</f>
        <v>1472169589.496659</v>
      </c>
      <c r="L37" s="43">
        <f>+Proyecciones!L62</f>
        <v>1666091128.6731064</v>
      </c>
      <c r="M37" s="43">
        <f>+Proyecciones!M62</f>
        <v>1843863052.1025269</v>
      </c>
      <c r="N37" s="43">
        <f>+Proyecciones!N62</f>
        <v>1984457609.8253446</v>
      </c>
      <c r="O37" s="43">
        <f>+Proyecciones!O62</f>
        <v>2146339739.3468471</v>
      </c>
      <c r="P37" s="21"/>
    </row>
    <row r="38" spans="1:16" ht="15.75">
      <c r="A38" s="27" t="s">
        <v>114</v>
      </c>
      <c r="B38" s="21"/>
      <c r="C38" s="21"/>
      <c r="D38" s="21"/>
      <c r="E38" s="21"/>
      <c r="F38" s="36">
        <f t="shared" ref="F38:O38" si="6">+F35+F36+F37</f>
        <v>1887805589</v>
      </c>
      <c r="G38" s="36">
        <f t="shared" si="6"/>
        <v>1346118227</v>
      </c>
      <c r="H38" s="36">
        <f t="shared" si="6"/>
        <v>1363039426</v>
      </c>
      <c r="I38" s="36">
        <f t="shared" si="6"/>
        <v>1008418593</v>
      </c>
      <c r="J38" s="36">
        <f t="shared" si="6"/>
        <v>1569271771</v>
      </c>
      <c r="K38" s="36">
        <f t="shared" si="6"/>
        <v>2561531174.7475328</v>
      </c>
      <c r="L38" s="36">
        <f t="shared" si="6"/>
        <v>2898948868.7411551</v>
      </c>
      <c r="M38" s="36">
        <f t="shared" si="6"/>
        <v>3208266713.0358343</v>
      </c>
      <c r="N38" s="36">
        <f t="shared" si="6"/>
        <v>3452897049.9048147</v>
      </c>
      <c r="O38" s="36">
        <f t="shared" si="6"/>
        <v>3734567126.7508082</v>
      </c>
      <c r="P38" s="21"/>
    </row>
    <row r="39" spans="1:16" ht="15.7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ht="15.75">
      <c r="A40" s="21" t="s">
        <v>115</v>
      </c>
      <c r="B40" s="21"/>
      <c r="C40" s="21"/>
      <c r="D40" s="21"/>
      <c r="E40" s="21"/>
      <c r="F40" s="43">
        <f>F38*(Proyecciones!F65/Proyecciones!F64)</f>
        <v>750182804.04672682</v>
      </c>
      <c r="G40" s="43">
        <f>G38*(Proyecciones!G65/Proyecciones!G64)</f>
        <v>462007221.7113418</v>
      </c>
      <c r="H40" s="43">
        <f>H38*(Proyecciones!H65/Proyecciones!H64)</f>
        <v>614465429.68479693</v>
      </c>
      <c r="I40" s="43">
        <f>I38*(Proyecciones!I65/Proyecciones!I64)</f>
        <v>1891359456.9782088</v>
      </c>
      <c r="J40" s="43">
        <f>J38*(Proyecciones!J65/Proyecciones!J64)</f>
        <v>760191102.72385323</v>
      </c>
      <c r="K40" s="43">
        <f>K38*(Proyecciones!K65/Proyecciones!K64)</f>
        <v>1361798324.0768945</v>
      </c>
      <c r="L40" s="43">
        <f>L38*(Proyecciones!L65/Proyecciones!L64)</f>
        <v>1541181208.3159208</v>
      </c>
      <c r="M40" s="43">
        <f>M38*(Proyecciones!M65/Proyecciones!M64)</f>
        <v>1705625243.2432308</v>
      </c>
      <c r="N40" s="43">
        <f>N38*(Proyecciones!N65/Proyecciones!N64)</f>
        <v>1835679168.0405285</v>
      </c>
      <c r="O40" s="43">
        <f>O38*(Proyecciones!O65/Proyecciones!O64)</f>
        <v>1985424696.1734285</v>
      </c>
      <c r="P40" s="21"/>
    </row>
    <row r="41" spans="1:16" ht="15.75">
      <c r="A41" s="27" t="s">
        <v>116</v>
      </c>
      <c r="B41" s="21"/>
      <c r="C41" s="21"/>
      <c r="D41" s="21"/>
      <c r="E41" s="21"/>
      <c r="F41" s="36">
        <f t="shared" ref="F41:O41" si="7">+F38-F40</f>
        <v>1137622784.9532733</v>
      </c>
      <c r="G41" s="36">
        <f t="shared" si="7"/>
        <v>884111005.28865814</v>
      </c>
      <c r="H41" s="36">
        <f t="shared" si="7"/>
        <v>748573996.31520307</v>
      </c>
      <c r="I41" s="36">
        <f t="shared" si="7"/>
        <v>-882940863.97820878</v>
      </c>
      <c r="J41" s="36">
        <f t="shared" si="7"/>
        <v>809080668.27614677</v>
      </c>
      <c r="K41" s="36">
        <f t="shared" si="7"/>
        <v>1199732850.6706383</v>
      </c>
      <c r="L41" s="36">
        <f t="shared" si="7"/>
        <v>1357767660.4252343</v>
      </c>
      <c r="M41" s="36">
        <f t="shared" si="7"/>
        <v>1502641469.7926035</v>
      </c>
      <c r="N41" s="36">
        <f t="shared" si="7"/>
        <v>1617217881.8642862</v>
      </c>
      <c r="O41" s="36">
        <f t="shared" si="7"/>
        <v>1749142430.5773797</v>
      </c>
      <c r="P41" s="21"/>
    </row>
    <row r="42" spans="1:16" ht="15.7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1:16" ht="15.75">
      <c r="A43" s="21" t="s">
        <v>117</v>
      </c>
      <c r="B43" s="21"/>
      <c r="C43" s="21"/>
      <c r="D43" s="21"/>
      <c r="E43" s="21"/>
      <c r="F43" s="32">
        <f>+Proyecciones!F71</f>
        <v>493803100</v>
      </c>
      <c r="G43" s="32">
        <f>+Proyecciones!G71</f>
        <v>780704399</v>
      </c>
      <c r="H43" s="32">
        <f>+Proyecciones!H71</f>
        <v>789070726</v>
      </c>
      <c r="I43" s="32">
        <f>+Proyecciones!I71</f>
        <v>465856844</v>
      </c>
      <c r="J43" s="32">
        <f>+Proyecciones!J71</f>
        <v>407852963</v>
      </c>
      <c r="K43" s="32">
        <f>+Proyecciones!K71</f>
        <v>587457606.39999998</v>
      </c>
      <c r="L43" s="32">
        <f>+Proyecciones!L71</f>
        <v>606188507.68000007</v>
      </c>
      <c r="M43" s="32">
        <f>+Proyecciones!M71</f>
        <v>571285329.41600001</v>
      </c>
      <c r="N43" s="32">
        <f>+Proyecciones!N71</f>
        <v>527728250.09920007</v>
      </c>
      <c r="O43" s="32">
        <f>+Proyecciones!O71</f>
        <v>540102531.31904006</v>
      </c>
      <c r="P43" s="21"/>
    </row>
    <row r="44" spans="1:16" ht="15.75">
      <c r="A44" s="21" t="s">
        <v>118</v>
      </c>
      <c r="B44" s="21"/>
      <c r="C44" s="21"/>
      <c r="D44" s="21"/>
      <c r="E44" s="21"/>
      <c r="F44" s="32">
        <f>+Proyecciones!F72</f>
        <v>253697068</v>
      </c>
      <c r="G44" s="32">
        <f>+Proyecciones!G72</f>
        <v>291818626</v>
      </c>
      <c r="H44" s="32">
        <f>+Proyecciones!H72</f>
        <v>259000141</v>
      </c>
      <c r="I44" s="32">
        <f>+Proyecciones!I72</f>
        <v>0</v>
      </c>
      <c r="J44" s="32">
        <f>+Proyecciones!J72</f>
        <v>14584656</v>
      </c>
      <c r="K44" s="32">
        <f>+Proyecciones!K72</f>
        <v>163820098.19999999</v>
      </c>
      <c r="L44" s="32">
        <f>+Proyecciones!L72</f>
        <v>145844704.24000001</v>
      </c>
      <c r="M44" s="32">
        <f>+Proyecciones!M72</f>
        <v>116649919.88800001</v>
      </c>
      <c r="N44" s="32">
        <f>+Proyecciones!N72</f>
        <v>88179875.665600002</v>
      </c>
      <c r="O44" s="32">
        <f>+Proyecciones!O72</f>
        <v>105815850.79872</v>
      </c>
      <c r="P44" s="21"/>
    </row>
    <row r="45" spans="1:16" ht="15.75">
      <c r="A45" s="21" t="s">
        <v>119</v>
      </c>
      <c r="B45" s="21"/>
      <c r="C45" s="21"/>
      <c r="D45" s="21"/>
      <c r="E45" s="21"/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21"/>
    </row>
    <row r="46" spans="1:16" ht="15.75">
      <c r="A46" s="27" t="s">
        <v>120</v>
      </c>
      <c r="B46" s="21"/>
      <c r="C46" s="21"/>
      <c r="D46" s="21"/>
      <c r="E46" s="21"/>
      <c r="F46" s="36">
        <f t="shared" ref="F46:O46" si="8">F41+F43+F44+F45</f>
        <v>1885122952.9532733</v>
      </c>
      <c r="G46" s="36">
        <f t="shared" si="8"/>
        <v>1956634030.2886581</v>
      </c>
      <c r="H46" s="36">
        <f t="shared" si="8"/>
        <v>1796644863.3152032</v>
      </c>
      <c r="I46" s="36">
        <f t="shared" si="8"/>
        <v>-417084019.97820878</v>
      </c>
      <c r="J46" s="36">
        <f t="shared" si="8"/>
        <v>1231518287.2761469</v>
      </c>
      <c r="K46" s="36">
        <f t="shared" si="8"/>
        <v>1951010555.2706382</v>
      </c>
      <c r="L46" s="36">
        <f t="shared" si="8"/>
        <v>2109800872.3452344</v>
      </c>
      <c r="M46" s="36">
        <f t="shared" si="8"/>
        <v>2190576719.0966034</v>
      </c>
      <c r="N46" s="36">
        <f t="shared" si="8"/>
        <v>2233126007.629086</v>
      </c>
      <c r="O46" s="36">
        <f t="shared" si="8"/>
        <v>2395060812.6951394</v>
      </c>
      <c r="P46" s="21"/>
    </row>
    <row r="47" spans="1:16" ht="15.7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ht="15.75">
      <c r="A48" s="21" t="s">
        <v>121</v>
      </c>
      <c r="B48" s="21"/>
      <c r="C48" s="21"/>
      <c r="D48" s="21"/>
      <c r="E48" s="21"/>
      <c r="F48" s="83"/>
      <c r="G48" s="32">
        <f t="shared" ref="G48:O48" si="9">G27</f>
        <v>446148580</v>
      </c>
      <c r="H48" s="32">
        <f t="shared" si="9"/>
        <v>663064337</v>
      </c>
      <c r="I48" s="32">
        <f t="shared" si="9"/>
        <v>-597851977</v>
      </c>
      <c r="J48" s="32">
        <f t="shared" si="9"/>
        <v>813547474</v>
      </c>
      <c r="K48" s="32">
        <f t="shared" si="9"/>
        <v>277284724.52125072</v>
      </c>
      <c r="L48" s="32">
        <f t="shared" si="9"/>
        <v>280434047.11593628</v>
      </c>
      <c r="M48" s="32">
        <f t="shared" si="9"/>
        <v>257079745.56418896</v>
      </c>
      <c r="N48" s="32">
        <f t="shared" si="9"/>
        <v>203316769.20535278</v>
      </c>
      <c r="O48" s="32">
        <f t="shared" si="9"/>
        <v>234101177.87975407</v>
      </c>
      <c r="P48" s="21"/>
    </row>
    <row r="49" spans="1:16" ht="15.75">
      <c r="A49" s="21" t="s">
        <v>122</v>
      </c>
      <c r="B49" s="21"/>
      <c r="C49" s="21"/>
      <c r="D49" s="21"/>
      <c r="E49" s="21"/>
      <c r="F49" s="83"/>
      <c r="G49" s="32">
        <f>Proyecciones!G30-Proyecciones!F30</f>
        <v>330028197</v>
      </c>
      <c r="H49" s="32">
        <f>Proyecciones!H30-Proyecciones!G30</f>
        <v>-1013992480</v>
      </c>
      <c r="I49" s="32">
        <f>Proyecciones!I30-Proyecciones!H30</f>
        <v>-647682614</v>
      </c>
      <c r="J49" s="32">
        <f>Proyecciones!J30-Proyecciones!I30</f>
        <v>-565752253</v>
      </c>
      <c r="K49" s="32">
        <f>Proyecciones!K30-Proyecciones!J30</f>
        <v>874216603.19449997</v>
      </c>
      <c r="L49" s="32">
        <f>Proyecciones!L30-Proyecciones!K30</f>
        <v>884145711.64374447</v>
      </c>
      <c r="M49" s="32">
        <f>Proyecciones!M30-Proyecciones!L30</f>
        <v>810514832.02064037</v>
      </c>
      <c r="N49" s="32">
        <f>Proyecciones!N30-Proyecciones!M30</f>
        <v>641012214.62549019</v>
      </c>
      <c r="O49" s="32">
        <f>Proyecciones!O30-Proyecciones!N30</f>
        <v>738068557.08773804</v>
      </c>
      <c r="P49" s="21"/>
    </row>
    <row r="50" spans="1:16" ht="15.75">
      <c r="A50" s="27" t="s">
        <v>123</v>
      </c>
      <c r="B50" s="21"/>
      <c r="C50" s="21"/>
      <c r="D50" s="21"/>
      <c r="E50" s="21"/>
      <c r="F50" s="83"/>
      <c r="G50" s="74">
        <f t="shared" ref="G50:O50" si="10">+G48+G49</f>
        <v>776176777</v>
      </c>
      <c r="H50" s="74">
        <f t="shared" si="10"/>
        <v>-350928143</v>
      </c>
      <c r="I50" s="74">
        <f t="shared" si="10"/>
        <v>-1245534591</v>
      </c>
      <c r="J50" s="74">
        <f t="shared" si="10"/>
        <v>247795221</v>
      </c>
      <c r="K50" s="74">
        <f t="shared" si="10"/>
        <v>1151501327.7157507</v>
      </c>
      <c r="L50" s="74">
        <f t="shared" si="10"/>
        <v>1164579758.7596807</v>
      </c>
      <c r="M50" s="74">
        <f t="shared" si="10"/>
        <v>1067594577.5848293</v>
      </c>
      <c r="N50" s="74">
        <f t="shared" si="10"/>
        <v>844328983.83084297</v>
      </c>
      <c r="O50" s="74">
        <f t="shared" si="10"/>
        <v>972169734.9674921</v>
      </c>
      <c r="P50" s="21"/>
    </row>
    <row r="51" spans="1:16" ht="15.7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1:16" ht="15.75">
      <c r="A52" s="27" t="s">
        <v>124</v>
      </c>
      <c r="B52" s="21"/>
      <c r="C52" s="21"/>
      <c r="D52" s="21"/>
      <c r="E52" s="21"/>
      <c r="F52" s="32">
        <f t="shared" ref="F52:O52" si="11">+F46-F50</f>
        <v>1885122952.9532733</v>
      </c>
      <c r="G52" s="32">
        <f t="shared" si="11"/>
        <v>1180457253.2886581</v>
      </c>
      <c r="H52" s="32">
        <f t="shared" si="11"/>
        <v>2147573006.3152032</v>
      </c>
      <c r="I52" s="32">
        <f t="shared" si="11"/>
        <v>828450571.02179122</v>
      </c>
      <c r="J52" s="32">
        <f t="shared" si="11"/>
        <v>983723066.27614689</v>
      </c>
      <c r="K52" s="32">
        <f t="shared" si="11"/>
        <v>799509227.55488753</v>
      </c>
      <c r="L52" s="32">
        <f t="shared" si="11"/>
        <v>945221113.58555365</v>
      </c>
      <c r="M52" s="32">
        <f t="shared" si="11"/>
        <v>1122982141.5117741</v>
      </c>
      <c r="N52" s="32">
        <f t="shared" si="11"/>
        <v>1388797023.798243</v>
      </c>
      <c r="O52" s="32">
        <f t="shared" si="11"/>
        <v>1422891077.7276473</v>
      </c>
      <c r="P52" s="21"/>
    </row>
    <row r="53" spans="1:16" ht="15.7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16" ht="15.7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21"/>
    </row>
    <row r="55" spans="1:16" ht="15.7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ht="15.75">
      <c r="A56" s="82" t="s">
        <v>125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15.75">
      <c r="A57" s="21"/>
      <c r="B57" s="21"/>
      <c r="C57" s="21"/>
      <c r="D57" s="21"/>
      <c r="E57" s="21"/>
      <c r="F57" s="67">
        <f t="shared" ref="F57:O57" si="12">F34</f>
        <v>2018</v>
      </c>
      <c r="G57" s="67">
        <f t="shared" si="12"/>
        <v>2019</v>
      </c>
      <c r="H57" s="67">
        <f t="shared" si="12"/>
        <v>2020</v>
      </c>
      <c r="I57" s="67">
        <f t="shared" si="12"/>
        <v>2021</v>
      </c>
      <c r="J57" s="67">
        <f t="shared" si="12"/>
        <v>2022</v>
      </c>
      <c r="K57" s="68">
        <f t="shared" si="12"/>
        <v>2023</v>
      </c>
      <c r="L57" s="68">
        <f t="shared" si="12"/>
        <v>2024</v>
      </c>
      <c r="M57" s="68">
        <f t="shared" si="12"/>
        <v>2025</v>
      </c>
      <c r="N57" s="68">
        <f t="shared" si="12"/>
        <v>2026</v>
      </c>
      <c r="O57" s="68">
        <f t="shared" si="12"/>
        <v>2027</v>
      </c>
      <c r="P57" s="21"/>
    </row>
    <row r="58" spans="1:16" ht="15.75">
      <c r="A58" s="86" t="s">
        <v>126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21"/>
    </row>
    <row r="59" spans="1:16" ht="15.75">
      <c r="A59" s="21" t="s">
        <v>275</v>
      </c>
      <c r="B59" s="21"/>
      <c r="C59" s="21"/>
      <c r="D59" s="21"/>
      <c r="E59" s="21"/>
      <c r="F59" s="34">
        <f>+Proyecciones!F55/Proyecciones!F53</f>
        <v>0.31928402604517553</v>
      </c>
      <c r="G59" s="34">
        <f>+Proyecciones!G55/Proyecciones!G53</f>
        <v>0.32937591636857605</v>
      </c>
      <c r="H59" s="34">
        <f>+Proyecciones!H55/Proyecciones!H53</f>
        <v>0.34346240352164265</v>
      </c>
      <c r="I59" s="34">
        <f>+Proyecciones!I55/Proyecciones!I53</f>
        <v>0.28647933204264042</v>
      </c>
      <c r="J59" s="34">
        <f>+Proyecciones!J55/Proyecciones!J53</f>
        <v>0.24410678142667727</v>
      </c>
      <c r="K59" s="34">
        <f>+Proyecciones!K55/Proyecciones!K53</f>
        <v>0.30454169188094249</v>
      </c>
      <c r="L59" s="34">
        <f>+Proyecciones!L55/Proyecciones!L53</f>
        <v>0.30454169188094249</v>
      </c>
      <c r="M59" s="34">
        <f>+Proyecciones!M55/Proyecciones!M53</f>
        <v>0.30454169188094249</v>
      </c>
      <c r="N59" s="34">
        <f>+Proyecciones!N55/Proyecciones!N53</f>
        <v>0.30454169188094243</v>
      </c>
      <c r="O59" s="34">
        <f>+Proyecciones!O55/Proyecciones!O53</f>
        <v>0.30454169188094254</v>
      </c>
      <c r="P59" s="21"/>
    </row>
    <row r="60" spans="1:16" ht="15.75">
      <c r="A60" s="21" t="s">
        <v>276</v>
      </c>
      <c r="B60" s="21"/>
      <c r="C60" s="21"/>
      <c r="D60" s="21"/>
      <c r="E60" s="21"/>
      <c r="F60" s="34">
        <f>+Proyecciones!F58/Proyecciones!F53</f>
        <v>0.10976467335506963</v>
      </c>
      <c r="G60" s="34">
        <f>+Proyecciones!G58/Proyecciones!G53</f>
        <v>5.2397689637444053E-2</v>
      </c>
      <c r="H60" s="34">
        <f>+Proyecciones!H58/Proyecciones!H53</f>
        <v>5.7403237143842163E-2</v>
      </c>
      <c r="I60" s="34">
        <f>+Proyecciones!I58/Proyecciones!I53</f>
        <v>3.8347002099903993E-2</v>
      </c>
      <c r="J60" s="34">
        <f>+Proyecciones!J58/Proyecciones!J53</f>
        <v>4.4042209883074647E-2</v>
      </c>
      <c r="K60" s="34">
        <f>+Proyecciones!K58/Proyecciones!K53</f>
        <v>6.0390962423866976E-2</v>
      </c>
      <c r="L60" s="34">
        <f>+Proyecciones!L58/Proyecciones!L53</f>
        <v>6.0390962423867059E-2</v>
      </c>
      <c r="M60" s="34">
        <f>+Proyecciones!M58/Proyecciones!M53</f>
        <v>6.0390962423867017E-2</v>
      </c>
      <c r="N60" s="34">
        <f>+Proyecciones!N58/Proyecciones!N53</f>
        <v>6.039096242386699E-2</v>
      </c>
      <c r="O60" s="34">
        <f>+Proyecciones!O58/Proyecciones!O53</f>
        <v>6.0390962423867128E-2</v>
      </c>
      <c r="P60" s="21"/>
    </row>
    <row r="61" spans="1:16" ht="15.75">
      <c r="A61" s="21" t="s">
        <v>277</v>
      </c>
      <c r="B61" s="21"/>
      <c r="C61" s="21"/>
      <c r="D61" s="21"/>
      <c r="E61" s="21"/>
      <c r="F61" s="34">
        <f>+Proyecciones!F66/Proyecciones!F53</f>
        <v>3.6620242641528584E-2</v>
      </c>
      <c r="G61" s="34">
        <f>+Proyecciones!G66/Proyecciones!G53</f>
        <v>1.7323519352468401E-2</v>
      </c>
      <c r="H61" s="34">
        <f>+Proyecciones!H66/Proyecciones!H53</f>
        <v>1.3637712334437365E-2</v>
      </c>
      <c r="I61" s="34">
        <f>+Proyecciones!I66/Proyecciones!I53</f>
        <v>-1.0427427972356889E-2</v>
      </c>
      <c r="J61" s="34">
        <f>+Proyecciones!J66/Proyecciones!J53</f>
        <v>9.5019566899312517E-3</v>
      </c>
      <c r="K61" s="34">
        <f>+Proyecciones!K66/Proyecciones!K53</f>
        <v>1.3331200609201829E-2</v>
      </c>
      <c r="L61" s="34">
        <f>+Proyecciones!L66/Proyecciones!L53</f>
        <v>1.3331200609201913E-2</v>
      </c>
      <c r="M61" s="34">
        <f>+Proyecciones!M66/Proyecciones!M53</f>
        <v>1.3331200609201869E-2</v>
      </c>
      <c r="N61" s="34">
        <f>+Proyecciones!N66/Proyecciones!N53</f>
        <v>1.3331200609201833E-2</v>
      </c>
      <c r="O61" s="34">
        <f>+Proyecciones!O66/Proyecciones!O53</f>
        <v>1.333120060920198E-2</v>
      </c>
      <c r="P61" s="21"/>
    </row>
    <row r="62" spans="1:16" ht="15.75">
      <c r="A62" s="21" t="s">
        <v>278</v>
      </c>
      <c r="B62" s="21"/>
      <c r="C62" s="21"/>
      <c r="D62" s="21"/>
      <c r="E62" s="21"/>
      <c r="F62" s="34">
        <f>+Proyecciones!F66/Proyecciones!F45</f>
        <v>0.21551691061464617</v>
      </c>
      <c r="G62" s="34">
        <f>+Proyecciones!G66/Proyecciones!G45</f>
        <v>0.11641960480329608</v>
      </c>
      <c r="H62" s="34">
        <f>+Proyecciones!H66/Proyecciones!H45</f>
        <v>9.1241787344038969E-2</v>
      </c>
      <c r="I62" s="34">
        <f>+Proyecciones!I66/Proyecciones!I45</f>
        <v>-7.0143397943742608E-2</v>
      </c>
      <c r="J62" s="34">
        <f>+Proyecciones!J66/Proyecciones!J45</f>
        <v>8.7656858999631784E-2</v>
      </c>
      <c r="K62" s="34">
        <f>+Proyecciones!K66/Proyecciones!K45</f>
        <v>0.12298216148836863</v>
      </c>
      <c r="L62" s="34">
        <f>+Proyecciones!L66/Proyecciones!L45</f>
        <v>0.12298216148836941</v>
      </c>
      <c r="M62" s="34">
        <f>+Proyecciones!M66/Proyecciones!M45</f>
        <v>0.122982161488369</v>
      </c>
      <c r="N62" s="34">
        <f>+Proyecciones!N66/Proyecciones!N45</f>
        <v>0.12298216148836867</v>
      </c>
      <c r="O62" s="34">
        <f>+Proyecciones!O66/Proyecciones!O45</f>
        <v>0.12298216148837005</v>
      </c>
      <c r="P62" s="21"/>
    </row>
    <row r="63" spans="1:16" ht="15.75">
      <c r="A63" s="86" t="s">
        <v>127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21"/>
    </row>
    <row r="64" spans="1:16" ht="15.75">
      <c r="A64" s="21" t="s">
        <v>279</v>
      </c>
      <c r="B64" s="21"/>
      <c r="C64" s="21"/>
      <c r="D64" s="21"/>
      <c r="E64" s="21"/>
      <c r="F64" s="260">
        <f>+Proyecciones!F28-Proyecciones!F38</f>
        <v>-4896675924</v>
      </c>
      <c r="G64" s="260">
        <f>+Proyecciones!G28-Proyecciones!G38</f>
        <v>-5018653493</v>
      </c>
      <c r="H64" s="260">
        <f>+Proyecciones!H28-Proyecciones!H38</f>
        <v>-3867219075</v>
      </c>
      <c r="I64" s="260">
        <f>+Proyecciones!I28-Proyecciones!I38</f>
        <v>-3111518342</v>
      </c>
      <c r="J64" s="260">
        <f>+Proyecciones!J28-Proyecciones!J38</f>
        <v>-2229467448</v>
      </c>
      <c r="K64" s="260">
        <f>+Proyecciones!K28-Proyecciones!K38</f>
        <v>-2563330198.3380013</v>
      </c>
      <c r="L64" s="260">
        <f>+Proyecciones!L28-Proyecciones!L38</f>
        <v>-2900984868.7140751</v>
      </c>
      <c r="M64" s="260">
        <f>+Proyecciones!M28-Proyecciones!M38</f>
        <v>-3210519954.2058678</v>
      </c>
      <c r="N64" s="260">
        <f>+Proyecciones!N28-Proyecciones!N38</f>
        <v>-3455322100.7140656</v>
      </c>
      <c r="O64" s="260">
        <f>+Proyecciones!O28-Proyecciones!O38</f>
        <v>-3737190001.0798168</v>
      </c>
      <c r="P64" s="88"/>
    </row>
    <row r="65" spans="1:16" ht="15.75">
      <c r="A65" s="21" t="s">
        <v>280</v>
      </c>
      <c r="B65" s="21"/>
      <c r="C65" s="21"/>
      <c r="D65" s="21"/>
      <c r="E65" s="21"/>
      <c r="F65" s="85">
        <f>+Proyecciones!F28/Proyecciones!F38</f>
        <v>0.4382161180982943</v>
      </c>
      <c r="G65" s="85">
        <f>+Proyecciones!G28/Proyecciones!G38</f>
        <v>0.46132927601271534</v>
      </c>
      <c r="H65" s="85">
        <f>+Proyecciones!H28/Proyecciones!H38</f>
        <v>0.61740104582328514</v>
      </c>
      <c r="I65" s="85">
        <f>+Proyecciones!I28/Proyecciones!I38</f>
        <v>0.66859736722506669</v>
      </c>
      <c r="J65" s="85">
        <f>+Proyecciones!J28/Proyecciones!J38</f>
        <v>0.79039260195223748</v>
      </c>
      <c r="K65" s="85">
        <f>+Proyecciones!K28/Proyecciones!K38</f>
        <v>0.79039260195223737</v>
      </c>
      <c r="L65" s="85">
        <f>+Proyecciones!L28/Proyecciones!L38</f>
        <v>0.79039260195223737</v>
      </c>
      <c r="M65" s="85">
        <f>+Proyecciones!M28/Proyecciones!M38</f>
        <v>0.79039260195223726</v>
      </c>
      <c r="N65" s="85">
        <f>+Proyecciones!N28/Proyecciones!N38</f>
        <v>0.79039260195223726</v>
      </c>
      <c r="O65" s="85">
        <f>+Proyecciones!O28/Proyecciones!O38</f>
        <v>0.79039260195223715</v>
      </c>
      <c r="P65" s="21"/>
    </row>
    <row r="66" spans="1:16" ht="15.75">
      <c r="A66" s="21" t="s">
        <v>281</v>
      </c>
      <c r="B66" s="21"/>
      <c r="C66" s="21"/>
      <c r="D66" s="21"/>
      <c r="E66" s="21"/>
      <c r="F66" s="85">
        <f>(Proyecciones!F28-Proyecciones!F27)/Proyecciones!F38</f>
        <v>0.38724104381139246</v>
      </c>
      <c r="G66" s="85">
        <f>(Proyecciones!G28-Proyecciones!G27)/Proyecciones!G38</f>
        <v>0.37471511243848721</v>
      </c>
      <c r="H66" s="85">
        <f>(Proyecciones!H28-Proyecciones!H27)/Proyecciones!H38</f>
        <v>0.43287016193937594</v>
      </c>
      <c r="I66" s="85">
        <f>(Proyecciones!I28-Proyecciones!I27)/Proyecciones!I38</f>
        <v>0.51551235497934234</v>
      </c>
      <c r="J66" s="85">
        <f>(Proyecciones!J28-Proyecciones!J27)/Proyecciones!J38</f>
        <v>0.46665573495084534</v>
      </c>
      <c r="K66" s="85">
        <f>(Proyecciones!K28-Proyecciones!K27)/Proyecciones!K38</f>
        <v>0.46665573495084528</v>
      </c>
      <c r="L66" s="85">
        <f>(Proyecciones!L28-Proyecciones!L27)/Proyecciones!L38</f>
        <v>0.46665573495084522</v>
      </c>
      <c r="M66" s="85">
        <f>(Proyecciones!M28-Proyecciones!M27)/Proyecciones!M38</f>
        <v>0.46665573495084517</v>
      </c>
      <c r="N66" s="85">
        <f>(Proyecciones!N28-Proyecciones!N27)/Proyecciones!N38</f>
        <v>0.46665573495084517</v>
      </c>
      <c r="O66" s="85">
        <f>(Proyecciones!O28-Proyecciones!O27)/Proyecciones!O38</f>
        <v>0.46665573495084511</v>
      </c>
      <c r="P66" s="21"/>
    </row>
    <row r="67" spans="1:16" ht="15.75">
      <c r="A67" s="86" t="s">
        <v>128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21"/>
    </row>
    <row r="68" spans="1:16" ht="15.75">
      <c r="A68" s="21" t="s">
        <v>282</v>
      </c>
      <c r="B68" s="21"/>
      <c r="C68" s="21"/>
      <c r="D68" s="21"/>
      <c r="E68" s="21"/>
      <c r="F68" s="34">
        <f>+Proyecciones!F42/Proyecciones!F33</f>
        <v>0.75434032461832945</v>
      </c>
      <c r="G68" s="34">
        <f>+Proyecciones!G42/Proyecciones!G33</f>
        <v>0.75357698772984349</v>
      </c>
      <c r="H68" s="34">
        <f>+Proyecciones!H42/Proyecciones!H33</f>
        <v>0.75822884709045435</v>
      </c>
      <c r="I68" s="34">
        <f>+Proyecciones!I42/Proyecciones!I33</f>
        <v>0.74039338630699325</v>
      </c>
      <c r="J68" s="34">
        <f>+Proyecciones!J42/Proyecciones!J33</f>
        <v>0.74668786908077756</v>
      </c>
      <c r="K68" s="34">
        <f>+Proyecciones!K42/Proyecciones!K33</f>
        <v>0.74668786908077767</v>
      </c>
      <c r="L68" s="34">
        <f>+Proyecciones!L42/Proyecciones!L33</f>
        <v>0.74668786908077767</v>
      </c>
      <c r="M68" s="34">
        <f>+Proyecciones!M42/Proyecciones!M33</f>
        <v>0.74668786908077767</v>
      </c>
      <c r="N68" s="34">
        <f>+Proyecciones!N42/Proyecciones!N33</f>
        <v>0.74668786908077767</v>
      </c>
      <c r="O68" s="34">
        <f>+Proyecciones!O42/Proyecciones!O33</f>
        <v>0.74668786908077778</v>
      </c>
      <c r="P68" s="21"/>
    </row>
    <row r="69" spans="1:16" ht="15.75">
      <c r="A69" s="21" t="s">
        <v>283</v>
      </c>
      <c r="B69" s="21"/>
      <c r="C69" s="21"/>
      <c r="D69" s="21"/>
      <c r="E69" s="21"/>
      <c r="F69" s="34">
        <f>+Proyecciones!F38/Proyecciones!F42</f>
        <v>1</v>
      </c>
      <c r="G69" s="34">
        <f>+Proyecciones!G38/Proyecciones!G42</f>
        <v>1</v>
      </c>
      <c r="H69" s="34">
        <f>+Proyecciones!H38/Proyecciones!H42</f>
        <v>1</v>
      </c>
      <c r="I69" s="34">
        <f>+Proyecciones!I38/Proyecciones!I42</f>
        <v>1</v>
      </c>
      <c r="J69" s="34">
        <f>+Proyecciones!J38/Proyecciones!J42</f>
        <v>1</v>
      </c>
      <c r="K69" s="34">
        <f>+Proyecciones!K38/Proyecciones!K42</f>
        <v>1</v>
      </c>
      <c r="L69" s="34">
        <f>+Proyecciones!L38/Proyecciones!L42</f>
        <v>1</v>
      </c>
      <c r="M69" s="34">
        <f>+Proyecciones!M38/Proyecciones!M42</f>
        <v>1</v>
      </c>
      <c r="N69" s="34">
        <f>+Proyecciones!N38/Proyecciones!N42</f>
        <v>1</v>
      </c>
      <c r="O69" s="34">
        <f>+Proyecciones!O38/Proyecciones!O42</f>
        <v>1</v>
      </c>
      <c r="P69" s="21"/>
    </row>
    <row r="70" spans="1:16" ht="15.75">
      <c r="A70" s="21" t="s">
        <v>284</v>
      </c>
      <c r="B70" s="21"/>
      <c r="C70" s="21"/>
      <c r="D70" s="21"/>
      <c r="E70" s="21"/>
      <c r="F70" s="34">
        <f>+Proyecciones!F40/Proyecciones!F42</f>
        <v>0</v>
      </c>
      <c r="G70" s="34">
        <f>+Proyecciones!G40/Proyecciones!G42</f>
        <v>0</v>
      </c>
      <c r="H70" s="34">
        <f>+Proyecciones!H40/Proyecciones!H42</f>
        <v>0</v>
      </c>
      <c r="I70" s="34">
        <f>+Proyecciones!I40/Proyecciones!I42</f>
        <v>0</v>
      </c>
      <c r="J70" s="34">
        <f>+Proyecciones!J40/Proyecciones!J42</f>
        <v>0</v>
      </c>
      <c r="K70" s="34">
        <f>+Proyecciones!K40/Proyecciones!K42</f>
        <v>0</v>
      </c>
      <c r="L70" s="34">
        <f>+Proyecciones!L40/Proyecciones!L42</f>
        <v>0</v>
      </c>
      <c r="M70" s="34">
        <f>+Proyecciones!M40/Proyecciones!M42</f>
        <v>0</v>
      </c>
      <c r="N70" s="34">
        <f>+Proyecciones!N40/Proyecciones!N42</f>
        <v>0</v>
      </c>
      <c r="O70" s="34">
        <f>+Proyecciones!O40/Proyecciones!O42</f>
        <v>0</v>
      </c>
      <c r="P70" s="21"/>
    </row>
    <row r="71" spans="1:16" ht="15.75">
      <c r="A71" s="86" t="s">
        <v>129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21"/>
    </row>
    <row r="72" spans="1:16" ht="15.75">
      <c r="A72" s="21" t="s">
        <v>130</v>
      </c>
      <c r="B72" s="21"/>
      <c r="C72" s="27" t="s">
        <v>131</v>
      </c>
      <c r="D72" s="21"/>
      <c r="E72" s="21"/>
      <c r="F72" s="84">
        <f>+Proyecciones!F53/Proyecciones!F45</f>
        <v>5.8851852163929355</v>
      </c>
      <c r="G72" s="84">
        <f>+Proyecciones!G53/Proyecciones!G45</f>
        <v>6.7203206481659645</v>
      </c>
      <c r="H72" s="84">
        <f>+Proyecciones!H53/Proyecciones!H45</f>
        <v>6.6904026941262815</v>
      </c>
      <c r="I72" s="84">
        <f>+Proyecciones!I53/Proyecciones!I45</f>
        <v>6.7268168267086335</v>
      </c>
      <c r="J72" s="84">
        <f>+Proyecciones!J53/Proyecciones!J45</f>
        <v>9.2251377121637876</v>
      </c>
      <c r="K72" s="84">
        <f>+Proyecciones!K53/Proyecciones!K45</f>
        <v>9.2251377121637859</v>
      </c>
      <c r="L72" s="84">
        <f>+Proyecciones!L53/Proyecciones!L45</f>
        <v>9.2251377121637859</v>
      </c>
      <c r="M72" s="84">
        <f>+Proyecciones!M53/Proyecciones!M45</f>
        <v>9.2251377121637859</v>
      </c>
      <c r="N72" s="84">
        <f>+Proyecciones!N53/Proyecciones!N45</f>
        <v>9.2251377121637859</v>
      </c>
      <c r="O72" s="84">
        <f>+Proyecciones!O53/Proyecciones!O45</f>
        <v>9.2251377121637876</v>
      </c>
      <c r="P72" s="21"/>
    </row>
    <row r="73" spans="1:16" ht="15.75">
      <c r="A73" s="21" t="s">
        <v>132</v>
      </c>
      <c r="B73" s="21"/>
      <c r="C73" s="27" t="s">
        <v>133</v>
      </c>
      <c r="D73" s="21"/>
      <c r="E73" s="21"/>
      <c r="F73" s="84">
        <f>+Proyecciones!F53/Proyecciones!F33</f>
        <v>1.4457526898200947</v>
      </c>
      <c r="G73" s="84">
        <f>+Proyecciones!G53/Proyecciones!G33</f>
        <v>1.6560416575423877</v>
      </c>
      <c r="H73" s="84">
        <f>+Proyecciones!H53/Proyecciones!H33</f>
        <v>1.6175463727880417</v>
      </c>
      <c r="I73" s="84">
        <f>+Proyecciones!I53/Proyecciones!I33</f>
        <v>1.7463261373149652</v>
      </c>
      <c r="J73" s="84">
        <f>+Proyecciones!J53/Proyecciones!J33</f>
        <v>2.3368392918914891</v>
      </c>
      <c r="K73" s="84">
        <f>+Proyecciones!K53/Proyecciones!K33</f>
        <v>2.3368392918914891</v>
      </c>
      <c r="L73" s="84">
        <f>+Proyecciones!L53/Proyecciones!L33</f>
        <v>2.3368392918914891</v>
      </c>
      <c r="M73" s="84">
        <f>+Proyecciones!M53/Proyecciones!M33</f>
        <v>2.3368392918914891</v>
      </c>
      <c r="N73" s="84">
        <f>+Proyecciones!N53/Proyecciones!N33</f>
        <v>2.3368392918914891</v>
      </c>
      <c r="O73" s="84">
        <f>+Proyecciones!O53/Proyecciones!O33</f>
        <v>2.3368392918914891</v>
      </c>
      <c r="P73" s="21"/>
    </row>
    <row r="74" spans="1:16" ht="15.75">
      <c r="A74" s="21" t="s">
        <v>134</v>
      </c>
      <c r="B74" s="21"/>
      <c r="C74" s="27" t="s">
        <v>135</v>
      </c>
      <c r="D74" s="21"/>
      <c r="E74" s="21"/>
      <c r="F74" s="84">
        <f>+Proyecciones!F53/Proyecciones!F26</f>
        <v>6.7705908959440908</v>
      </c>
      <c r="G74" s="84">
        <f>+Proyecciones!G53/Proyecciones!G26</f>
        <v>6.4823231970005448</v>
      </c>
      <c r="H74" s="84">
        <f>+Proyecciones!H53/Proyecciones!H26</f>
        <v>5.8124602295292505</v>
      </c>
      <c r="I74" s="84">
        <f>+Proyecciones!I53/Proyecciones!I26</f>
        <v>6.5503809511431585</v>
      </c>
      <c r="J74" s="84">
        <f>+Proyecciones!J53/Proyecciones!J26</f>
        <v>9.5884953598575464</v>
      </c>
      <c r="K74" s="84">
        <f>+Proyecciones!K53/Proyecciones!K26</f>
        <v>9.5884953598575464</v>
      </c>
      <c r="L74" s="84">
        <f>+Proyecciones!L53/Proyecciones!L26</f>
        <v>9.5884953598575464</v>
      </c>
      <c r="M74" s="84">
        <f>+Proyecciones!M53/Proyecciones!M26</f>
        <v>9.5884953598575464</v>
      </c>
      <c r="N74" s="84">
        <f>+Proyecciones!N53/Proyecciones!N26</f>
        <v>9.5884953598575464</v>
      </c>
      <c r="O74" s="84">
        <f>+Proyecciones!O53/Proyecciones!O26</f>
        <v>9.5884953598575464</v>
      </c>
      <c r="P74" s="21"/>
    </row>
    <row r="75" spans="1:16" ht="15.75">
      <c r="A75" s="88" t="s">
        <v>136</v>
      </c>
      <c r="B75" s="88"/>
      <c r="C75" s="89" t="s">
        <v>137</v>
      </c>
      <c r="D75" s="88"/>
      <c r="E75" s="88"/>
      <c r="F75" s="90">
        <f>(Proyecciones!F27/Proyecciones!F54)*365</f>
        <v>14.261266811893606</v>
      </c>
      <c r="G75" s="90">
        <f>(Proyecciones!G27/Proyecciones!G54)*365</f>
        <v>21.45156614996981</v>
      </c>
      <c r="H75" s="90">
        <f>(Proyecciones!H27/Proyecciones!H54)*365</f>
        <v>48.08901578636214</v>
      </c>
      <c r="I75" s="90">
        <f>(Proyecciones!I27/Proyecciones!I54)*365</f>
        <v>33.201381640549428</v>
      </c>
      <c r="J75" s="90">
        <f>(Proyecciones!J27/Proyecciones!J54)*365</f>
        <v>49.949923128878353</v>
      </c>
      <c r="K75" s="90">
        <f>(Proyecciones!K27/Proyecciones!K54)*365</f>
        <v>54.290541532957313</v>
      </c>
      <c r="L75" s="90">
        <f>(Proyecciones!L27/Proyecciones!L54)*365</f>
        <v>54.290541532957313</v>
      </c>
      <c r="M75" s="90">
        <f>(Proyecciones!M27/Proyecciones!M54)*365</f>
        <v>54.290541532957313</v>
      </c>
      <c r="N75" s="90">
        <f>(Proyecciones!N27/Proyecciones!N54)*365</f>
        <v>54.290541532957299</v>
      </c>
      <c r="O75" s="90">
        <f>(Proyecciones!O27/Proyecciones!O54)*365</f>
        <v>54.290541532957313</v>
      </c>
      <c r="P75" s="88"/>
    </row>
    <row r="76" spans="1:16" ht="15.75">
      <c r="A76" s="21" t="s">
        <v>138</v>
      </c>
      <c r="B76" s="21"/>
      <c r="C76" s="27" t="s">
        <v>139</v>
      </c>
      <c r="D76" s="21"/>
      <c r="E76" s="21"/>
      <c r="F76" s="84">
        <f>(Proyecciones!F26/Proyecciones!F53)*365</f>
        <v>53.909622603051162</v>
      </c>
      <c r="G76" s="84">
        <f>(Proyecciones!G26/Proyecciones!G53)*365</f>
        <v>56.306973427195089</v>
      </c>
      <c r="H76" s="84">
        <f>(Proyecciones!H26/Proyecciones!H53)*365</f>
        <v>62.79612859038199</v>
      </c>
      <c r="I76" s="84">
        <f>(Proyecciones!I26/Proyecciones!I53)*365</f>
        <v>55.721950024341858</v>
      </c>
      <c r="J76" s="84">
        <f>(Proyecciones!J26/Proyecciones!J53)*365</f>
        <v>38.066452170178941</v>
      </c>
      <c r="K76" s="84">
        <f>(Proyecciones!K26/Proyecciones!K53)*365</f>
        <v>38.066452170178941</v>
      </c>
      <c r="L76" s="84">
        <f>(Proyecciones!L26/Proyecciones!L53)*365</f>
        <v>38.066452170178934</v>
      </c>
      <c r="M76" s="84">
        <f>(Proyecciones!M26/Proyecciones!M53)*365</f>
        <v>38.066452170178941</v>
      </c>
      <c r="N76" s="84">
        <f>(Proyecciones!N26/Proyecciones!N53)*365</f>
        <v>38.066452170178941</v>
      </c>
      <c r="O76" s="84">
        <f>(Proyecciones!O26/Proyecciones!O53)*365</f>
        <v>38.066452170178941</v>
      </c>
      <c r="P76" s="21"/>
    </row>
    <row r="77" spans="1:16" ht="15.75">
      <c r="A77" s="88" t="s">
        <v>140</v>
      </c>
      <c r="B77" s="88"/>
      <c r="C77" s="89" t="s">
        <v>141</v>
      </c>
      <c r="D77" s="88"/>
      <c r="E77" s="88"/>
      <c r="F77" s="90">
        <f>(Proyecciones!F37/Proyecciones!F54)*365</f>
        <v>76.549740030683395</v>
      </c>
      <c r="G77" s="90">
        <f>(Proyecciones!G37/Proyecciones!G54)*365</f>
        <v>79.551118871028436</v>
      </c>
      <c r="H77" s="90">
        <f>(Proyecciones!H37/Proyecciones!H54)*365</f>
        <v>101.55772771783849</v>
      </c>
      <c r="I77" s="90">
        <f>(Proyecciones!I37/Proyecciones!I54)*365</f>
        <v>87.315837302574764</v>
      </c>
      <c r="J77" s="90">
        <f>(Proyecciones!J37/Proyecciones!J54)*365</f>
        <v>73.449409341807154</v>
      </c>
      <c r="K77" s="90">
        <f>(Proyecciones!K37/Proyecciones!K54)*365</f>
        <v>79.832119023565497</v>
      </c>
      <c r="L77" s="90">
        <f>(Proyecciones!L37/Proyecciones!L54)*365</f>
        <v>79.832119023565483</v>
      </c>
      <c r="M77" s="90">
        <f>(Proyecciones!M37/Proyecciones!M54)*365</f>
        <v>79.832119023565483</v>
      </c>
      <c r="N77" s="90">
        <f>(Proyecciones!N37/Proyecciones!N54)*365</f>
        <v>79.832119023565483</v>
      </c>
      <c r="O77" s="90">
        <f>(Proyecciones!O37/Proyecciones!O54)*365</f>
        <v>79.832119023565497</v>
      </c>
      <c r="P77" s="88"/>
    </row>
    <row r="78" spans="1:16" ht="15.75">
      <c r="A78" s="88" t="s">
        <v>272</v>
      </c>
      <c r="B78" s="88"/>
      <c r="C78" s="89" t="s">
        <v>143</v>
      </c>
      <c r="D78" s="88"/>
      <c r="E78" s="88"/>
      <c r="F78" s="90">
        <f t="shared" ref="F78:O78" si="13">+F76+F75</f>
        <v>68.170889414944767</v>
      </c>
      <c r="G78" s="90">
        <f t="shared" si="13"/>
        <v>77.758539577164896</v>
      </c>
      <c r="H78" s="90">
        <f t="shared" si="13"/>
        <v>110.88514437674414</v>
      </c>
      <c r="I78" s="90">
        <f t="shared" si="13"/>
        <v>88.923331664891293</v>
      </c>
      <c r="J78" s="90">
        <f t="shared" si="13"/>
        <v>88.016375299057302</v>
      </c>
      <c r="K78" s="90">
        <f t="shared" si="13"/>
        <v>92.356993703136254</v>
      </c>
      <c r="L78" s="90">
        <f t="shared" si="13"/>
        <v>92.356993703136254</v>
      </c>
      <c r="M78" s="90">
        <f t="shared" si="13"/>
        <v>92.356993703136254</v>
      </c>
      <c r="N78" s="90">
        <f t="shared" si="13"/>
        <v>92.35699370313624</v>
      </c>
      <c r="O78" s="90">
        <f t="shared" si="13"/>
        <v>92.356993703136254</v>
      </c>
      <c r="P78" s="88"/>
    </row>
    <row r="79" spans="1:16" ht="15.7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21"/>
    </row>
    <row r="80" spans="1:16" ht="15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1:16" ht="15.75">
      <c r="A81" s="86" t="s">
        <v>144</v>
      </c>
      <c r="B81" s="91"/>
      <c r="C81" s="91"/>
      <c r="D81" s="91"/>
      <c r="E81" s="91"/>
      <c r="F81" s="91"/>
      <c r="G81" s="87"/>
      <c r="H81" s="87"/>
      <c r="I81" s="87"/>
      <c r="J81" s="87"/>
      <c r="K81" s="87"/>
      <c r="L81" s="87"/>
      <c r="M81" s="87"/>
      <c r="N81" s="87"/>
      <c r="O81" s="87"/>
      <c r="P81" s="21"/>
    </row>
    <row r="82" spans="1:16" ht="15.75">
      <c r="A82" s="27"/>
      <c r="B82" s="21"/>
      <c r="C82" s="21"/>
      <c r="D82" s="21"/>
      <c r="E82" s="21"/>
      <c r="F82" s="67">
        <f t="shared" ref="F82:O82" si="14">F57</f>
        <v>2018</v>
      </c>
      <c r="G82" s="67">
        <f t="shared" si="14"/>
        <v>2019</v>
      </c>
      <c r="H82" s="67">
        <f t="shared" si="14"/>
        <v>2020</v>
      </c>
      <c r="I82" s="67">
        <f t="shared" si="14"/>
        <v>2021</v>
      </c>
      <c r="J82" s="67">
        <f t="shared" si="14"/>
        <v>2022</v>
      </c>
      <c r="K82" s="68">
        <f t="shared" si="14"/>
        <v>2023</v>
      </c>
      <c r="L82" s="68">
        <f t="shared" si="14"/>
        <v>2024</v>
      </c>
      <c r="M82" s="68">
        <f t="shared" si="14"/>
        <v>2025</v>
      </c>
      <c r="N82" s="68">
        <f t="shared" si="14"/>
        <v>2026</v>
      </c>
      <c r="O82" s="68">
        <f t="shared" si="14"/>
        <v>2027</v>
      </c>
      <c r="P82" s="21"/>
    </row>
    <row r="83" spans="1:16" ht="15.75">
      <c r="A83" s="21" t="s">
        <v>285</v>
      </c>
      <c r="B83" s="21"/>
      <c r="C83" s="21"/>
      <c r="D83" s="21"/>
      <c r="E83" s="21"/>
      <c r="F83" s="34">
        <f>+Proyecciones!F66/Proyecciones!F53</f>
        <v>3.6620242641528584E-2</v>
      </c>
      <c r="G83" s="34">
        <f>+Proyecciones!G66/Proyecciones!G53</f>
        <v>1.7323519352468401E-2</v>
      </c>
      <c r="H83" s="34">
        <f>+Proyecciones!H66/Proyecciones!H53</f>
        <v>1.3637712334437365E-2</v>
      </c>
      <c r="I83" s="34">
        <f>+Proyecciones!I66/Proyecciones!I53</f>
        <v>-1.0427427972356889E-2</v>
      </c>
      <c r="J83" s="34">
        <f>+Proyecciones!J66/Proyecciones!J53</f>
        <v>9.5019566899312517E-3</v>
      </c>
      <c r="K83" s="34">
        <f>+Proyecciones!K66/Proyecciones!K53</f>
        <v>1.3331200609201829E-2</v>
      </c>
      <c r="L83" s="34">
        <f>+Proyecciones!L66/Proyecciones!L53</f>
        <v>1.3331200609201913E-2</v>
      </c>
      <c r="M83" s="34">
        <f>+Proyecciones!M66/Proyecciones!M53</f>
        <v>1.3331200609201869E-2</v>
      </c>
      <c r="N83" s="34">
        <f>+Proyecciones!N66/Proyecciones!N53</f>
        <v>1.3331200609201833E-2</v>
      </c>
      <c r="O83" s="34">
        <f>+Proyecciones!O66/Proyecciones!O53</f>
        <v>1.333120060920198E-2</v>
      </c>
      <c r="P83" s="21"/>
    </row>
    <row r="84" spans="1:16" ht="15.75">
      <c r="A84" s="21" t="s">
        <v>286</v>
      </c>
      <c r="B84" s="21"/>
      <c r="C84" s="21"/>
      <c r="D84" s="21"/>
      <c r="E84" s="21"/>
      <c r="F84" s="85">
        <f>+Proyecciones!F53/Proyecciones!F33</f>
        <v>1.4457526898200947</v>
      </c>
      <c r="G84" s="85">
        <f>+Proyecciones!G53/Proyecciones!G33</f>
        <v>1.6560416575423877</v>
      </c>
      <c r="H84" s="85">
        <f>+Proyecciones!H53/Proyecciones!H33</f>
        <v>1.6175463727880417</v>
      </c>
      <c r="I84" s="85">
        <f>+Proyecciones!I53/Proyecciones!I33</f>
        <v>1.7463261373149652</v>
      </c>
      <c r="J84" s="85">
        <f>+Proyecciones!J53/Proyecciones!J33</f>
        <v>2.3368392918914891</v>
      </c>
      <c r="K84" s="85">
        <f>+Proyecciones!K53/Proyecciones!K33</f>
        <v>2.3368392918914891</v>
      </c>
      <c r="L84" s="85">
        <f>+Proyecciones!L53/Proyecciones!L33</f>
        <v>2.3368392918914891</v>
      </c>
      <c r="M84" s="85">
        <f>+Proyecciones!M53/Proyecciones!M33</f>
        <v>2.3368392918914891</v>
      </c>
      <c r="N84" s="85">
        <f>+Proyecciones!N53/Proyecciones!N33</f>
        <v>2.3368392918914891</v>
      </c>
      <c r="O84" s="85">
        <f>+Proyecciones!O53/Proyecciones!O33</f>
        <v>2.3368392918914891</v>
      </c>
      <c r="P84" s="21"/>
    </row>
    <row r="85" spans="1:16" ht="15.75">
      <c r="A85" s="21" t="s">
        <v>287</v>
      </c>
      <c r="B85" s="21"/>
      <c r="C85" s="21"/>
      <c r="D85" s="21"/>
      <c r="E85" s="21"/>
      <c r="F85" s="34">
        <f>+Proyecciones!F33/Proyecciones!F45</f>
        <v>4.0706721542570818</v>
      </c>
      <c r="G85" s="34">
        <f>+Proyecciones!G33/Proyecciones!G45</f>
        <v>4.0580625599353031</v>
      </c>
      <c r="H85" s="34">
        <f>+Proyecciones!H33/Proyecciones!H45</f>
        <v>4.1361427447638137</v>
      </c>
      <c r="I85" s="34">
        <f>+Proyecciones!I33/Proyecciones!I45</f>
        <v>3.8519819883423025</v>
      </c>
      <c r="J85" s="34">
        <f>+Proyecciones!J33/Proyecciones!J45</f>
        <v>3.9476988187308155</v>
      </c>
      <c r="K85" s="34">
        <f>+Proyecciones!K33/Proyecciones!K45</f>
        <v>3.9476988187308155</v>
      </c>
      <c r="L85" s="34">
        <f>+Proyecciones!L33/Proyecciones!L45</f>
        <v>3.9476988187308155</v>
      </c>
      <c r="M85" s="34">
        <f>+Proyecciones!M33/Proyecciones!M45</f>
        <v>3.9476988187308151</v>
      </c>
      <c r="N85" s="34">
        <f>+Proyecciones!N33/Proyecciones!N45</f>
        <v>3.9476988187308155</v>
      </c>
      <c r="O85" s="34">
        <f>+Proyecciones!O33/Proyecciones!O45</f>
        <v>3.947698818730816</v>
      </c>
      <c r="P85" s="21"/>
    </row>
    <row r="86" spans="1:16" ht="15.75">
      <c r="A86" s="27" t="s">
        <v>145</v>
      </c>
      <c r="B86" s="21"/>
      <c r="C86" s="21"/>
      <c r="D86" s="21"/>
      <c r="E86" s="21"/>
      <c r="F86" s="92">
        <f t="shared" ref="F86:O86" si="15">+F83*F84*F85</f>
        <v>0.21551691061464623</v>
      </c>
      <c r="G86" s="92">
        <f t="shared" si="15"/>
        <v>0.11641960480329608</v>
      </c>
      <c r="H86" s="92">
        <f t="shared" si="15"/>
        <v>9.1241787344038969E-2</v>
      </c>
      <c r="I86" s="92">
        <f t="shared" si="15"/>
        <v>-7.0143397943742594E-2</v>
      </c>
      <c r="J86" s="92">
        <f t="shared" si="15"/>
        <v>8.765685899963177E-2</v>
      </c>
      <c r="K86" s="92">
        <f t="shared" si="15"/>
        <v>0.12298216148836864</v>
      </c>
      <c r="L86" s="92">
        <f t="shared" si="15"/>
        <v>0.12298216148836941</v>
      </c>
      <c r="M86" s="92">
        <f t="shared" si="15"/>
        <v>0.12298216148836899</v>
      </c>
      <c r="N86" s="92">
        <f t="shared" si="15"/>
        <v>0.12298216148836869</v>
      </c>
      <c r="O86" s="92">
        <f t="shared" si="15"/>
        <v>0.12298216148837005</v>
      </c>
      <c r="P86" s="21"/>
    </row>
    <row r="87" spans="1:16" ht="15.7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21"/>
    </row>
    <row r="88" spans="1:16" ht="15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1:16" ht="15.75">
      <c r="A89" s="21"/>
      <c r="B89" s="21"/>
      <c r="C89" s="21"/>
      <c r="D89" s="21"/>
      <c r="E89" s="21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21"/>
    </row>
    <row r="90" spans="1:16" ht="15.75">
      <c r="A90" s="21"/>
      <c r="B90" s="21"/>
      <c r="C90" s="21"/>
      <c r="D90" s="21"/>
      <c r="E90" s="21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21"/>
    </row>
    <row r="91" spans="1:16" ht="15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1:16" ht="15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S193"/>
  <sheetViews>
    <sheetView showGridLines="0" topLeftCell="A164" zoomScale="95" zoomScaleNormal="95" workbookViewId="0">
      <selection activeCell="A180" sqref="A180:F180"/>
    </sheetView>
  </sheetViews>
  <sheetFormatPr baseColWidth="10" defaultColWidth="14.42578125" defaultRowHeight="15" customHeight="1"/>
  <cols>
    <col min="1" max="1" width="11.42578125" style="21" customWidth="1"/>
    <col min="2" max="2" width="8.140625" style="21" customWidth="1"/>
    <col min="3" max="3" width="9.140625" style="21" customWidth="1"/>
    <col min="4" max="4" width="12.140625" style="21" customWidth="1"/>
    <col min="5" max="5" width="16.140625" style="21" customWidth="1"/>
    <col min="6" max="6" width="23.7109375" style="21" customWidth="1"/>
    <col min="7" max="7" width="20.5703125" style="21" bestFit="1" customWidth="1"/>
    <col min="8" max="8" width="22" style="21" customWidth="1"/>
    <col min="9" max="9" width="21" style="21" customWidth="1"/>
    <col min="10" max="11" width="21" style="21" bestFit="1" customWidth="1"/>
    <col min="12" max="12" width="24.85546875" style="21" bestFit="1" customWidth="1"/>
    <col min="13" max="13" width="12.5703125" style="21" customWidth="1"/>
    <col min="14" max="14" width="22.140625" style="21" bestFit="1" customWidth="1"/>
    <col min="15" max="15" width="11.42578125" style="21" customWidth="1"/>
    <col min="16" max="16" width="14" style="21" customWidth="1"/>
    <col min="17" max="17" width="11.42578125" style="21" customWidth="1"/>
    <col min="18" max="20" width="10.7109375" style="21" customWidth="1"/>
    <col min="21" max="16384" width="14.42578125" style="21"/>
  </cols>
  <sheetData>
    <row r="1" spans="1:16" s="15" customFormat="1" ht="15" customHeight="1">
      <c r="A1" s="25"/>
    </row>
    <row r="2" spans="1:16" s="15" customFormat="1" ht="15" customHeight="1">
      <c r="A2" s="25"/>
    </row>
    <row r="3" spans="1:16" s="15" customFormat="1" ht="15" customHeight="1">
      <c r="A3" s="25"/>
    </row>
    <row r="4" spans="1:16" s="15" customFormat="1" ht="14.25" customHeight="1"/>
    <row r="5" spans="1:16" s="15" customFormat="1" ht="18" customHeight="1">
      <c r="A5" s="40" t="s">
        <v>274</v>
      </c>
      <c r="B5" s="13"/>
      <c r="C5" s="13"/>
      <c r="D5" s="13"/>
      <c r="E5" s="13"/>
      <c r="F5" s="13"/>
    </row>
    <row r="6" spans="1:16" s="15" customFormat="1" ht="15" customHeight="1">
      <c r="A6" s="41" t="s">
        <v>273</v>
      </c>
      <c r="B6" s="13"/>
      <c r="C6" s="13"/>
      <c r="D6" s="13"/>
      <c r="E6" s="13"/>
      <c r="F6" s="13"/>
    </row>
    <row r="7" spans="1:16" s="15" customFormat="1" ht="15" customHeight="1">
      <c r="A7" s="41"/>
      <c r="B7" s="13"/>
      <c r="C7" s="13"/>
      <c r="D7" s="13"/>
      <c r="E7" s="13"/>
      <c r="F7" s="13"/>
    </row>
    <row r="8" spans="1:16" s="15" customFormat="1" ht="15" customHeight="1">
      <c r="A8" s="41"/>
      <c r="B8" s="13"/>
      <c r="C8" s="13"/>
      <c r="D8" s="13"/>
      <c r="E8" s="13"/>
      <c r="F8" s="13"/>
    </row>
    <row r="9" spans="1:16" s="15" customFormat="1" ht="15.75">
      <c r="A9" s="17"/>
      <c r="B9" s="17"/>
      <c r="C9" s="17"/>
      <c r="D9" s="17"/>
      <c r="E9" s="17"/>
      <c r="F9" s="17"/>
    </row>
    <row r="10" spans="1:16" s="15" customFormat="1" ht="15.75">
      <c r="A10" s="18"/>
    </row>
    <row r="11" spans="1:16" ht="15.75">
      <c r="A11" s="328"/>
      <c r="B11" s="319"/>
      <c r="C11" s="319"/>
      <c r="D11" s="319"/>
      <c r="E11" s="319"/>
      <c r="F11" s="319"/>
    </row>
    <row r="12" spans="1:16" ht="15.75">
      <c r="A12" s="329"/>
      <c r="B12" s="319"/>
      <c r="C12" s="319"/>
      <c r="D12" s="319"/>
      <c r="E12" s="319"/>
      <c r="F12" s="319"/>
      <c r="I12" s="309" t="s">
        <v>146</v>
      </c>
      <c r="J12" s="304"/>
      <c r="K12" s="304"/>
      <c r="L12" s="304"/>
      <c r="M12" s="304"/>
      <c r="N12" s="304"/>
    </row>
    <row r="13" spans="1:16" ht="31.5">
      <c r="A13" s="324" t="s">
        <v>147</v>
      </c>
      <c r="B13" s="314"/>
      <c r="C13" s="314"/>
      <c r="D13" s="314"/>
      <c r="E13" s="314"/>
      <c r="F13" s="93">
        <f>Proyecciones!J11</f>
        <v>2022</v>
      </c>
      <c r="I13" s="94" t="s">
        <v>148</v>
      </c>
      <c r="J13" s="95" t="s">
        <v>149</v>
      </c>
      <c r="K13" s="95" t="s">
        <v>150</v>
      </c>
      <c r="L13" s="95" t="s">
        <v>151</v>
      </c>
      <c r="M13" s="94" t="s">
        <v>152</v>
      </c>
      <c r="N13" s="94" t="s">
        <v>153</v>
      </c>
      <c r="O13" s="96"/>
    </row>
    <row r="14" spans="1:16" ht="17.25">
      <c r="A14" s="322" t="s">
        <v>289</v>
      </c>
      <c r="B14" s="319"/>
      <c r="C14" s="319"/>
      <c r="D14" s="319"/>
      <c r="E14" s="319"/>
      <c r="F14" s="97">
        <f>AVERAGE(K14:K23)</f>
        <v>2.5918688403144374E-2</v>
      </c>
      <c r="G14" s="326"/>
      <c r="H14" s="98"/>
      <c r="I14" s="27">
        <v>2012</v>
      </c>
      <c r="J14" s="34">
        <v>0.15890585241730293</v>
      </c>
      <c r="K14" s="34">
        <v>2.971571978018946E-2</v>
      </c>
      <c r="L14" s="34">
        <v>1.7410200000000001E-2</v>
      </c>
      <c r="M14" s="34">
        <v>2.4400000000000002E-2</v>
      </c>
      <c r="N14" s="34">
        <v>1.12E-2</v>
      </c>
      <c r="O14" s="77"/>
      <c r="P14" s="34"/>
    </row>
    <row r="15" spans="1:16" ht="15.75">
      <c r="A15" s="322" t="s">
        <v>154</v>
      </c>
      <c r="B15" s="319"/>
      <c r="C15" s="319"/>
      <c r="D15" s="319"/>
      <c r="E15" s="319"/>
      <c r="F15" s="97">
        <f>AVERAGE(L14:L23)</f>
        <v>2.1469769999999999E-2</v>
      </c>
      <c r="G15" s="319"/>
      <c r="H15" s="98"/>
      <c r="I15" s="27">
        <v>2013</v>
      </c>
      <c r="J15" s="34">
        <v>0.32145085858125483</v>
      </c>
      <c r="K15" s="34">
        <v>-9.104568794347262E-2</v>
      </c>
      <c r="L15" s="34">
        <v>1.50174E-2</v>
      </c>
      <c r="M15" s="34">
        <v>1.9400000000000001E-2</v>
      </c>
      <c r="N15" s="34">
        <v>1.6299999999999999E-2</v>
      </c>
      <c r="O15" s="77"/>
    </row>
    <row r="16" spans="1:16" ht="15.75">
      <c r="A16" s="322" t="s">
        <v>290</v>
      </c>
      <c r="B16" s="319"/>
      <c r="C16" s="319"/>
      <c r="D16" s="319"/>
      <c r="E16" s="319"/>
      <c r="F16" s="97">
        <f>(1+F14)/(1+F15)-1</f>
        <v>4.3554087784158924E-3</v>
      </c>
      <c r="G16" s="319"/>
      <c r="H16" s="98"/>
      <c r="I16" s="27">
        <v>2014</v>
      </c>
      <c r="J16" s="34">
        <v>0.13524421649462237</v>
      </c>
      <c r="K16" s="34">
        <v>0.10746180452004755</v>
      </c>
      <c r="L16" s="34">
        <v>7.5649000000000003E-3</v>
      </c>
      <c r="M16" s="34">
        <v>3.6600000000000001E-2</v>
      </c>
      <c r="N16" s="34">
        <v>1.9599999999999999E-2</v>
      </c>
      <c r="O16" s="77"/>
    </row>
    <row r="17" spans="1:15" ht="15.75">
      <c r="G17" s="319"/>
      <c r="H17" s="98"/>
      <c r="I17" s="27">
        <v>2015</v>
      </c>
      <c r="J17" s="34">
        <v>1.3788916411676138E-2</v>
      </c>
      <c r="K17" s="34">
        <v>1.2842996709792224E-2</v>
      </c>
      <c r="L17" s="34">
        <v>7.2951999999999991E-3</v>
      </c>
      <c r="M17" s="34">
        <v>6.7699999999999996E-2</v>
      </c>
      <c r="N17" s="34">
        <v>3.1699999999999999E-2</v>
      </c>
      <c r="O17" s="77"/>
    </row>
    <row r="18" spans="1:15" ht="15.75">
      <c r="A18" s="323" t="s">
        <v>155</v>
      </c>
      <c r="B18" s="321"/>
      <c r="C18" s="321"/>
      <c r="D18" s="321"/>
      <c r="E18" s="321"/>
      <c r="F18" s="24">
        <f>AVERAGE(M14:M23)</f>
        <v>3.884E-2</v>
      </c>
      <c r="G18" s="319"/>
      <c r="H18" s="98"/>
      <c r="I18" s="27">
        <v>2016</v>
      </c>
      <c r="J18" s="34">
        <v>0.11773080874798171</v>
      </c>
      <c r="K18" s="34">
        <v>6.9055046987477921E-3</v>
      </c>
      <c r="L18" s="34">
        <v>2.0746199999999999E-2</v>
      </c>
      <c r="M18" s="34">
        <v>5.7500000000000002E-2</v>
      </c>
      <c r="N18" s="34">
        <v>2.2499999999999999E-2</v>
      </c>
      <c r="O18" s="77"/>
    </row>
    <row r="19" spans="1:15" ht="15.75">
      <c r="A19" s="323" t="s">
        <v>311</v>
      </c>
      <c r="B19" s="321"/>
      <c r="C19" s="321"/>
      <c r="D19" s="321"/>
      <c r="E19" s="321"/>
      <c r="F19" s="61">
        <f>((1+F16)*(1+F18))-1</f>
        <v>4.3364572855369543E-2</v>
      </c>
      <c r="G19" s="319"/>
      <c r="H19" s="98"/>
      <c r="I19" s="27">
        <v>2017</v>
      </c>
      <c r="J19" s="34">
        <v>0.2160548143449928</v>
      </c>
      <c r="K19" s="34">
        <v>2.8017162707789457E-2</v>
      </c>
      <c r="L19" s="34">
        <v>2.10908E-2</v>
      </c>
      <c r="M19" s="34">
        <v>4.0899999999999999E-2</v>
      </c>
      <c r="N19" s="34">
        <v>1.7299999999999999E-2</v>
      </c>
      <c r="O19" s="77"/>
    </row>
    <row r="20" spans="1:15" ht="15.75">
      <c r="G20" s="15"/>
      <c r="H20" s="98"/>
      <c r="I20" s="27">
        <v>2018</v>
      </c>
      <c r="J20" s="34">
        <v>-4.2268692890885438E-2</v>
      </c>
      <c r="K20" s="34">
        <v>-1.6692385713402633E-4</v>
      </c>
      <c r="L20" s="34">
        <v>1.91016E-2</v>
      </c>
      <c r="M20" s="34">
        <v>3.1800000000000002E-2</v>
      </c>
      <c r="N20" s="34">
        <v>2.2800000000000001E-2</v>
      </c>
      <c r="O20" s="77"/>
    </row>
    <row r="21" spans="1:15" ht="15.75">
      <c r="A21" s="320" t="s">
        <v>156</v>
      </c>
      <c r="B21" s="321"/>
      <c r="C21" s="321"/>
      <c r="D21" s="321"/>
      <c r="E21" s="321"/>
      <c r="F21" s="100">
        <f>AVERAGE(N14:N23)</f>
        <v>2.1389999999999999E-2</v>
      </c>
      <c r="G21" s="327"/>
      <c r="H21" s="98"/>
      <c r="I21" s="27">
        <v>2019</v>
      </c>
      <c r="J21" s="34">
        <v>0.3221</v>
      </c>
      <c r="K21" s="34">
        <v>9.6356307415483927E-2</v>
      </c>
      <c r="L21" s="34">
        <v>2.2851300000000001E-2</v>
      </c>
      <c r="M21" s="34">
        <v>3.7999999999999999E-2</v>
      </c>
      <c r="N21" s="34">
        <v>1.66E-2</v>
      </c>
      <c r="O21" s="77"/>
    </row>
    <row r="22" spans="1:15" ht="15.75">
      <c r="A22" s="331"/>
      <c r="B22" s="319"/>
      <c r="C22" s="319"/>
      <c r="D22" s="319"/>
      <c r="E22" s="319"/>
      <c r="F22" s="319"/>
      <c r="G22" s="319"/>
      <c r="H22" s="98"/>
      <c r="I22" s="27">
        <v>2020</v>
      </c>
      <c r="J22" s="34">
        <v>0.1802</v>
      </c>
      <c r="K22" s="34">
        <v>0.1133</v>
      </c>
      <c r="L22" s="34">
        <v>1.36201E-2</v>
      </c>
      <c r="M22" s="34">
        <v>1.61E-2</v>
      </c>
      <c r="N22" s="34">
        <v>2.06E-2</v>
      </c>
      <c r="O22" s="77"/>
    </row>
    <row r="23" spans="1:15" ht="15.75">
      <c r="G23" s="15"/>
      <c r="H23" s="98"/>
      <c r="I23" s="27">
        <v>2021</v>
      </c>
      <c r="J23" s="34">
        <v>0.28470000000000001</v>
      </c>
      <c r="K23" s="34">
        <v>-4.4200000000000003E-2</v>
      </c>
      <c r="L23" s="34">
        <v>7.0000000000000007E-2</v>
      </c>
      <c r="M23" s="34">
        <v>5.6000000000000001E-2</v>
      </c>
      <c r="N23" s="34">
        <v>3.5299999999999998E-2</v>
      </c>
      <c r="O23" s="77"/>
    </row>
    <row r="24" spans="1:15" ht="17.25">
      <c r="A24" s="334" t="s">
        <v>312</v>
      </c>
      <c r="B24" s="335"/>
      <c r="C24" s="335"/>
      <c r="D24" s="335"/>
      <c r="E24" s="335"/>
      <c r="F24" s="24">
        <f>AVERAGE(J14:J23)</f>
        <v>0.17079067741069451</v>
      </c>
      <c r="G24" s="337"/>
      <c r="H24" s="98"/>
      <c r="O24" s="77"/>
    </row>
    <row r="25" spans="1:15" ht="15.75" customHeight="1">
      <c r="A25" s="336" t="s">
        <v>154</v>
      </c>
      <c r="B25" s="335"/>
      <c r="C25" s="335"/>
      <c r="D25" s="335"/>
      <c r="E25" s="335"/>
      <c r="F25" s="100">
        <f>+F15</f>
        <v>2.1469769999999999E-2</v>
      </c>
      <c r="G25" s="319"/>
      <c r="H25" s="98"/>
    </row>
    <row r="26" spans="1:15" ht="15.75" customHeight="1">
      <c r="A26" s="336" t="s">
        <v>313</v>
      </c>
      <c r="B26" s="335"/>
      <c r="C26" s="335"/>
      <c r="D26" s="335"/>
      <c r="E26" s="335"/>
      <c r="F26" s="61">
        <f>((1+F24)/(1+F25))-1</f>
        <v>0.14618240480155809</v>
      </c>
      <c r="G26" s="319"/>
      <c r="H26" s="98"/>
    </row>
    <row r="27" spans="1:15" ht="15.75" customHeight="1">
      <c r="G27" s="319"/>
      <c r="H27" s="98"/>
    </row>
    <row r="28" spans="1:15" ht="15.75" customHeight="1">
      <c r="A28" s="336" t="s">
        <v>155</v>
      </c>
      <c r="B28" s="335"/>
      <c r="C28" s="335"/>
      <c r="D28" s="335"/>
      <c r="E28" s="335"/>
      <c r="F28" s="24">
        <f>+F18</f>
        <v>3.884E-2</v>
      </c>
      <c r="G28" s="319"/>
      <c r="H28" s="98"/>
    </row>
    <row r="29" spans="1:15" ht="15.75" customHeight="1">
      <c r="A29" s="336" t="s">
        <v>288</v>
      </c>
      <c r="B29" s="335"/>
      <c r="C29" s="335"/>
      <c r="D29" s="335"/>
      <c r="E29" s="335"/>
      <c r="F29" s="61">
        <f>((1+F26)*(1+F28))-1</f>
        <v>0.19070012940405068</v>
      </c>
      <c r="G29" s="319"/>
      <c r="H29" s="98"/>
    </row>
    <row r="30" spans="1:15" ht="15.75" customHeight="1">
      <c r="H30" s="98"/>
    </row>
    <row r="31" spans="1:15" ht="15.75" customHeight="1">
      <c r="A31" s="292" t="s">
        <v>294</v>
      </c>
      <c r="B31" s="298"/>
      <c r="C31" s="298"/>
      <c r="D31" s="298"/>
      <c r="E31" s="298"/>
      <c r="F31" s="101">
        <f>F29-F19</f>
        <v>0.14733555654868113</v>
      </c>
      <c r="H31" s="98"/>
    </row>
    <row r="32" spans="1:15" ht="15.75" customHeight="1">
      <c r="H32" s="98"/>
    </row>
    <row r="33" spans="1:19" ht="15.75" customHeight="1"/>
    <row r="34" spans="1:19" ht="15.75" customHeight="1">
      <c r="A34" s="330" t="s">
        <v>157</v>
      </c>
      <c r="B34" s="314"/>
      <c r="C34" s="314"/>
      <c r="D34" s="314"/>
      <c r="E34" s="314"/>
      <c r="F34" s="79">
        <v>0.61</v>
      </c>
      <c r="G34" s="156" t="s">
        <v>158</v>
      </c>
      <c r="H34" s="103"/>
    </row>
    <row r="35" spans="1:19" ht="15.75" customHeight="1"/>
    <row r="36" spans="1:19" ht="15.75" customHeight="1">
      <c r="F36" s="104">
        <f>Proyecciones!K24</f>
        <v>2023</v>
      </c>
      <c r="G36" s="104">
        <f>Proyecciones!L24</f>
        <v>2024</v>
      </c>
      <c r="H36" s="104">
        <f>Proyecciones!M24</f>
        <v>2025</v>
      </c>
      <c r="I36" s="104">
        <f>Proyecciones!N24</f>
        <v>2026</v>
      </c>
      <c r="J36" s="104">
        <f>Proyecciones!O24</f>
        <v>2027</v>
      </c>
    </row>
    <row r="37" spans="1:19" ht="15.75" customHeight="1">
      <c r="A37" s="320" t="s">
        <v>315</v>
      </c>
      <c r="B37" s="321"/>
      <c r="C37" s="321"/>
      <c r="D37" s="321"/>
      <c r="E37" s="321"/>
      <c r="F37" s="43">
        <f>+Proyecciones!J36+Proyecciones!J40</f>
        <v>4144221467</v>
      </c>
      <c r="G37" s="43">
        <f>+Proyecciones!K36+Proyecciones!K40</f>
        <v>4764818631.6832504</v>
      </c>
      <c r="H37" s="43">
        <f>+Proyecciones!L36+Proyecciones!L40</f>
        <v>5392464365.9417257</v>
      </c>
      <c r="I37" s="43">
        <f>+Proyecciones!M36+Proyecciones!M40</f>
        <v>5967840313.7877083</v>
      </c>
      <c r="J37" s="43">
        <f>+Proyecciones!N36+Proyecciones!N40</f>
        <v>6422888137.7140207</v>
      </c>
    </row>
    <row r="38" spans="1:19" ht="15.75" customHeight="1">
      <c r="A38" s="320" t="s">
        <v>316</v>
      </c>
      <c r="B38" s="321"/>
      <c r="C38" s="321"/>
      <c r="D38" s="321"/>
      <c r="E38" s="321"/>
      <c r="F38" s="43">
        <f>+Proyecciones!J45</f>
        <v>3608372974</v>
      </c>
      <c r="G38" s="43">
        <f>+Proyecciones!K45</f>
        <v>4148726826.8565001</v>
      </c>
      <c r="H38" s="43">
        <f>+Proyecciones!L45</f>
        <v>4695217868.1241722</v>
      </c>
      <c r="I38" s="43">
        <f>+Proyecciones!M45</f>
        <v>5196197614.6530218</v>
      </c>
      <c r="J38" s="43">
        <f>+Proyecciones!N45</f>
        <v>5592407682.7703142</v>
      </c>
    </row>
    <row r="39" spans="1:19" ht="15.75" customHeight="1">
      <c r="A39" s="320" t="s">
        <v>314</v>
      </c>
      <c r="B39" s="321"/>
      <c r="C39" s="321"/>
      <c r="D39" s="321"/>
      <c r="E39" s="321"/>
      <c r="F39" s="105">
        <f>$F$34*(1+(1-(Proyecciones!K65/Proyecciones!K64))*F37/F38)</f>
        <v>0.93813025393822702</v>
      </c>
      <c r="G39" s="105">
        <f>$F$34*(1+(1-(Proyecciones!L65/Proyecciones!L64))*G37/G38)</f>
        <v>0.93813025393822824</v>
      </c>
      <c r="H39" s="105">
        <f>$F$34*(1+(1-(Proyecciones!M65/Proyecciones!M64))*H37/H38)</f>
        <v>0.93813025393822758</v>
      </c>
      <c r="I39" s="105">
        <f>$F$34*(1+(1-(Proyecciones!N65/Proyecciones!N64))*I37/I38)</f>
        <v>0.93813025393822713</v>
      </c>
      <c r="J39" s="105">
        <f>$F$34*(1+(1-(Proyecciones!O65/Proyecciones!O64))*J37/J38)</f>
        <v>0.93813025393822902</v>
      </c>
    </row>
    <row r="40" spans="1:19" ht="15.75" customHeight="1">
      <c r="L40" s="34"/>
    </row>
    <row r="41" spans="1:19" ht="15.75" customHeight="1">
      <c r="A41" s="325" t="s">
        <v>296</v>
      </c>
      <c r="B41" s="314"/>
      <c r="C41" s="314"/>
      <c r="D41" s="314"/>
      <c r="E41" s="314"/>
      <c r="F41" s="33">
        <f t="shared" ref="F41:J41" si="0">$F$19+($F$29-$F$19)*F39+$F$21</f>
        <v>0.20297451593451377</v>
      </c>
      <c r="G41" s="33">
        <f t="shared" si="0"/>
        <v>0.20297451593451396</v>
      </c>
      <c r="H41" s="33">
        <f t="shared" si="0"/>
        <v>0.20297451593451385</v>
      </c>
      <c r="I41" s="33">
        <f t="shared" si="0"/>
        <v>0.20297451593451379</v>
      </c>
      <c r="J41" s="33">
        <f t="shared" si="0"/>
        <v>0.20297451593451407</v>
      </c>
    </row>
    <row r="42" spans="1:19" ht="15.75" customHeight="1"/>
    <row r="43" spans="1:19" ht="15.75" customHeight="1"/>
    <row r="44" spans="1:19" ht="15.75" customHeight="1">
      <c r="A44" s="325" t="s">
        <v>297</v>
      </c>
      <c r="B44" s="314"/>
      <c r="C44" s="314"/>
      <c r="D44" s="314"/>
      <c r="E44" s="314"/>
      <c r="F44" s="34">
        <f t="shared" ref="F44:J44" si="1">+F37/(F37+F38)</f>
        <v>0.5345593012170311</v>
      </c>
      <c r="G44" s="34">
        <f t="shared" si="1"/>
        <v>0.5345593012170311</v>
      </c>
      <c r="H44" s="34">
        <f t="shared" si="1"/>
        <v>0.5345593012170311</v>
      </c>
      <c r="I44" s="34">
        <f t="shared" si="1"/>
        <v>0.5345593012170311</v>
      </c>
      <c r="J44" s="34">
        <f t="shared" si="1"/>
        <v>0.5345593012170311</v>
      </c>
    </row>
    <row r="45" spans="1:19" ht="15.75" customHeight="1">
      <c r="A45" s="325" t="s">
        <v>298</v>
      </c>
      <c r="B45" s="314"/>
      <c r="C45" s="314"/>
      <c r="D45" s="314"/>
      <c r="E45" s="314"/>
      <c r="F45" s="34">
        <f t="shared" ref="F45:J45" si="2">F38/(F37+F38)</f>
        <v>0.4654406987829689</v>
      </c>
      <c r="G45" s="34">
        <f t="shared" si="2"/>
        <v>0.46544069878296884</v>
      </c>
      <c r="H45" s="34">
        <f t="shared" si="2"/>
        <v>0.46544069878296884</v>
      </c>
      <c r="I45" s="34">
        <f t="shared" si="2"/>
        <v>0.46544069878296884</v>
      </c>
      <c r="J45" s="34">
        <f t="shared" si="2"/>
        <v>0.4654406987829689</v>
      </c>
    </row>
    <row r="46" spans="1:19" ht="15.75" customHeight="1">
      <c r="A46" s="320" t="s">
        <v>299</v>
      </c>
      <c r="B46" s="314"/>
      <c r="C46" s="314"/>
      <c r="D46" s="314"/>
      <c r="E46" s="314"/>
      <c r="F46" s="33">
        <f t="shared" ref="F46:J46" si="3">F44+F45</f>
        <v>1</v>
      </c>
      <c r="G46" s="33">
        <f t="shared" si="3"/>
        <v>1</v>
      </c>
      <c r="H46" s="33">
        <f t="shared" si="3"/>
        <v>1</v>
      </c>
      <c r="I46" s="33">
        <f t="shared" si="3"/>
        <v>1</v>
      </c>
      <c r="J46" s="33">
        <f t="shared" si="3"/>
        <v>1</v>
      </c>
    </row>
    <row r="47" spans="1:19" ht="15.75" customHeight="1"/>
    <row r="48" spans="1:19" ht="15.75" customHeight="1">
      <c r="A48" s="325" t="s">
        <v>300</v>
      </c>
      <c r="B48" s="314"/>
      <c r="C48" s="314"/>
      <c r="D48" s="314"/>
      <c r="E48" s="314"/>
      <c r="F48" s="213">
        <v>8.238922867269767E-2</v>
      </c>
      <c r="G48" s="213">
        <v>7.001627207848872E-2</v>
      </c>
      <c r="H48" s="213">
        <v>5.5530663637983112E-2</v>
      </c>
      <c r="I48" s="213">
        <v>3.8630787124059596E-2</v>
      </c>
      <c r="J48" s="213">
        <v>3.6216519050641931E-2</v>
      </c>
      <c r="N48" s="15"/>
      <c r="O48" s="15"/>
      <c r="P48" s="15"/>
      <c r="Q48" s="15"/>
      <c r="R48" s="15"/>
      <c r="S48" s="15"/>
    </row>
    <row r="49" spans="1:19" ht="15.75" customHeight="1">
      <c r="J49" s="27"/>
      <c r="K49" s="27"/>
      <c r="N49" s="15"/>
      <c r="O49" s="15"/>
      <c r="P49" s="15"/>
      <c r="Q49" s="15"/>
      <c r="R49" s="15"/>
      <c r="S49" s="15"/>
    </row>
    <row r="50" spans="1:19" ht="15.75" customHeight="1">
      <c r="A50" s="325" t="s">
        <v>301</v>
      </c>
      <c r="B50" s="314"/>
      <c r="C50" s="314"/>
      <c r="D50" s="314"/>
      <c r="E50" s="314"/>
      <c r="F50" s="34">
        <f t="shared" ref="F50:J50" si="4">F44*F48</f>
        <v>4.4041928507087449E-2</v>
      </c>
      <c r="G50" s="34">
        <f t="shared" si="4"/>
        <v>3.7427849476098458E-2</v>
      </c>
      <c r="H50" s="34">
        <f t="shared" si="4"/>
        <v>2.968443275043825E-2</v>
      </c>
      <c r="I50" s="34">
        <f t="shared" si="4"/>
        <v>2.065044657050118E-2</v>
      </c>
      <c r="J50" s="34">
        <f t="shared" si="4"/>
        <v>1.9359877116224444E-2</v>
      </c>
      <c r="N50" s="15"/>
      <c r="O50" s="15"/>
      <c r="P50" s="15"/>
      <c r="Q50" s="15"/>
      <c r="R50" s="15"/>
      <c r="S50" s="15"/>
    </row>
    <row r="51" spans="1:19" ht="15.75" customHeight="1">
      <c r="A51" s="325" t="s">
        <v>302</v>
      </c>
      <c r="B51" s="314"/>
      <c r="C51" s="314"/>
      <c r="D51" s="314"/>
      <c r="E51" s="314"/>
      <c r="F51" s="34">
        <f t="shared" ref="F51:J51" si="5">F45*F41</f>
        <v>9.4472600531694942E-2</v>
      </c>
      <c r="G51" s="34">
        <f t="shared" si="5"/>
        <v>9.4472600531695025E-2</v>
      </c>
      <c r="H51" s="34">
        <f t="shared" si="5"/>
        <v>9.447260053169497E-2</v>
      </c>
      <c r="I51" s="34">
        <f t="shared" si="5"/>
        <v>9.4472600531694942E-2</v>
      </c>
      <c r="J51" s="34">
        <f t="shared" si="5"/>
        <v>9.4472600531695081E-2</v>
      </c>
      <c r="N51" s="318"/>
      <c r="O51" s="319"/>
      <c r="P51" s="319"/>
      <c r="Q51" s="319"/>
      <c r="R51" s="15"/>
      <c r="S51" s="15"/>
    </row>
    <row r="52" spans="1:19" ht="15.75" customHeight="1">
      <c r="A52" s="320" t="s">
        <v>160</v>
      </c>
      <c r="B52" s="314"/>
      <c r="C52" s="314"/>
      <c r="D52" s="314"/>
      <c r="E52" s="314"/>
      <c r="F52" s="33">
        <f t="shared" ref="F52:J52" si="6">F50+F51</f>
        <v>0.13851452903878239</v>
      </c>
      <c r="G52" s="33">
        <f t="shared" si="6"/>
        <v>0.13190045000779349</v>
      </c>
      <c r="H52" s="33">
        <f t="shared" si="6"/>
        <v>0.12415703328213322</v>
      </c>
      <c r="I52" s="33">
        <f t="shared" si="6"/>
        <v>0.11512304710219612</v>
      </c>
      <c r="J52" s="33">
        <f t="shared" si="6"/>
        <v>0.11383247764791952</v>
      </c>
      <c r="N52" s="15"/>
      <c r="O52" s="15"/>
      <c r="P52" s="15"/>
      <c r="Q52" s="15"/>
      <c r="R52" s="15"/>
      <c r="S52" s="15"/>
    </row>
    <row r="53" spans="1:19" ht="15.75" customHeight="1">
      <c r="E53" s="33"/>
      <c r="F53" s="27"/>
      <c r="G53" s="27"/>
      <c r="H53" s="27"/>
      <c r="I53" s="27"/>
      <c r="J53" s="27"/>
      <c r="L53" s="34"/>
      <c r="N53" s="15"/>
      <c r="O53" s="15"/>
      <c r="P53" s="15"/>
      <c r="Q53" s="15"/>
      <c r="R53" s="15"/>
      <c r="S53" s="15"/>
    </row>
    <row r="54" spans="1:19" ht="15.75" customHeight="1">
      <c r="A54" s="23"/>
      <c r="B54" s="23"/>
      <c r="C54" s="23"/>
      <c r="D54" s="290"/>
      <c r="E54" s="298"/>
      <c r="F54" s="33"/>
      <c r="G54" s="33"/>
      <c r="H54" s="33"/>
      <c r="I54" s="33"/>
      <c r="J54" s="33"/>
      <c r="N54" s="15"/>
      <c r="O54" s="15"/>
      <c r="P54" s="15"/>
      <c r="Q54" s="15"/>
      <c r="R54" s="15"/>
      <c r="S54" s="15"/>
    </row>
    <row r="55" spans="1:19" ht="15" customHeight="1">
      <c r="A55" s="338" t="s">
        <v>161</v>
      </c>
      <c r="B55" s="304"/>
      <c r="C55" s="304"/>
      <c r="D55" s="304"/>
      <c r="E55" s="304"/>
      <c r="F55" s="304"/>
      <c r="G55" s="304"/>
      <c r="H55" s="304"/>
      <c r="I55" s="304"/>
      <c r="J55" s="304"/>
      <c r="K55" s="106"/>
      <c r="L55" s="106"/>
      <c r="M55" s="106"/>
      <c r="N55" s="107"/>
      <c r="O55" s="107"/>
      <c r="P55" s="107"/>
      <c r="Q55" s="107"/>
      <c r="R55" s="15"/>
      <c r="S55" s="15"/>
    </row>
    <row r="56" spans="1:19" ht="15.75" customHeight="1">
      <c r="A56" s="304"/>
      <c r="B56" s="304"/>
      <c r="C56" s="304"/>
      <c r="D56" s="304"/>
      <c r="E56" s="304"/>
      <c r="F56" s="304"/>
      <c r="G56" s="304"/>
      <c r="H56" s="304"/>
      <c r="I56" s="304"/>
      <c r="J56" s="304"/>
      <c r="K56" s="106"/>
      <c r="L56" s="106"/>
      <c r="M56" s="106"/>
      <c r="N56" s="107"/>
      <c r="O56" s="107"/>
      <c r="P56" s="107"/>
      <c r="Q56" s="107"/>
      <c r="R56" s="15"/>
      <c r="S56" s="15"/>
    </row>
    <row r="57" spans="1:19" ht="15.75" customHeight="1">
      <c r="N57" s="15"/>
      <c r="O57" s="15"/>
      <c r="P57" s="15"/>
      <c r="Q57" s="15"/>
      <c r="R57" s="15"/>
      <c r="S57" s="15"/>
    </row>
    <row r="58" spans="1:19" ht="15.75" customHeight="1">
      <c r="A58" s="26"/>
      <c r="B58" s="338"/>
      <c r="C58" s="304"/>
      <c r="D58" s="304"/>
      <c r="E58" s="304"/>
      <c r="F58" s="108">
        <f>Proyecciones!K11</f>
        <v>2023</v>
      </c>
      <c r="G58" s="108">
        <f>Proyecciones!L11</f>
        <v>2024</v>
      </c>
      <c r="H58" s="108">
        <f>Proyecciones!M11</f>
        <v>2025</v>
      </c>
      <c r="I58" s="108">
        <f>Proyecciones!N11</f>
        <v>2026</v>
      </c>
      <c r="J58" s="108">
        <f>Proyecciones!O11</f>
        <v>2027</v>
      </c>
      <c r="K58" s="109"/>
      <c r="N58" s="15"/>
      <c r="O58" s="15"/>
      <c r="P58" s="15"/>
      <c r="Q58" s="15"/>
      <c r="R58" s="15"/>
      <c r="S58" s="15"/>
    </row>
    <row r="59" spans="1:19" ht="15.75" customHeight="1">
      <c r="A59" s="26"/>
      <c r="B59" s="339" t="s">
        <v>111</v>
      </c>
      <c r="C59" s="319"/>
      <c r="D59" s="319"/>
      <c r="E59" s="319"/>
      <c r="F59" s="110">
        <f>Indicadores!K35</f>
        <v>510219392.59159327</v>
      </c>
      <c r="G59" s="110">
        <f>Indicadores!L35</f>
        <v>577428042.08072448</v>
      </c>
      <c r="H59" s="110">
        <f>Indicadores!M35</f>
        <v>639039614.17073572</v>
      </c>
      <c r="I59" s="110">
        <f>Indicadores!N35</f>
        <v>687766384.75125241</v>
      </c>
      <c r="J59" s="110">
        <f>Indicadores!O35</f>
        <v>743870927.58734405</v>
      </c>
      <c r="K59" s="109"/>
      <c r="N59" s="15"/>
      <c r="O59" s="15"/>
      <c r="P59" s="15"/>
      <c r="Q59" s="15"/>
      <c r="R59" s="15"/>
      <c r="S59" s="15"/>
    </row>
    <row r="60" spans="1:19" ht="15.75" customHeight="1">
      <c r="A60" s="111"/>
      <c r="B60" s="339" t="s">
        <v>112</v>
      </c>
      <c r="C60" s="339"/>
      <c r="D60" s="339"/>
      <c r="E60" s="339"/>
      <c r="F60" s="112">
        <f>+Indicadores!K36</f>
        <v>579142192.65928054</v>
      </c>
      <c r="G60" s="112">
        <f>+Indicadores!L36</f>
        <v>655429697.98732424</v>
      </c>
      <c r="H60" s="112">
        <f>+Indicadores!M36</f>
        <v>725364046.76257169</v>
      </c>
      <c r="I60" s="112">
        <f>+Indicadores!N36</f>
        <v>780673055.32821774</v>
      </c>
      <c r="J60" s="112">
        <f>+Indicadores!O36</f>
        <v>844356459.81661713</v>
      </c>
      <c r="K60" s="113" t="s">
        <v>162</v>
      </c>
      <c r="N60" s="15"/>
      <c r="O60" s="15"/>
      <c r="P60" s="15"/>
      <c r="Q60" s="15"/>
      <c r="R60" s="15"/>
      <c r="S60" s="15"/>
    </row>
    <row r="61" spans="1:19" ht="15.75" customHeight="1">
      <c r="A61" s="111"/>
      <c r="B61" s="339" t="s">
        <v>113</v>
      </c>
      <c r="C61" s="339"/>
      <c r="D61" s="339"/>
      <c r="E61" s="339"/>
      <c r="F61" s="112">
        <f>+Indicadores!K37</f>
        <v>1472169589.496659</v>
      </c>
      <c r="G61" s="112">
        <f>+Indicadores!L37</f>
        <v>1666091128.6731064</v>
      </c>
      <c r="H61" s="112">
        <f>+Indicadores!M37</f>
        <v>1843863052.1025269</v>
      </c>
      <c r="I61" s="112">
        <f>+Indicadores!N37</f>
        <v>1984457609.8253446</v>
      </c>
      <c r="J61" s="112">
        <f>+Indicadores!O37</f>
        <v>2146339739.3468471</v>
      </c>
      <c r="K61" s="113" t="s">
        <v>163</v>
      </c>
      <c r="N61" s="15"/>
      <c r="O61" s="15"/>
      <c r="P61" s="15"/>
      <c r="Q61" s="15"/>
      <c r="R61" s="15"/>
      <c r="S61" s="15"/>
    </row>
    <row r="62" spans="1:19" ht="15.75" customHeight="1">
      <c r="A62" s="111"/>
      <c r="B62" s="340" t="s">
        <v>114</v>
      </c>
      <c r="C62" s="319"/>
      <c r="D62" s="319"/>
      <c r="E62" s="319"/>
      <c r="F62" s="114">
        <f t="shared" ref="F62:J62" si="7">+F59+F60+F61</f>
        <v>2561531174.7475328</v>
      </c>
      <c r="G62" s="114">
        <f t="shared" si="7"/>
        <v>2898948868.7411551</v>
      </c>
      <c r="H62" s="114">
        <f t="shared" si="7"/>
        <v>3208266713.0358343</v>
      </c>
      <c r="I62" s="114">
        <f t="shared" si="7"/>
        <v>3452897049.9048147</v>
      </c>
      <c r="J62" s="114">
        <f t="shared" si="7"/>
        <v>3734567126.7508082</v>
      </c>
      <c r="K62" s="115"/>
      <c r="N62" s="15"/>
      <c r="O62" s="15"/>
      <c r="P62" s="15"/>
      <c r="Q62" s="15"/>
      <c r="R62" s="15"/>
      <c r="S62" s="15"/>
    </row>
    <row r="63" spans="1:19" ht="15.75" customHeight="1">
      <c r="A63" s="111"/>
      <c r="B63" s="116"/>
      <c r="C63" s="116"/>
      <c r="D63" s="116"/>
      <c r="E63" s="116"/>
      <c r="F63" s="116"/>
      <c r="G63" s="116"/>
      <c r="H63" s="116"/>
      <c r="I63" s="116"/>
      <c r="J63" s="116"/>
      <c r="K63" s="111"/>
      <c r="N63" s="318"/>
      <c r="O63" s="319"/>
      <c r="P63" s="319"/>
      <c r="Q63" s="319"/>
    </row>
    <row r="64" spans="1:19" ht="23.25" customHeight="1">
      <c r="A64" s="111"/>
      <c r="B64" s="349" t="s">
        <v>115</v>
      </c>
      <c r="C64" s="319"/>
      <c r="D64" s="319"/>
      <c r="E64" s="319"/>
      <c r="F64" s="112">
        <f>+Indicadores!K40</f>
        <v>1361798324.0768945</v>
      </c>
      <c r="G64" s="112">
        <f>+Indicadores!L40</f>
        <v>1541181208.3159208</v>
      </c>
      <c r="H64" s="112">
        <f>+Indicadores!M40</f>
        <v>1705625243.2432308</v>
      </c>
      <c r="I64" s="112">
        <f>+Indicadores!N40</f>
        <v>1835679168.0405285</v>
      </c>
      <c r="J64" s="112">
        <f>+Indicadores!O40</f>
        <v>1985424696.1734285</v>
      </c>
      <c r="K64" s="113"/>
    </row>
    <row r="65" spans="1:17" ht="15.75" customHeight="1">
      <c r="A65" s="111"/>
      <c r="B65" s="344" t="s">
        <v>116</v>
      </c>
      <c r="C65" s="319"/>
      <c r="D65" s="319"/>
      <c r="E65" s="319"/>
      <c r="F65" s="114">
        <f t="shared" ref="F65:J65" si="8">+F62-F64</f>
        <v>1199732850.6706383</v>
      </c>
      <c r="G65" s="114">
        <f t="shared" si="8"/>
        <v>1357767660.4252343</v>
      </c>
      <c r="H65" s="114">
        <f t="shared" si="8"/>
        <v>1502641469.7926035</v>
      </c>
      <c r="I65" s="114">
        <f t="shared" si="8"/>
        <v>1617217881.8642862</v>
      </c>
      <c r="J65" s="114">
        <f t="shared" si="8"/>
        <v>1749142430.5773797</v>
      </c>
      <c r="K65" s="115"/>
    </row>
    <row r="66" spans="1:17" ht="15.75" customHeight="1">
      <c r="A66" s="111"/>
      <c r="B66" s="116"/>
      <c r="C66" s="116"/>
      <c r="D66" s="116"/>
      <c r="E66" s="116"/>
      <c r="F66" s="116"/>
      <c r="G66" s="116"/>
      <c r="H66" s="116"/>
      <c r="I66" s="116"/>
      <c r="J66" s="116"/>
      <c r="K66" s="111"/>
    </row>
    <row r="67" spans="1:17" ht="18.75" customHeight="1">
      <c r="A67" s="111"/>
      <c r="B67" s="339" t="s">
        <v>117</v>
      </c>
      <c r="C67" s="319"/>
      <c r="D67" s="319"/>
      <c r="E67" s="319"/>
      <c r="F67" s="112">
        <f>+Indicadores!K43</f>
        <v>587457606.39999998</v>
      </c>
      <c r="G67" s="112">
        <f>+Indicadores!L43</f>
        <v>606188507.68000007</v>
      </c>
      <c r="H67" s="112">
        <f>+Indicadores!M43</f>
        <v>571285329.41600001</v>
      </c>
      <c r="I67" s="112">
        <f>+Indicadores!N43</f>
        <v>527728250.09920007</v>
      </c>
      <c r="J67" s="112">
        <f>+Indicadores!O43</f>
        <v>540102531.31904006</v>
      </c>
      <c r="K67" s="113"/>
      <c r="N67" s="106"/>
      <c r="O67" s="106"/>
      <c r="P67" s="106"/>
      <c r="Q67" s="106"/>
    </row>
    <row r="68" spans="1:17" ht="20.25" customHeight="1">
      <c r="A68" s="111"/>
      <c r="B68" s="339" t="s">
        <v>118</v>
      </c>
      <c r="C68" s="319"/>
      <c r="D68" s="319"/>
      <c r="E68" s="319"/>
      <c r="F68" s="112">
        <f>+Indicadores!K44</f>
        <v>163820098.19999999</v>
      </c>
      <c r="G68" s="112">
        <f>+Indicadores!L44</f>
        <v>145844704.24000001</v>
      </c>
      <c r="H68" s="112">
        <f>+Indicadores!M44</f>
        <v>116649919.88800001</v>
      </c>
      <c r="I68" s="112">
        <f>+Indicadores!N44</f>
        <v>88179875.665600002</v>
      </c>
      <c r="J68" s="112">
        <f>+Indicadores!O44</f>
        <v>105815850.79872</v>
      </c>
      <c r="K68" s="113"/>
      <c r="N68" s="106"/>
      <c r="O68" s="106"/>
      <c r="P68" s="106"/>
      <c r="Q68" s="106"/>
    </row>
    <row r="69" spans="1:17" ht="15.75" customHeight="1">
      <c r="A69" s="111"/>
      <c r="B69" s="339" t="s">
        <v>119</v>
      </c>
      <c r="C69" s="319"/>
      <c r="D69" s="319"/>
      <c r="E69" s="319"/>
      <c r="F69" s="112">
        <f>+Indicadores!K45</f>
        <v>0</v>
      </c>
      <c r="G69" s="112">
        <f>+Indicadores!L45</f>
        <v>0</v>
      </c>
      <c r="H69" s="112">
        <f>+Indicadores!M45</f>
        <v>0</v>
      </c>
      <c r="I69" s="112">
        <f>+Indicadores!N45</f>
        <v>0</v>
      </c>
      <c r="J69" s="112">
        <f>+Indicadores!O45</f>
        <v>0</v>
      </c>
      <c r="K69" s="113"/>
    </row>
    <row r="70" spans="1:17" ht="15.75" customHeight="1">
      <c r="A70" s="98"/>
      <c r="B70" s="344" t="s">
        <v>120</v>
      </c>
      <c r="C70" s="319"/>
      <c r="D70" s="319"/>
      <c r="E70" s="319"/>
      <c r="F70" s="114">
        <f t="shared" ref="F70:J70" si="9">+F65+F67+F68+F69</f>
        <v>1951010555.2706382</v>
      </c>
      <c r="G70" s="114">
        <f t="shared" si="9"/>
        <v>2109800872.3452344</v>
      </c>
      <c r="H70" s="114">
        <f t="shared" si="9"/>
        <v>2190576719.0966034</v>
      </c>
      <c r="I70" s="114">
        <f t="shared" si="9"/>
        <v>2233126007.629086</v>
      </c>
      <c r="J70" s="114">
        <f t="shared" si="9"/>
        <v>2395060812.6951394</v>
      </c>
      <c r="K70" s="115"/>
    </row>
    <row r="71" spans="1:17" ht="15.75" customHeight="1">
      <c r="A71" s="111"/>
      <c r="B71" s="116"/>
      <c r="C71" s="116"/>
      <c r="D71" s="116"/>
      <c r="E71" s="116"/>
      <c r="F71" s="116"/>
      <c r="G71" s="116"/>
      <c r="H71" s="116"/>
      <c r="I71" s="116"/>
      <c r="J71" s="116"/>
      <c r="K71" s="111"/>
    </row>
    <row r="72" spans="1:17" ht="15.75" customHeight="1">
      <c r="A72" s="111"/>
      <c r="B72" s="339" t="s">
        <v>121</v>
      </c>
      <c r="C72" s="319"/>
      <c r="D72" s="319"/>
      <c r="E72" s="319"/>
      <c r="F72" s="112">
        <f>+Indicadores!K48</f>
        <v>277284724.52125072</v>
      </c>
      <c r="G72" s="112">
        <f>+Indicadores!L48</f>
        <v>280434047.11593628</v>
      </c>
      <c r="H72" s="112">
        <f>+Indicadores!M48</f>
        <v>257079745.56418896</v>
      </c>
      <c r="I72" s="112">
        <f>+Indicadores!N48</f>
        <v>203316769.20535278</v>
      </c>
      <c r="J72" s="112">
        <f>+Indicadores!O48</f>
        <v>234101177.87975407</v>
      </c>
      <c r="K72" s="113"/>
    </row>
    <row r="73" spans="1:17" ht="15.75" customHeight="1">
      <c r="A73" s="111"/>
      <c r="B73" s="339" t="s">
        <v>122</v>
      </c>
      <c r="C73" s="319"/>
      <c r="D73" s="319"/>
      <c r="E73" s="319"/>
      <c r="F73" s="112">
        <f>+Indicadores!K49</f>
        <v>874216603.19449997</v>
      </c>
      <c r="G73" s="112">
        <f>+Indicadores!L49</f>
        <v>884145711.64374447</v>
      </c>
      <c r="H73" s="112">
        <f>+Indicadores!M49</f>
        <v>810514832.02064037</v>
      </c>
      <c r="I73" s="112">
        <f>+Indicadores!N49</f>
        <v>641012214.62549019</v>
      </c>
      <c r="J73" s="112">
        <f>+Indicadores!O49</f>
        <v>738068557.08773804</v>
      </c>
      <c r="K73" s="113"/>
    </row>
    <row r="74" spans="1:17" ht="15.75" customHeight="1">
      <c r="A74" s="98"/>
      <c r="B74" s="344" t="s">
        <v>123</v>
      </c>
      <c r="C74" s="319"/>
      <c r="D74" s="319"/>
      <c r="E74" s="319"/>
      <c r="F74" s="114">
        <f t="shared" ref="F74:J74" si="10">+F72+F73</f>
        <v>1151501327.7157507</v>
      </c>
      <c r="G74" s="114">
        <f t="shared" si="10"/>
        <v>1164579758.7596807</v>
      </c>
      <c r="H74" s="114">
        <f t="shared" si="10"/>
        <v>1067594577.5848293</v>
      </c>
      <c r="I74" s="114">
        <f t="shared" si="10"/>
        <v>844328983.83084297</v>
      </c>
      <c r="J74" s="114">
        <f t="shared" si="10"/>
        <v>972169734.9674921</v>
      </c>
      <c r="K74" s="115"/>
    </row>
    <row r="75" spans="1:17" ht="13.5" customHeight="1">
      <c r="A75" s="111"/>
      <c r="B75" s="116"/>
      <c r="C75" s="116"/>
      <c r="D75" s="116"/>
      <c r="E75" s="116"/>
      <c r="F75" s="116"/>
      <c r="G75" s="116"/>
      <c r="H75" s="116"/>
      <c r="I75" s="116"/>
      <c r="J75" s="116"/>
      <c r="K75" s="111"/>
    </row>
    <row r="76" spans="1:17" ht="15.75" customHeight="1">
      <c r="A76" s="98"/>
      <c r="B76" s="344" t="s">
        <v>124</v>
      </c>
      <c r="C76" s="319"/>
      <c r="D76" s="319"/>
      <c r="E76" s="319"/>
      <c r="F76" s="114">
        <f t="shared" ref="F76:J76" si="11">+F70-F74</f>
        <v>799509227.55488753</v>
      </c>
      <c r="G76" s="114">
        <f t="shared" si="11"/>
        <v>945221113.58555365</v>
      </c>
      <c r="H76" s="114">
        <f t="shared" si="11"/>
        <v>1122982141.5117741</v>
      </c>
      <c r="I76" s="114">
        <f t="shared" si="11"/>
        <v>1388797023.798243</v>
      </c>
      <c r="J76" s="114">
        <f t="shared" si="11"/>
        <v>1422891077.7276473</v>
      </c>
      <c r="K76" s="115"/>
    </row>
    <row r="77" spans="1:17" ht="15.75" customHeight="1">
      <c r="A77" s="27"/>
      <c r="B77" s="15"/>
      <c r="C77" s="15"/>
      <c r="D77" s="15"/>
      <c r="E77" s="15"/>
      <c r="F77" s="15"/>
      <c r="G77" s="15"/>
      <c r="H77" s="15"/>
      <c r="I77" s="15"/>
      <c r="J77" s="15"/>
    </row>
    <row r="78" spans="1:17" ht="15.75" customHeight="1">
      <c r="A78" s="350"/>
      <c r="B78" s="298"/>
      <c r="C78" s="298"/>
      <c r="D78" s="298"/>
      <c r="E78" s="115"/>
      <c r="F78" s="115"/>
      <c r="G78" s="115"/>
      <c r="H78" s="115"/>
      <c r="I78" s="115"/>
      <c r="J78" s="115"/>
    </row>
    <row r="80" spans="1:17" ht="15.75" customHeight="1">
      <c r="A80" s="338" t="s">
        <v>165</v>
      </c>
      <c r="B80" s="304"/>
      <c r="C80" s="304"/>
      <c r="D80" s="304"/>
      <c r="E80" s="304"/>
      <c r="F80" s="304"/>
      <c r="G80" s="304"/>
      <c r="H80" s="304"/>
      <c r="I80" s="304"/>
      <c r="J80" s="304"/>
    </row>
    <row r="81" spans="1:12" ht="15.75" customHeight="1">
      <c r="A81" s="304"/>
      <c r="B81" s="304"/>
      <c r="C81" s="304"/>
      <c r="D81" s="304"/>
      <c r="E81" s="304"/>
      <c r="F81" s="304"/>
      <c r="G81" s="304"/>
      <c r="H81" s="304"/>
      <c r="I81" s="304"/>
      <c r="J81" s="304"/>
    </row>
    <row r="82" spans="1:12" ht="15.75" customHeight="1"/>
    <row r="83" spans="1:12" ht="15.75" customHeight="1">
      <c r="D83" s="15"/>
      <c r="E83" s="15"/>
      <c r="F83" s="15"/>
      <c r="G83" s="15"/>
      <c r="H83" s="15"/>
      <c r="I83" s="15"/>
      <c r="J83" s="117">
        <f>J58</f>
        <v>2027</v>
      </c>
    </row>
    <row r="84" spans="1:12" ht="15.75" customHeight="1">
      <c r="D84" s="15"/>
      <c r="E84" s="118" t="s">
        <v>303</v>
      </c>
      <c r="F84" s="344" t="s">
        <v>166</v>
      </c>
      <c r="G84" s="319"/>
      <c r="H84" s="319"/>
      <c r="I84" s="319"/>
      <c r="J84" s="112">
        <f>+J76</f>
        <v>1422891077.7276473</v>
      </c>
    </row>
    <row r="85" spans="1:12" ht="15.75" customHeight="1">
      <c r="D85" s="15"/>
      <c r="E85" s="118" t="s">
        <v>304</v>
      </c>
      <c r="F85" s="344" t="s">
        <v>167</v>
      </c>
      <c r="G85" s="319"/>
      <c r="H85" s="319"/>
      <c r="I85" s="319"/>
      <c r="J85" s="119">
        <f>+J52</f>
        <v>0.11383247764791952</v>
      </c>
    </row>
    <row r="86" spans="1:12" ht="15.75" customHeight="1">
      <c r="D86" s="15"/>
      <c r="E86" s="118" t="s">
        <v>168</v>
      </c>
      <c r="F86" s="120" t="s">
        <v>169</v>
      </c>
      <c r="G86" s="121"/>
      <c r="H86" s="122">
        <f>Proyecciones!O13</f>
        <v>3.5000000000000003E-2</v>
      </c>
      <c r="I86" s="123">
        <f>Proyecciones!O12</f>
        <v>4.4999999999999998E-2</v>
      </c>
      <c r="J86" s="124">
        <f>((1+H86)*(1+I86))-1</f>
        <v>8.1574999999999953E-2</v>
      </c>
      <c r="K86" s="34"/>
    </row>
    <row r="87" spans="1:12" ht="15.75" customHeight="1">
      <c r="A87" s="290" t="s">
        <v>170</v>
      </c>
      <c r="B87" s="298"/>
      <c r="C87" s="298"/>
      <c r="D87" s="15"/>
      <c r="E87" s="15"/>
      <c r="F87" s="15"/>
      <c r="G87" s="15"/>
      <c r="H87" s="15"/>
      <c r="I87" s="15"/>
    </row>
    <row r="88" spans="1:12" ht="15.75" customHeight="1">
      <c r="A88" s="346" t="s">
        <v>250</v>
      </c>
      <c r="B88" s="347"/>
      <c r="C88" s="347"/>
      <c r="E88" s="126" t="s">
        <v>171</v>
      </c>
      <c r="F88" s="348" t="s">
        <v>164</v>
      </c>
      <c r="G88" s="304"/>
      <c r="H88" s="304"/>
      <c r="I88" s="304"/>
      <c r="J88" s="111"/>
    </row>
    <row r="89" spans="1:12" ht="15.75" customHeight="1">
      <c r="F89" s="129" t="s">
        <v>172</v>
      </c>
      <c r="G89" s="126"/>
      <c r="H89" s="126"/>
      <c r="I89" s="126"/>
      <c r="J89" s="214">
        <f>+J76</f>
        <v>1422891077.7276473</v>
      </c>
      <c r="K89" s="333" t="s">
        <v>173</v>
      </c>
      <c r="L89" s="333"/>
    </row>
    <row r="90" spans="1:12" ht="15.75" customHeight="1">
      <c r="F90" s="129" t="s">
        <v>174</v>
      </c>
      <c r="G90" s="126"/>
      <c r="H90" s="126"/>
      <c r="I90" s="126"/>
      <c r="J90" s="215">
        <f>+J85</f>
        <v>0.11383247764791952</v>
      </c>
      <c r="K90" s="333"/>
      <c r="L90" s="333"/>
    </row>
    <row r="91" spans="1:12" ht="15.75" customHeight="1">
      <c r="F91" s="129" t="s">
        <v>305</v>
      </c>
      <c r="G91" s="126"/>
      <c r="H91" s="126"/>
      <c r="I91" s="126"/>
      <c r="J91" s="214">
        <f>(J89/J90)</f>
        <v>12499869168.521545</v>
      </c>
      <c r="K91" s="333"/>
      <c r="L91" s="333"/>
    </row>
    <row r="92" spans="1:12" ht="15.75" customHeight="1"/>
    <row r="93" spans="1:12" ht="15.75" customHeight="1">
      <c r="E93" s="126" t="s">
        <v>175</v>
      </c>
      <c r="F93" s="348" t="s">
        <v>159</v>
      </c>
      <c r="G93" s="304"/>
      <c r="H93" s="304"/>
      <c r="I93" s="304"/>
      <c r="J93" s="111"/>
    </row>
    <row r="94" spans="1:12" ht="15" customHeight="1">
      <c r="E94" s="111"/>
      <c r="F94" s="345" t="s">
        <v>172</v>
      </c>
      <c r="G94" s="298"/>
      <c r="H94" s="298"/>
      <c r="I94" s="298"/>
      <c r="J94" s="127">
        <f t="shared" ref="J94:J96" si="12">+J84</f>
        <v>1422891077.7276473</v>
      </c>
      <c r="K94" s="333" t="s">
        <v>176</v>
      </c>
      <c r="L94" s="298"/>
    </row>
    <row r="95" spans="1:12" ht="15" customHeight="1">
      <c r="E95" s="111"/>
      <c r="F95" s="345" t="s">
        <v>174</v>
      </c>
      <c r="G95" s="298"/>
      <c r="H95" s="298"/>
      <c r="I95" s="298"/>
      <c r="J95" s="128">
        <f t="shared" si="12"/>
        <v>0.11383247764791952</v>
      </c>
      <c r="K95" s="298"/>
      <c r="L95" s="298"/>
    </row>
    <row r="96" spans="1:12" ht="15.75" customHeight="1">
      <c r="E96" s="111"/>
      <c r="F96" s="345" t="s">
        <v>177</v>
      </c>
      <c r="G96" s="298"/>
      <c r="H96" s="298"/>
      <c r="I96" s="298"/>
      <c r="J96" s="128">
        <f t="shared" si="12"/>
        <v>8.1574999999999953E-2</v>
      </c>
      <c r="K96" s="298"/>
      <c r="L96" s="298"/>
    </row>
    <row r="97" spans="1:12" ht="15.75" customHeight="1">
      <c r="F97" s="332" t="s">
        <v>306</v>
      </c>
      <c r="G97" s="298"/>
      <c r="H97" s="298"/>
      <c r="I97" s="298"/>
      <c r="J97" s="130">
        <f>J94*(1+J96)/(J95-J96)</f>
        <v>47708733900.108109</v>
      </c>
      <c r="K97" s="298"/>
      <c r="L97" s="298"/>
    </row>
    <row r="98" spans="1:12" ht="15.75" customHeight="1"/>
    <row r="99" spans="1:12" ht="15.75" customHeight="1"/>
    <row r="100" spans="1:12" ht="15.75" customHeight="1">
      <c r="A100" s="309" t="s">
        <v>178</v>
      </c>
      <c r="B100" s="304"/>
      <c r="C100" s="304"/>
      <c r="D100" s="304"/>
      <c r="E100" s="304"/>
      <c r="F100" s="117">
        <f t="shared" ref="F100:J100" si="13">F58</f>
        <v>2023</v>
      </c>
      <c r="G100" s="117">
        <f t="shared" si="13"/>
        <v>2024</v>
      </c>
      <c r="H100" s="117">
        <f t="shared" si="13"/>
        <v>2025</v>
      </c>
      <c r="I100" s="117">
        <f t="shared" si="13"/>
        <v>2026</v>
      </c>
      <c r="J100" s="117">
        <f t="shared" si="13"/>
        <v>2027</v>
      </c>
      <c r="K100" s="352" t="s">
        <v>179</v>
      </c>
    </row>
    <row r="101" spans="1:12" ht="15.75" customHeight="1">
      <c r="A101" s="342" t="s">
        <v>180</v>
      </c>
      <c r="B101" s="314"/>
      <c r="C101" s="314"/>
      <c r="D101" s="314"/>
      <c r="E101" s="314"/>
      <c r="F101" s="34">
        <f t="shared" ref="F101:J101" si="14">+F52</f>
        <v>0.13851452903878239</v>
      </c>
      <c r="G101" s="34">
        <f t="shared" si="14"/>
        <v>0.13190045000779349</v>
      </c>
      <c r="H101" s="34">
        <f t="shared" si="14"/>
        <v>0.12415703328213322</v>
      </c>
      <c r="I101" s="34">
        <f t="shared" si="14"/>
        <v>0.11512304710219612</v>
      </c>
      <c r="J101" s="34">
        <f t="shared" si="14"/>
        <v>0.11383247764791952</v>
      </c>
      <c r="K101" s="314"/>
    </row>
    <row r="102" spans="1:12" ht="15.75" customHeight="1">
      <c r="A102" s="342" t="s">
        <v>181</v>
      </c>
      <c r="B102" s="314"/>
      <c r="C102" s="314"/>
      <c r="D102" s="314"/>
      <c r="E102" s="314"/>
      <c r="F102" s="34">
        <f>+F52</f>
        <v>0.13851452903878239</v>
      </c>
      <c r="G102" s="34">
        <f t="shared" ref="G102:J102" si="15">(1+F102)*(1+G101)-1</f>
        <v>0.28868510775940903</v>
      </c>
      <c r="H102" s="34">
        <f t="shared" si="15"/>
        <v>0.44868442757368321</v>
      </c>
      <c r="I102" s="34">
        <f t="shared" si="15"/>
        <v>0.61546139316546622</v>
      </c>
      <c r="J102" s="34">
        <f t="shared" si="15"/>
        <v>0.79935336609405128</v>
      </c>
      <c r="K102" s="314"/>
    </row>
    <row r="103" spans="1:12" ht="15.75" customHeight="1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314"/>
    </row>
    <row r="104" spans="1:12" ht="15.75" customHeight="1">
      <c r="A104" s="342" t="s">
        <v>182</v>
      </c>
      <c r="B104" s="314"/>
      <c r="C104" s="314"/>
      <c r="D104" s="314"/>
      <c r="E104" s="314"/>
      <c r="F104" s="132">
        <f t="shared" ref="F104:J104" si="16">+F76</f>
        <v>799509227.55488753</v>
      </c>
      <c r="G104" s="132">
        <f t="shared" si="16"/>
        <v>945221113.58555365</v>
      </c>
      <c r="H104" s="132">
        <f t="shared" si="16"/>
        <v>1122982141.5117741</v>
      </c>
      <c r="I104" s="132">
        <f t="shared" si="16"/>
        <v>1388797023.798243</v>
      </c>
      <c r="J104" s="132">
        <f t="shared" si="16"/>
        <v>1422891077.7276473</v>
      </c>
      <c r="K104" s="314"/>
    </row>
    <row r="105" spans="1:12" ht="15.75" customHeight="1">
      <c r="A105" s="342" t="s">
        <v>183</v>
      </c>
      <c r="B105" s="314"/>
      <c r="C105" s="314"/>
      <c r="D105" s="314"/>
      <c r="E105" s="314"/>
      <c r="F105" s="83"/>
      <c r="G105" s="83"/>
      <c r="H105" s="83"/>
      <c r="I105" s="83"/>
      <c r="J105" s="133">
        <f>IF(A88="Anualidad Perpetua",J91,J97)</f>
        <v>47708733900.108109</v>
      </c>
      <c r="K105" s="314"/>
      <c r="L105" s="27" t="str">
        <f>A88</f>
        <v>Crecimiento Constante</v>
      </c>
    </row>
    <row r="106" spans="1:12" ht="15.75" customHeight="1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314"/>
    </row>
    <row r="107" spans="1:12" ht="15.75" customHeight="1">
      <c r="A107" s="342" t="s">
        <v>184</v>
      </c>
      <c r="B107" s="314"/>
      <c r="C107" s="314"/>
      <c r="D107" s="314"/>
      <c r="E107" s="314"/>
      <c r="F107" s="132">
        <f t="shared" ref="F107:J107" si="17">F104/(1+F102)</f>
        <v>702238932.54124033</v>
      </c>
      <c r="G107" s="132">
        <f t="shared" si="17"/>
        <v>733477175.99451113</v>
      </c>
      <c r="H107" s="132">
        <f t="shared" si="17"/>
        <v>775173750.84413052</v>
      </c>
      <c r="I107" s="132">
        <f t="shared" si="17"/>
        <v>859690630.59868073</v>
      </c>
      <c r="J107" s="132">
        <f t="shared" si="17"/>
        <v>790779123.51168132</v>
      </c>
      <c r="K107" s="314"/>
    </row>
    <row r="108" spans="1:12" ht="15.75" customHeight="1">
      <c r="A108" s="342" t="s">
        <v>183</v>
      </c>
      <c r="B108" s="314"/>
      <c r="C108" s="314"/>
      <c r="D108" s="314"/>
      <c r="E108" s="314"/>
      <c r="F108" s="83"/>
      <c r="G108" s="83"/>
      <c r="H108" s="83"/>
      <c r="I108" s="83"/>
      <c r="J108" s="36">
        <f>J105/(1+J102)</f>
        <v>26514377219.674149</v>
      </c>
      <c r="K108" s="314"/>
    </row>
    <row r="109" spans="1:12" ht="15.75" customHeight="1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314"/>
    </row>
    <row r="110" spans="1:12" ht="15.75" customHeight="1">
      <c r="A110" s="342" t="s">
        <v>185</v>
      </c>
      <c r="B110" s="314"/>
      <c r="C110" s="314"/>
      <c r="D110" s="314"/>
      <c r="E110" s="314"/>
      <c r="F110" s="134">
        <f>SUM(F107:J107)</f>
        <v>3861359613.4902439</v>
      </c>
      <c r="K110" s="314"/>
    </row>
    <row r="111" spans="1:12" ht="15.75" customHeight="1">
      <c r="A111" s="342" t="s">
        <v>186</v>
      </c>
      <c r="B111" s="314"/>
      <c r="C111" s="314"/>
      <c r="D111" s="314"/>
      <c r="E111" s="314"/>
      <c r="F111" s="134">
        <f>+J108</f>
        <v>26514377219.674149</v>
      </c>
      <c r="K111" s="314"/>
    </row>
    <row r="112" spans="1:12" ht="15.75" customHeight="1">
      <c r="A112" s="343" t="s">
        <v>187</v>
      </c>
      <c r="B112" s="304"/>
      <c r="C112" s="304"/>
      <c r="D112" s="304"/>
      <c r="E112" s="304"/>
      <c r="F112" s="135">
        <f>+F110+F111</f>
        <v>30375736833.164391</v>
      </c>
      <c r="K112" s="314"/>
    </row>
    <row r="113" spans="1:11" ht="15.75" customHeight="1">
      <c r="K113" s="314"/>
    </row>
    <row r="114" spans="1:11" ht="15.75" customHeight="1">
      <c r="A114" s="342" t="s">
        <v>188</v>
      </c>
      <c r="B114" s="314"/>
      <c r="C114" s="314"/>
      <c r="D114" s="314"/>
      <c r="E114" s="314"/>
      <c r="F114" s="136">
        <f>+F112</f>
        <v>30375736833.164391</v>
      </c>
      <c r="K114" s="314"/>
    </row>
    <row r="115" spans="1:11" ht="15.75" customHeight="1">
      <c r="A115" s="341" t="s">
        <v>307</v>
      </c>
      <c r="B115" s="314"/>
      <c r="C115" s="314"/>
      <c r="D115" s="314"/>
      <c r="E115" s="314"/>
      <c r="F115" s="134">
        <f>Proyecciones!J38-Proyecciones!J36</f>
        <v>6492175286</v>
      </c>
      <c r="K115" s="314"/>
    </row>
    <row r="116" spans="1:11" ht="15.75" customHeight="1">
      <c r="A116" s="341" t="s">
        <v>189</v>
      </c>
      <c r="B116" s="314"/>
      <c r="C116" s="314"/>
      <c r="D116" s="314"/>
      <c r="E116" s="314"/>
      <c r="F116" s="134">
        <f>Proyecciones!J28</f>
        <v>8406929305</v>
      </c>
      <c r="K116" s="314"/>
    </row>
    <row r="117" spans="1:11" ht="15.75" customHeight="1">
      <c r="A117" s="341" t="s">
        <v>190</v>
      </c>
      <c r="B117" s="314"/>
      <c r="C117" s="314"/>
      <c r="D117" s="314"/>
      <c r="E117" s="314"/>
      <c r="F117" s="134">
        <f>Proyecciones!J36+Proyecciones!J40</f>
        <v>4144221467</v>
      </c>
      <c r="K117" s="314"/>
    </row>
    <row r="118" spans="1:11" ht="15.75" customHeight="1">
      <c r="A118" s="343" t="s">
        <v>191</v>
      </c>
      <c r="B118" s="304"/>
      <c r="C118" s="304"/>
      <c r="D118" s="304"/>
      <c r="E118" s="304"/>
      <c r="F118" s="135">
        <f>F114-F115+F116-F117</f>
        <v>28146269385.164391</v>
      </c>
      <c r="G118" s="137"/>
      <c r="K118" s="314"/>
    </row>
    <row r="119" spans="1:11" ht="15.75" customHeight="1">
      <c r="F119" s="138"/>
      <c r="K119" s="314"/>
    </row>
    <row r="120" spans="1:11" ht="15.75" customHeight="1">
      <c r="A120" s="342" t="s">
        <v>192</v>
      </c>
      <c r="B120" s="314"/>
      <c r="C120" s="314"/>
      <c r="D120" s="314"/>
      <c r="E120" s="314"/>
      <c r="F120" s="134">
        <f>+Proyecciones!J45</f>
        <v>3608372974</v>
      </c>
      <c r="K120" s="314"/>
    </row>
    <row r="121" spans="1:11" ht="15.75" customHeight="1">
      <c r="K121" s="314"/>
    </row>
    <row r="122" spans="1:11" ht="15.75" customHeight="1">
      <c r="A122" s="342" t="s">
        <v>193</v>
      </c>
      <c r="B122" s="314"/>
      <c r="C122" s="314"/>
      <c r="D122" s="314"/>
      <c r="E122" s="314"/>
      <c r="F122" s="43">
        <v>1000000</v>
      </c>
      <c r="G122" s="104" t="s">
        <v>194</v>
      </c>
      <c r="K122" s="314"/>
    </row>
    <row r="123" spans="1:11" ht="15.75" customHeight="1">
      <c r="A123" s="342" t="s">
        <v>195</v>
      </c>
      <c r="B123" s="314"/>
      <c r="C123" s="314"/>
      <c r="D123" s="314"/>
      <c r="E123" s="314"/>
      <c r="F123" s="139">
        <f>+F120/F122</f>
        <v>3608.3729739999999</v>
      </c>
      <c r="K123" s="314"/>
    </row>
    <row r="124" spans="1:11" ht="15.75" customHeight="1">
      <c r="A124" s="342" t="s">
        <v>196</v>
      </c>
      <c r="B124" s="314"/>
      <c r="C124" s="314"/>
      <c r="D124" s="314"/>
      <c r="E124" s="314"/>
      <c r="F124" s="139">
        <f>F118/F122</f>
        <v>28146.269385164389</v>
      </c>
      <c r="K124" s="314"/>
    </row>
    <row r="125" spans="1:11" ht="15.75" customHeight="1">
      <c r="A125" s="343" t="s">
        <v>197</v>
      </c>
      <c r="B125" s="304"/>
      <c r="C125" s="304"/>
      <c r="D125" s="304"/>
      <c r="E125" s="304"/>
      <c r="F125" s="140">
        <f>+F124/F123</f>
        <v>7.8002660999767235</v>
      </c>
      <c r="K125" s="314"/>
    </row>
    <row r="126" spans="1:11" ht="15.75" customHeight="1"/>
    <row r="127" spans="1:11" ht="15.75" customHeight="1"/>
    <row r="128" spans="1:11" ht="15.75" customHeight="1"/>
    <row r="129" spans="1:11" ht="15" customHeight="1">
      <c r="A129" s="338" t="s">
        <v>198</v>
      </c>
      <c r="B129" s="304"/>
      <c r="C129" s="304"/>
      <c r="D129" s="304"/>
      <c r="E129" s="304"/>
      <c r="F129" s="304"/>
      <c r="G129" s="304"/>
      <c r="H129" s="304"/>
      <c r="I129" s="304"/>
      <c r="J129" s="304"/>
    </row>
    <row r="130" spans="1:11" ht="15.75" customHeight="1">
      <c r="A130" s="304"/>
      <c r="B130" s="304"/>
      <c r="C130" s="304"/>
      <c r="D130" s="304"/>
      <c r="E130" s="304"/>
      <c r="F130" s="304"/>
      <c r="G130" s="304"/>
      <c r="H130" s="304"/>
      <c r="I130" s="304"/>
      <c r="J130" s="304"/>
    </row>
    <row r="131" spans="1:11" ht="15.75" customHeight="1"/>
    <row r="132" spans="1:11" ht="15" customHeight="1">
      <c r="A132" s="309" t="s">
        <v>199</v>
      </c>
      <c r="B132" s="304"/>
      <c r="C132" s="304"/>
      <c r="D132" s="304"/>
      <c r="E132" s="304"/>
      <c r="F132" s="141">
        <f t="shared" ref="F132:J132" si="18">F100</f>
        <v>2023</v>
      </c>
      <c r="G132" s="141">
        <f t="shared" si="18"/>
        <v>2024</v>
      </c>
      <c r="H132" s="141">
        <f t="shared" si="18"/>
        <v>2025</v>
      </c>
      <c r="I132" s="141">
        <f t="shared" si="18"/>
        <v>2026</v>
      </c>
      <c r="J132" s="141">
        <f t="shared" si="18"/>
        <v>2027</v>
      </c>
      <c r="K132" s="353" t="s">
        <v>200</v>
      </c>
    </row>
    <row r="133" spans="1:11" ht="15.75" customHeight="1">
      <c r="A133" s="342" t="s">
        <v>201</v>
      </c>
      <c r="B133" s="314"/>
      <c r="C133" s="314"/>
      <c r="D133" s="314"/>
      <c r="E133" s="314"/>
      <c r="F133" s="43">
        <f>+Proyecciones!K33</f>
        <v>16377923993.61825</v>
      </c>
      <c r="G133" s="43">
        <f>+Proyecciones!L33</f>
        <v>18535306031.677612</v>
      </c>
      <c r="H133" s="43">
        <f>+Proyecciones!M33</f>
        <v>20513023185.257614</v>
      </c>
      <c r="I133" s="43">
        <f>+Proyecciones!N33</f>
        <v>22077141203.133507</v>
      </c>
      <c r="J133" s="43">
        <f>+Proyecciones!O33</f>
        <v>23878083996.779121</v>
      </c>
      <c r="K133" s="298"/>
    </row>
    <row r="134" spans="1:11" ht="15.75" customHeight="1">
      <c r="A134" s="342" t="s">
        <v>202</v>
      </c>
      <c r="B134" s="314"/>
      <c r="C134" s="314"/>
      <c r="D134" s="314"/>
      <c r="E134" s="314"/>
      <c r="F134" s="43">
        <f>+Proyecciones!K42</f>
        <v>12229197166.761751</v>
      </c>
      <c r="G134" s="43">
        <f>+Proyecciones!L42</f>
        <v>13840088163.553442</v>
      </c>
      <c r="H134" s="43">
        <f>+Proyecciones!M42</f>
        <v>15316825570.604595</v>
      </c>
      <c r="I134" s="43">
        <f>+Proyecciones!N42</f>
        <v>16484733520.363195</v>
      </c>
      <c r="J134" s="43">
        <f>+Proyecciones!O42</f>
        <v>17829475657.286823</v>
      </c>
      <c r="K134" s="298"/>
    </row>
    <row r="135" spans="1:11" ht="15.75" customHeight="1">
      <c r="A135" s="342" t="s">
        <v>308</v>
      </c>
      <c r="B135" s="314"/>
      <c r="C135" s="314"/>
      <c r="D135" s="314"/>
      <c r="E135" s="314"/>
      <c r="F135" s="36">
        <f t="shared" ref="F135:J135" si="19">+F133-F134</f>
        <v>4148726826.8564987</v>
      </c>
      <c r="G135" s="36">
        <f t="shared" si="19"/>
        <v>4695217868.1241703</v>
      </c>
      <c r="H135" s="36">
        <f t="shared" si="19"/>
        <v>5196197614.653019</v>
      </c>
      <c r="I135" s="36">
        <f t="shared" si="19"/>
        <v>5592407682.7703114</v>
      </c>
      <c r="J135" s="36">
        <f t="shared" si="19"/>
        <v>6048608339.4922981</v>
      </c>
      <c r="K135" s="298"/>
    </row>
    <row r="136" spans="1:11" ht="15.75" customHeight="1">
      <c r="A136" s="342" t="s">
        <v>203</v>
      </c>
      <c r="B136" s="314"/>
      <c r="C136" s="314"/>
      <c r="D136" s="314"/>
      <c r="E136" s="314"/>
      <c r="F136" s="142">
        <f t="shared" ref="F136:J136" si="20">+F135/$F$122</f>
        <v>4148.7268268564985</v>
      </c>
      <c r="G136" s="142">
        <f t="shared" si="20"/>
        <v>4695.2178681241703</v>
      </c>
      <c r="H136" s="142">
        <f t="shared" si="20"/>
        <v>5196.1976146530187</v>
      </c>
      <c r="I136" s="142">
        <f t="shared" si="20"/>
        <v>5592.4076827703111</v>
      </c>
      <c r="J136" s="142">
        <f t="shared" si="20"/>
        <v>6048.608339492298</v>
      </c>
      <c r="K136" s="298"/>
    </row>
    <row r="137" spans="1:11" ht="15.75" customHeight="1">
      <c r="A137" s="343" t="s">
        <v>197</v>
      </c>
      <c r="B137" s="304"/>
      <c r="C137" s="304"/>
      <c r="D137" s="304"/>
      <c r="E137" s="304"/>
      <c r="F137" s="140">
        <f t="shared" ref="F137:J137" si="21">+F136/$F$123</f>
        <v>1.1497499999999996</v>
      </c>
      <c r="G137" s="140">
        <f t="shared" si="21"/>
        <v>1.3012008187499995</v>
      </c>
      <c r="H137" s="140">
        <f t="shared" si="21"/>
        <v>1.4400389461106242</v>
      </c>
      <c r="I137" s="140">
        <f t="shared" si="21"/>
        <v>1.5498419157515593</v>
      </c>
      <c r="J137" s="140">
        <f t="shared" si="21"/>
        <v>1.6762702700289924</v>
      </c>
      <c r="K137" s="298"/>
    </row>
    <row r="138" spans="1:11" ht="9" customHeight="1">
      <c r="K138" s="298"/>
    </row>
    <row r="139" spans="1:11" ht="9" customHeight="1">
      <c r="K139" s="298"/>
    </row>
    <row r="140" spans="1:11" ht="7.5" customHeight="1">
      <c r="K140" s="298"/>
    </row>
    <row r="141" spans="1:11" ht="10.5" customHeight="1">
      <c r="K141" s="298"/>
    </row>
    <row r="142" spans="1:11" ht="15.75" customHeight="1">
      <c r="A142" s="309" t="s">
        <v>204</v>
      </c>
      <c r="B142" s="304"/>
      <c r="C142" s="304"/>
      <c r="D142" s="304"/>
      <c r="E142" s="304"/>
      <c r="F142" s="141">
        <f t="shared" ref="F142:J142" si="22">F132</f>
        <v>2023</v>
      </c>
      <c r="G142" s="141">
        <f t="shared" si="22"/>
        <v>2024</v>
      </c>
      <c r="H142" s="141">
        <f t="shared" si="22"/>
        <v>2025</v>
      </c>
      <c r="I142" s="141">
        <f t="shared" si="22"/>
        <v>2026</v>
      </c>
      <c r="J142" s="141">
        <f t="shared" si="22"/>
        <v>2027</v>
      </c>
      <c r="K142" s="298"/>
    </row>
    <row r="143" spans="1:11" ht="15.75" customHeight="1">
      <c r="A143" s="342" t="s">
        <v>205</v>
      </c>
      <c r="B143" s="314"/>
      <c r="C143" s="314"/>
      <c r="D143" s="314"/>
      <c r="E143" s="314"/>
      <c r="F143" s="43">
        <f t="shared" ref="F143:J143" si="23">F133</f>
        <v>16377923993.61825</v>
      </c>
      <c r="G143" s="43">
        <f t="shared" si="23"/>
        <v>18535306031.677612</v>
      </c>
      <c r="H143" s="43">
        <f t="shared" si="23"/>
        <v>20513023185.257614</v>
      </c>
      <c r="I143" s="43">
        <f t="shared" si="23"/>
        <v>22077141203.133507</v>
      </c>
      <c r="J143" s="43">
        <f t="shared" si="23"/>
        <v>23878083996.779121</v>
      </c>
      <c r="K143" s="298"/>
    </row>
    <row r="144" spans="1:11" ht="15.75" customHeight="1">
      <c r="A144" s="342" t="s">
        <v>309</v>
      </c>
      <c r="B144" s="314"/>
      <c r="C144" s="314"/>
      <c r="D144" s="314"/>
      <c r="E144" s="314"/>
      <c r="F144" s="43">
        <f>Proyecciones!K36+Proyecciones!K40+Proyecciones!K37</f>
        <v>10586435093.403751</v>
      </c>
      <c r="G144" s="43">
        <f>Proyecciones!L36+Proyecciones!L40+Proyecciones!L37</f>
        <v>11980933256.082357</v>
      </c>
      <c r="H144" s="43">
        <f>Proyecciones!M36+Proyecciones!M40+Proyecciones!M37</f>
        <v>13259298834.506346</v>
      </c>
      <c r="I144" s="43">
        <f>Proyecciones!N36+Proyecciones!N40+Proyecciones!N37</f>
        <v>14270320370.637455</v>
      </c>
      <c r="J144" s="43">
        <f>Proyecciones!O36+Proyecciones!O40+Proyecciones!O37</f>
        <v>15434421754.872204</v>
      </c>
      <c r="K144" s="298"/>
    </row>
    <row r="145" spans="1:11" ht="15.75" customHeight="1">
      <c r="A145" s="342" t="s">
        <v>310</v>
      </c>
      <c r="B145" s="314"/>
      <c r="C145" s="314"/>
      <c r="D145" s="314"/>
      <c r="E145" s="314"/>
      <c r="F145" s="36">
        <f t="shared" ref="F145:J145" si="24">+F143-F144</f>
        <v>5791488900.2144985</v>
      </c>
      <c r="G145" s="36">
        <f t="shared" si="24"/>
        <v>6554372775.5952549</v>
      </c>
      <c r="H145" s="36">
        <f t="shared" si="24"/>
        <v>7253724350.7512684</v>
      </c>
      <c r="I145" s="36">
        <f t="shared" si="24"/>
        <v>7806820832.4960518</v>
      </c>
      <c r="J145" s="36">
        <f t="shared" si="24"/>
        <v>8443662241.9069176</v>
      </c>
      <c r="K145" s="298"/>
    </row>
    <row r="146" spans="1:11" ht="15.75" customHeight="1">
      <c r="A146" s="342" t="s">
        <v>206</v>
      </c>
      <c r="B146" s="314"/>
      <c r="C146" s="314"/>
      <c r="D146" s="314"/>
      <c r="E146" s="314"/>
      <c r="F146" s="142">
        <f t="shared" ref="F146:J146" si="25">+F145/$F$122</f>
        <v>5791.4889002144982</v>
      </c>
      <c r="G146" s="142">
        <f t="shared" si="25"/>
        <v>6554.372775595255</v>
      </c>
      <c r="H146" s="142">
        <f t="shared" si="25"/>
        <v>7253.7243507512685</v>
      </c>
      <c r="I146" s="142">
        <f t="shared" si="25"/>
        <v>7806.8208324960515</v>
      </c>
      <c r="J146" s="142">
        <f t="shared" si="25"/>
        <v>8443.6622419069172</v>
      </c>
      <c r="K146" s="298"/>
    </row>
    <row r="147" spans="1:11" ht="15.75" customHeight="1">
      <c r="A147" s="343" t="s">
        <v>197</v>
      </c>
      <c r="B147" s="304"/>
      <c r="C147" s="304"/>
      <c r="D147" s="304"/>
      <c r="E147" s="304"/>
      <c r="F147" s="140">
        <f t="shared" ref="F147:J147" si="26">F146/$F$123</f>
        <v>1.6050139334112246</v>
      </c>
      <c r="G147" s="140">
        <f t="shared" si="26"/>
        <v>1.8164343937898186</v>
      </c>
      <c r="H147" s="140">
        <f t="shared" si="26"/>
        <v>2.0102479436071925</v>
      </c>
      <c r="I147" s="140">
        <f t="shared" si="26"/>
        <v>2.1635293493072405</v>
      </c>
      <c r="J147" s="140">
        <f t="shared" si="26"/>
        <v>2.3400192559769786</v>
      </c>
      <c r="K147" s="298"/>
    </row>
    <row r="148" spans="1:11" ht="9" customHeight="1"/>
    <row r="149" spans="1:11" ht="15.75" customHeight="1"/>
    <row r="150" spans="1:11" ht="15.75" customHeight="1"/>
    <row r="151" spans="1:11" ht="15.75" customHeight="1"/>
    <row r="152" spans="1:11" ht="14.25" customHeight="1"/>
    <row r="153" spans="1:11" ht="9.75" customHeight="1"/>
    <row r="154" spans="1:11" ht="11.25" customHeight="1"/>
    <row r="155" spans="1:11" ht="15.75" customHeight="1"/>
    <row r="156" spans="1:11" ht="14.25" customHeight="1"/>
    <row r="157" spans="1:11" ht="14.25" customHeight="1"/>
    <row r="158" spans="1:11" ht="14.25" customHeight="1"/>
    <row r="159" spans="1:11" ht="14.25" customHeight="1"/>
    <row r="160" spans="1:11" ht="13.5" customHeight="1"/>
    <row r="161" spans="1:17" ht="13.5" customHeight="1"/>
    <row r="162" spans="1:17" ht="13.5" customHeight="1"/>
    <row r="163" spans="1:17" ht="15.75" customHeight="1"/>
    <row r="164" spans="1:17" ht="15" customHeight="1">
      <c r="A164" s="338" t="s">
        <v>356</v>
      </c>
      <c r="B164" s="304"/>
      <c r="C164" s="304"/>
      <c r="D164" s="304"/>
      <c r="E164" s="304"/>
      <c r="F164" s="304"/>
      <c r="G164" s="304"/>
      <c r="H164" s="304"/>
      <c r="I164" s="304"/>
      <c r="J164" s="304"/>
      <c r="K164" s="106"/>
      <c r="M164" s="143" t="s">
        <v>207</v>
      </c>
      <c r="N164" s="143" t="s">
        <v>208</v>
      </c>
    </row>
    <row r="165" spans="1:17" ht="15" customHeight="1">
      <c r="A165" s="304"/>
      <c r="B165" s="304"/>
      <c r="C165" s="304"/>
      <c r="D165" s="304"/>
      <c r="E165" s="304"/>
      <c r="F165" s="304"/>
      <c r="G165" s="304"/>
      <c r="H165" s="304"/>
      <c r="I165" s="304"/>
      <c r="J165" s="304"/>
      <c r="K165" s="106"/>
      <c r="M165" s="27" t="s">
        <v>209</v>
      </c>
      <c r="N165" s="144">
        <f>MAX(F167:F169)</f>
        <v>28146269385.164391</v>
      </c>
    </row>
    <row r="166" spans="1:17" ht="31.5">
      <c r="A166" s="338" t="s">
        <v>210</v>
      </c>
      <c r="B166" s="304"/>
      <c r="C166" s="304"/>
      <c r="D166" s="304"/>
      <c r="E166" s="304"/>
      <c r="F166" s="145" t="s">
        <v>211</v>
      </c>
      <c r="G166" s="145" t="s">
        <v>212</v>
      </c>
      <c r="H166" s="146" t="s">
        <v>197</v>
      </c>
      <c r="I166" s="145" t="s">
        <v>213</v>
      </c>
      <c r="J166" s="145" t="s">
        <v>214</v>
      </c>
      <c r="M166" s="106" t="s">
        <v>215</v>
      </c>
      <c r="N166" s="144">
        <f>(N165+N167)/2</f>
        <v>17097438862.328344</v>
      </c>
      <c r="Q166" s="96"/>
    </row>
    <row r="167" spans="1:17" ht="15" customHeight="1">
      <c r="A167" s="104" t="s">
        <v>216</v>
      </c>
      <c r="B167" s="104"/>
      <c r="C167" s="104"/>
      <c r="D167" s="104"/>
      <c r="E167" s="104"/>
      <c r="F167" s="43">
        <f>J135</f>
        <v>6048608339.4922981</v>
      </c>
      <c r="G167" s="43">
        <f>+F120</f>
        <v>3608372974</v>
      </c>
      <c r="H167" s="147">
        <f t="shared" ref="H167:H169" si="27">+F167/G167</f>
        <v>1.6762702700289924</v>
      </c>
      <c r="I167" s="147">
        <v>2.61</v>
      </c>
      <c r="J167" s="84">
        <f t="shared" ref="J167:J169" si="28">+H167-I167</f>
        <v>-0.93372972997100745</v>
      </c>
      <c r="M167" s="27" t="s">
        <v>217</v>
      </c>
      <c r="N167" s="144">
        <f>MIN(F167:F169)</f>
        <v>6048608339.4922981</v>
      </c>
    </row>
    <row r="168" spans="1:17" ht="15" customHeight="1">
      <c r="A168" s="104" t="s">
        <v>218</v>
      </c>
      <c r="B168" s="104"/>
      <c r="C168" s="104"/>
      <c r="D168" s="104"/>
      <c r="E168" s="104"/>
      <c r="F168" s="43">
        <f>+J145</f>
        <v>8443662241.9069176</v>
      </c>
      <c r="G168" s="43">
        <f t="shared" ref="G168:G169" si="29">+G167</f>
        <v>3608372974</v>
      </c>
      <c r="H168" s="147">
        <f t="shared" si="27"/>
        <v>2.3400192559769786</v>
      </c>
      <c r="I168" s="147">
        <v>2.61</v>
      </c>
      <c r="J168" s="84">
        <f t="shared" si="28"/>
        <v>-0.2699807440230213</v>
      </c>
      <c r="L168" s="148">
        <f>N166</f>
        <v>17097438862.328344</v>
      </c>
      <c r="M168" s="148"/>
      <c r="N168" s="149">
        <f>+L168/G167</f>
        <v>4.7382681850028581</v>
      </c>
    </row>
    <row r="169" spans="1:17" ht="15" customHeight="1">
      <c r="A169" s="104" t="s">
        <v>219</v>
      </c>
      <c r="B169" s="104"/>
      <c r="C169" s="104"/>
      <c r="D169" s="104"/>
      <c r="E169" s="104"/>
      <c r="F169" s="138">
        <f>+F118</f>
        <v>28146269385.164391</v>
      </c>
      <c r="G169" s="43">
        <f t="shared" si="29"/>
        <v>3608372974</v>
      </c>
      <c r="H169" s="147">
        <f t="shared" si="27"/>
        <v>7.8002660999767235</v>
      </c>
      <c r="I169" s="147">
        <v>2.61</v>
      </c>
      <c r="J169" s="84">
        <f t="shared" si="28"/>
        <v>5.1902660999767232</v>
      </c>
      <c r="L169" s="148"/>
      <c r="M169" s="148"/>
      <c r="N169" s="72" t="s">
        <v>220</v>
      </c>
    </row>
    <row r="170" spans="1:17" ht="15.75" customHeight="1">
      <c r="L170" s="150">
        <f>+L168/$F$122</f>
        <v>17097.438862328345</v>
      </c>
      <c r="M170" s="151"/>
      <c r="N170" s="351" t="s">
        <v>221</v>
      </c>
    </row>
    <row r="171" spans="1:17" ht="15.75" customHeight="1">
      <c r="H171" s="138"/>
      <c r="L171" s="151"/>
      <c r="M171" s="151"/>
      <c r="N171" s="298"/>
    </row>
    <row r="172" spans="1:17" ht="15.75" customHeight="1">
      <c r="J172" s="85"/>
      <c r="M172" s="84"/>
    </row>
    <row r="173" spans="1:17" ht="15.75" customHeight="1">
      <c r="A173" s="338" t="s">
        <v>355</v>
      </c>
      <c r="B173" s="304"/>
      <c r="C173" s="304"/>
      <c r="D173" s="304"/>
      <c r="E173" s="304"/>
      <c r="F173" s="304"/>
      <c r="G173" s="304"/>
      <c r="H173" s="304"/>
      <c r="I173" s="304"/>
      <c r="J173" s="304"/>
      <c r="K173" s="304"/>
    </row>
    <row r="174" spans="1:17" ht="15.75" customHeight="1">
      <c r="A174" s="304"/>
      <c r="B174" s="304"/>
      <c r="C174" s="304"/>
      <c r="D174" s="304"/>
      <c r="E174" s="304"/>
      <c r="F174" s="304"/>
      <c r="G174" s="304"/>
      <c r="H174" s="304"/>
      <c r="I174" s="304"/>
      <c r="J174" s="304"/>
      <c r="K174" s="304"/>
    </row>
    <row r="175" spans="1:17" ht="15.75" customHeight="1"/>
    <row r="176" spans="1:17" ht="15.75" customHeight="1"/>
    <row r="177" spans="1:12" ht="19.5" customHeight="1">
      <c r="A177" s="338" t="s">
        <v>222</v>
      </c>
      <c r="B177" s="304"/>
      <c r="C177" s="304"/>
      <c r="D177" s="304"/>
      <c r="E177" s="304"/>
      <c r="F177" s="152" t="s">
        <v>208</v>
      </c>
      <c r="G177" s="152" t="s">
        <v>223</v>
      </c>
      <c r="H177" s="152" t="s">
        <v>224</v>
      </c>
      <c r="I177" s="152" t="s">
        <v>225</v>
      </c>
      <c r="J177" s="152" t="s">
        <v>226</v>
      </c>
      <c r="K177" s="152" t="s">
        <v>224</v>
      </c>
    </row>
    <row r="178" spans="1:12" ht="15.75" customHeight="1">
      <c r="A178" s="342" t="s">
        <v>227</v>
      </c>
      <c r="B178" s="314"/>
      <c r="C178" s="314"/>
      <c r="D178" s="314"/>
      <c r="E178" s="314"/>
      <c r="F178" s="147">
        <f>L168/Indicadores!J23</f>
        <v>9.0534341484129985</v>
      </c>
      <c r="G178" s="153">
        <v>13.24</v>
      </c>
      <c r="H178" s="153">
        <f t="shared" ref="H178:H180" si="30">+F178-G178</f>
        <v>-4.1865658515870017</v>
      </c>
      <c r="I178" s="154">
        <f>+G178*Indicadores!J23</f>
        <v>25003781639.799999</v>
      </c>
      <c r="J178" s="154">
        <f>+Indicadores!J23</f>
        <v>1888503145</v>
      </c>
      <c r="K178" s="154">
        <f t="shared" ref="K178:K180" si="31">J178-I178</f>
        <v>-23115278494.799999</v>
      </c>
    </row>
    <row r="179" spans="1:12" ht="15.75" customHeight="1">
      <c r="A179" s="342" t="s">
        <v>228</v>
      </c>
      <c r="B179" s="314"/>
      <c r="C179" s="314"/>
      <c r="D179" s="314"/>
      <c r="E179" s="314"/>
      <c r="F179" s="147">
        <f>L168/Proyecciones!J53</f>
        <v>0.51362574010740503</v>
      </c>
      <c r="G179" s="153">
        <v>1.66</v>
      </c>
      <c r="H179" s="153">
        <f t="shared" si="30"/>
        <v>-1.1463742598925948</v>
      </c>
      <c r="I179" s="154">
        <f>+G179*Proyecciones!J53</f>
        <v>55257644419.32</v>
      </c>
      <c r="J179" s="154">
        <f>+Proyecciones!J53</f>
        <v>33287737602</v>
      </c>
      <c r="K179" s="154">
        <f t="shared" si="31"/>
        <v>-21969906817.32</v>
      </c>
    </row>
    <row r="180" spans="1:12" ht="15.75" customHeight="1">
      <c r="A180" s="342" t="s">
        <v>229</v>
      </c>
      <c r="B180" s="314"/>
      <c r="C180" s="314"/>
      <c r="D180" s="314"/>
      <c r="E180" s="314"/>
      <c r="F180" s="147">
        <f>L168/G167</f>
        <v>4.7382681850028581</v>
      </c>
      <c r="G180" s="153">
        <f>+I167</f>
        <v>2.61</v>
      </c>
      <c r="H180" s="153">
        <f t="shared" si="30"/>
        <v>2.1282681850028582</v>
      </c>
      <c r="I180" s="154">
        <f>+G180*G167</f>
        <v>9417853462.1399994</v>
      </c>
      <c r="J180" s="154">
        <f>+Proyecciones!J45</f>
        <v>3608372974</v>
      </c>
      <c r="K180" s="154">
        <f t="shared" si="31"/>
        <v>-5809480488.1399994</v>
      </c>
    </row>
    <row r="181" spans="1:12" ht="15.75" customHeight="1">
      <c r="A181" s="155" t="s">
        <v>230</v>
      </c>
      <c r="G181" s="147"/>
    </row>
    <row r="182" spans="1:12" ht="15.75" customHeight="1"/>
    <row r="183" spans="1:12" ht="15.75" customHeight="1"/>
    <row r="184" spans="1:12" ht="15.75" customHeight="1">
      <c r="G184" s="63"/>
    </row>
    <row r="185" spans="1:12" ht="15.75" customHeight="1"/>
    <row r="186" spans="1:12" ht="15.75" customHeight="1">
      <c r="L186" s="43"/>
    </row>
    <row r="187" spans="1:12" ht="15.75" customHeight="1">
      <c r="L187" s="43"/>
    </row>
    <row r="188" spans="1:12" ht="15.75" customHeight="1">
      <c r="L188" s="43"/>
    </row>
    <row r="189" spans="1:12" ht="15.75" customHeight="1">
      <c r="L189" s="43"/>
    </row>
    <row r="190" spans="1:12" ht="15.75" customHeight="1">
      <c r="L190" s="43"/>
    </row>
    <row r="191" spans="1:12" ht="15.75" customHeight="1">
      <c r="L191" s="43"/>
    </row>
    <row r="192" spans="1:12" ht="15.75" customHeight="1">
      <c r="L192" s="43"/>
    </row>
    <row r="193" spans="12:12" ht="15.75" customHeight="1">
      <c r="L193" s="43"/>
    </row>
  </sheetData>
  <mergeCells count="108">
    <mergeCell ref="N170:N171"/>
    <mergeCell ref="A173:K174"/>
    <mergeCell ref="F93:I93"/>
    <mergeCell ref="K100:K125"/>
    <mergeCell ref="A146:E146"/>
    <mergeCell ref="A147:E147"/>
    <mergeCell ref="A125:E125"/>
    <mergeCell ref="A129:J130"/>
    <mergeCell ref="A142:E142"/>
    <mergeCell ref="A143:E143"/>
    <mergeCell ref="K132:K147"/>
    <mergeCell ref="A137:E137"/>
    <mergeCell ref="A133:E133"/>
    <mergeCell ref="A134:E134"/>
    <mergeCell ref="A135:E135"/>
    <mergeCell ref="A136:E136"/>
    <mergeCell ref="A132:E132"/>
    <mergeCell ref="A120:E120"/>
    <mergeCell ref="A124:E124"/>
    <mergeCell ref="A123:E123"/>
    <mergeCell ref="A118:E118"/>
    <mergeCell ref="K94:L97"/>
    <mergeCell ref="A180:E180"/>
    <mergeCell ref="A80:J81"/>
    <mergeCell ref="A177:E177"/>
    <mergeCell ref="A78:D78"/>
    <mergeCell ref="B74:E74"/>
    <mergeCell ref="B76:E76"/>
    <mergeCell ref="B67:E67"/>
    <mergeCell ref="B73:E73"/>
    <mergeCell ref="B68:E68"/>
    <mergeCell ref="B69:E69"/>
    <mergeCell ref="B72:E72"/>
    <mergeCell ref="B70:E70"/>
    <mergeCell ref="A102:E102"/>
    <mergeCell ref="A122:E122"/>
    <mergeCell ref="A111:E111"/>
    <mergeCell ref="A178:E178"/>
    <mergeCell ref="A164:J165"/>
    <mergeCell ref="A144:E144"/>
    <mergeCell ref="A145:E145"/>
    <mergeCell ref="A166:E166"/>
    <mergeCell ref="A179:E179"/>
    <mergeCell ref="A101:E101"/>
    <mergeCell ref="A100:E100"/>
    <mergeCell ref="F94:I94"/>
    <mergeCell ref="F95:I95"/>
    <mergeCell ref="F96:I96"/>
    <mergeCell ref="N63:Q63"/>
    <mergeCell ref="A88:C88"/>
    <mergeCell ref="F88:I88"/>
    <mergeCell ref="B65:E65"/>
    <mergeCell ref="B64:E64"/>
    <mergeCell ref="A115:E115"/>
    <mergeCell ref="A116:E116"/>
    <mergeCell ref="A117:E117"/>
    <mergeCell ref="A104:E104"/>
    <mergeCell ref="A112:E112"/>
    <mergeCell ref="A107:E107"/>
    <mergeCell ref="A110:E110"/>
    <mergeCell ref="A108:E108"/>
    <mergeCell ref="A105:E105"/>
    <mergeCell ref="A114:E114"/>
    <mergeCell ref="F97:I97"/>
    <mergeCell ref="K89:L91"/>
    <mergeCell ref="A52:E52"/>
    <mergeCell ref="D54:E54"/>
    <mergeCell ref="A31:E31"/>
    <mergeCell ref="A24:E24"/>
    <mergeCell ref="A25:E25"/>
    <mergeCell ref="A26:E26"/>
    <mergeCell ref="A28:E28"/>
    <mergeCell ref="A29:E29"/>
    <mergeCell ref="A51:E51"/>
    <mergeCell ref="G24:G29"/>
    <mergeCell ref="A55:J56"/>
    <mergeCell ref="B60:E60"/>
    <mergeCell ref="B61:E61"/>
    <mergeCell ref="B62:E62"/>
    <mergeCell ref="B58:E58"/>
    <mergeCell ref="B59:E59"/>
    <mergeCell ref="A87:C87"/>
    <mergeCell ref="F84:I84"/>
    <mergeCell ref="F85:I85"/>
    <mergeCell ref="A11:F11"/>
    <mergeCell ref="A12:F12"/>
    <mergeCell ref="A34:E34"/>
    <mergeCell ref="A37:E37"/>
    <mergeCell ref="A38:E38"/>
    <mergeCell ref="A39:E39"/>
    <mergeCell ref="A41:E41"/>
    <mergeCell ref="A44:E44"/>
    <mergeCell ref="A45:E45"/>
    <mergeCell ref="A22:F22"/>
    <mergeCell ref="N51:Q51"/>
    <mergeCell ref="I12:N12"/>
    <mergeCell ref="A21:E21"/>
    <mergeCell ref="A14:E14"/>
    <mergeCell ref="A15:E15"/>
    <mergeCell ref="A16:E16"/>
    <mergeCell ref="A18:E18"/>
    <mergeCell ref="A19:E19"/>
    <mergeCell ref="A13:E13"/>
    <mergeCell ref="A46:E46"/>
    <mergeCell ref="A48:E48"/>
    <mergeCell ref="A50:E50"/>
    <mergeCell ref="G14:G19"/>
    <mergeCell ref="G21:G22"/>
  </mergeCells>
  <dataValidations disablePrompts="1" count="1">
    <dataValidation type="list" allowBlank="1" showErrorMessage="1" sqref="A88" xr:uid="{00000000-0002-0000-0200-000000000000}">
      <formula1>"Anualidad Perpetua,Crecimiento Constante"</formula1>
    </dataValidation>
  </dataValidations>
  <pageMargins left="0.7" right="0.7" top="0.75" bottom="0.75" header="0" footer="0"/>
  <pageSetup orientation="portrait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Q103"/>
  <sheetViews>
    <sheetView showGridLines="0" zoomScale="75" zoomScaleNormal="75" workbookViewId="0">
      <selection activeCell="A12" sqref="A12:J15"/>
    </sheetView>
  </sheetViews>
  <sheetFormatPr baseColWidth="10" defaultColWidth="14.42578125" defaultRowHeight="15" customHeight="1"/>
  <cols>
    <col min="1" max="3" width="11.42578125" style="21" customWidth="1"/>
    <col min="4" max="4" width="24.42578125" style="21" customWidth="1"/>
    <col min="5" max="9" width="17.140625" style="21" bestFit="1" customWidth="1"/>
    <col min="10" max="10" width="16" style="21" bestFit="1" customWidth="1"/>
    <col min="11" max="11" width="16" style="21" customWidth="1"/>
    <col min="12" max="17" width="11.42578125" style="21" customWidth="1"/>
    <col min="18" max="26" width="10.7109375" style="21" customWidth="1"/>
    <col min="27" max="16384" width="14.42578125" style="21"/>
  </cols>
  <sheetData>
    <row r="1" spans="1:17" ht="15" customHeight="1">
      <c r="A1" s="25"/>
    </row>
    <row r="2" spans="1:17" ht="15.75"/>
    <row r="3" spans="1:17" ht="15.75"/>
    <row r="4" spans="1:17" ht="15.75">
      <c r="A4" s="40" t="s">
        <v>274</v>
      </c>
      <c r="B4" s="13"/>
      <c r="C4" s="13"/>
      <c r="D4" s="13"/>
      <c r="E4" s="13"/>
      <c r="F4" s="13"/>
    </row>
    <row r="5" spans="1:17" ht="14.25" customHeight="1">
      <c r="A5" s="41" t="s">
        <v>273</v>
      </c>
      <c r="B5" s="13"/>
      <c r="C5" s="13"/>
      <c r="D5" s="13"/>
      <c r="E5" s="13"/>
      <c r="F5" s="13"/>
    </row>
    <row r="6" spans="1:17" ht="22.5" customHeight="1">
      <c r="A6" s="27"/>
    </row>
    <row r="7" spans="1:17" ht="15.75">
      <c r="A7" s="27"/>
    </row>
    <row r="8" spans="1:17" ht="15.75">
      <c r="A8" s="27"/>
    </row>
    <row r="9" spans="1:17" ht="15.75">
      <c r="A9" s="27"/>
    </row>
    <row r="10" spans="1:17" ht="15" customHeight="1">
      <c r="A10" s="355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</row>
    <row r="11" spans="1:17" ht="15.75" customHeight="1">
      <c r="A11" s="319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</row>
    <row r="12" spans="1:17" ht="15.75">
      <c r="A12" s="160" t="s">
        <v>317</v>
      </c>
      <c r="B12" s="15"/>
      <c r="C12" s="15"/>
      <c r="D12" s="15"/>
    </row>
    <row r="13" spans="1:17" ht="15.75">
      <c r="A13" s="354" t="s">
        <v>231</v>
      </c>
      <c r="B13" s="354"/>
      <c r="C13" s="354"/>
      <c r="D13" s="354"/>
      <c r="E13" s="117">
        <f>Proyecciones!K51</f>
        <v>2023</v>
      </c>
      <c r="F13" s="117">
        <f>'Valoración Sin Estrategia'!G58</f>
        <v>2024</v>
      </c>
      <c r="G13" s="117">
        <f>'Valoración Sin Estrategia'!H58</f>
        <v>2025</v>
      </c>
      <c r="H13" s="117">
        <f>'Valoración Sin Estrategia'!I58</f>
        <v>2026</v>
      </c>
      <c r="I13" s="117">
        <f>'Valoración Sin Estrategia'!J58</f>
        <v>2027</v>
      </c>
      <c r="J13" s="117" t="s">
        <v>232</v>
      </c>
    </row>
    <row r="14" spans="1:17" ht="15.75">
      <c r="A14" s="356" t="s">
        <v>233</v>
      </c>
      <c r="B14" s="319"/>
      <c r="C14" s="319"/>
      <c r="D14" s="319"/>
      <c r="E14" s="161">
        <v>0.02</v>
      </c>
      <c r="F14" s="161">
        <v>2.9000000000000001E-2</v>
      </c>
      <c r="G14" s="161">
        <v>0.04</v>
      </c>
      <c r="H14" s="161">
        <v>2.9000000000000001E-2</v>
      </c>
      <c r="I14" s="161">
        <v>0.02</v>
      </c>
      <c r="J14" s="162">
        <f t="shared" ref="J14:J15" si="0">SUM(E14:I14)</f>
        <v>0.13799999999999998</v>
      </c>
    </row>
    <row r="15" spans="1:17" ht="15.75">
      <c r="A15" s="356" t="s">
        <v>234</v>
      </c>
      <c r="B15" s="319"/>
      <c r="C15" s="319"/>
      <c r="D15" s="319"/>
      <c r="E15" s="158">
        <f>+E14*Proyecciones!K54</f>
        <v>532339623.32898623</v>
      </c>
      <c r="F15" s="158">
        <f>+F14*Proyecciones!L54</f>
        <v>873569987.30739546</v>
      </c>
      <c r="G15" s="158">
        <f>+G14*Proyecciones!M54</f>
        <v>1333489524.0732341</v>
      </c>
      <c r="H15" s="158">
        <f>+H14*Proyecciones!N54</f>
        <v>1040496872.7057681</v>
      </c>
      <c r="I15" s="158">
        <f>+I14*Proyecciones!O54</f>
        <v>776120969.03223515</v>
      </c>
      <c r="J15" s="163">
        <f t="shared" si="0"/>
        <v>4556016976.4476185</v>
      </c>
    </row>
    <row r="16" spans="1:17" ht="15.75">
      <c r="J16" s="34"/>
    </row>
    <row r="17" spans="1:15" ht="15.75">
      <c r="A17" s="160" t="s">
        <v>357</v>
      </c>
    </row>
    <row r="18" spans="1:15" ht="15.75">
      <c r="A18" s="354" t="s">
        <v>235</v>
      </c>
      <c r="B18" s="354"/>
      <c r="C18" s="354"/>
      <c r="D18" s="354"/>
      <c r="E18" s="117">
        <f t="shared" ref="E18:I18" si="1">E13</f>
        <v>2023</v>
      </c>
      <c r="F18" s="117">
        <f t="shared" si="1"/>
        <v>2024</v>
      </c>
      <c r="G18" s="117">
        <f t="shared" si="1"/>
        <v>2025</v>
      </c>
      <c r="H18" s="117">
        <f t="shared" si="1"/>
        <v>2026</v>
      </c>
      <c r="I18" s="117">
        <f t="shared" si="1"/>
        <v>2027</v>
      </c>
      <c r="J18" s="117" t="s">
        <v>232</v>
      </c>
    </row>
    <row r="19" spans="1:15" ht="15.75">
      <c r="A19" s="356" t="s">
        <v>236</v>
      </c>
      <c r="B19" s="319"/>
      <c r="C19" s="319"/>
      <c r="D19" s="319"/>
      <c r="E19" s="164">
        <v>5.0000000000000002E-5</v>
      </c>
      <c r="F19" s="164">
        <v>6.9999999999999994E-5</v>
      </c>
      <c r="G19" s="164">
        <v>1.2E-4</v>
      </c>
      <c r="H19" s="164">
        <v>6.9999999999999994E-5</v>
      </c>
      <c r="I19" s="164">
        <v>5.0000000000000002E-5</v>
      </c>
      <c r="J19" s="162">
        <f t="shared" ref="J19" si="2">SUM(E19:I19)</f>
        <v>3.5999999999999997E-4</v>
      </c>
    </row>
    <row r="20" spans="1:15" ht="15.75">
      <c r="A20" s="356" t="s">
        <v>318</v>
      </c>
      <c r="B20" s="319"/>
      <c r="C20" s="319"/>
      <c r="D20" s="319"/>
      <c r="E20" s="158">
        <f>+E19*Proyecciones!K56</f>
        <v>151553.89399642291</v>
      </c>
      <c r="F20" s="158">
        <f>+F19*Proyecciones!L56</f>
        <v>240124.26295634237</v>
      </c>
      <c r="G20" s="158">
        <f>+G19*Proyecciones!M56</f>
        <v>455563.75168077281</v>
      </c>
      <c r="H20" s="158">
        <f>+H19*Proyecciones!N56</f>
        <v>286008.61785208515</v>
      </c>
      <c r="I20" s="158">
        <f>+I19*Proyecciones!O56</f>
        <v>220956.97918097788</v>
      </c>
      <c r="J20" s="163">
        <f>SUM(E20:I20)</f>
        <v>1354207.5056666012</v>
      </c>
    </row>
    <row r="21" spans="1:15" ht="15.75">
      <c r="J21" s="34"/>
    </row>
    <row r="22" spans="1:15" ht="15.75">
      <c r="A22" s="160" t="s">
        <v>358</v>
      </c>
    </row>
    <row r="23" spans="1:15" ht="15.75">
      <c r="A23" s="354" t="s">
        <v>237</v>
      </c>
      <c r="B23" s="354"/>
      <c r="C23" s="354"/>
      <c r="D23" s="354"/>
      <c r="E23" s="117">
        <f t="shared" ref="E23:I23" si="3">E18</f>
        <v>2023</v>
      </c>
      <c r="F23" s="117">
        <f t="shared" si="3"/>
        <v>2024</v>
      </c>
      <c r="G23" s="117">
        <f t="shared" si="3"/>
        <v>2025</v>
      </c>
      <c r="H23" s="117">
        <f t="shared" si="3"/>
        <v>2026</v>
      </c>
      <c r="I23" s="117">
        <f t="shared" si="3"/>
        <v>2027</v>
      </c>
      <c r="J23" s="117" t="s">
        <v>232</v>
      </c>
    </row>
    <row r="24" spans="1:15" ht="15.75" customHeight="1">
      <c r="A24" s="356" t="s">
        <v>238</v>
      </c>
      <c r="B24" s="319"/>
      <c r="C24" s="319"/>
      <c r="D24" s="319"/>
      <c r="E24" s="161">
        <v>5.0000000000000001E-3</v>
      </c>
      <c r="F24" s="165">
        <v>0.04</v>
      </c>
      <c r="G24" s="165">
        <v>0.06</v>
      </c>
      <c r="H24" s="165">
        <v>7.0000000000000007E-2</v>
      </c>
      <c r="I24" s="165">
        <v>0.08</v>
      </c>
      <c r="J24" s="162">
        <f t="shared" ref="J24:J25" si="4">SUM(E24:I24)</f>
        <v>0.255</v>
      </c>
    </row>
    <row r="25" spans="1:15" ht="15.75" customHeight="1">
      <c r="A25" s="356" t="s">
        <v>319</v>
      </c>
      <c r="B25" s="319"/>
      <c r="C25" s="319"/>
      <c r="D25" s="319"/>
      <c r="E25" s="158">
        <f>+E24*Proyecciones!K57</f>
        <v>31565997.719233941</v>
      </c>
      <c r="F25" s="158">
        <f>+F24*Proyecciones!L57</f>
        <v>285792230.15040022</v>
      </c>
      <c r="G25" s="158">
        <f>+G24*Proyecciones!M57</f>
        <v>474429391.66117185</v>
      </c>
      <c r="H25" s="158">
        <f>+H24*Proyecciones!N57</f>
        <v>595705404.90455902</v>
      </c>
      <c r="I25" s="158">
        <f>+I24*Proyecciones!O57</f>
        <v>736342940.9253124</v>
      </c>
      <c r="J25" s="163">
        <f t="shared" si="4"/>
        <v>2123835965.3606777</v>
      </c>
    </row>
    <row r="26" spans="1:15" ht="15.75" customHeight="1">
      <c r="A26" s="21" t="s">
        <v>162</v>
      </c>
    </row>
    <row r="27" spans="1:15" ht="15.75" customHeight="1">
      <c r="K27" s="15"/>
      <c r="L27" s="15"/>
      <c r="M27" s="15"/>
      <c r="N27" s="15"/>
      <c r="O27" s="15"/>
    </row>
    <row r="28" spans="1:15" ht="15.75" customHeight="1">
      <c r="A28" s="354" t="s">
        <v>239</v>
      </c>
      <c r="B28" s="304"/>
      <c r="C28" s="304"/>
      <c r="D28" s="304"/>
      <c r="E28" s="117">
        <f t="shared" ref="E28:I28" si="5">E23</f>
        <v>2023</v>
      </c>
      <c r="F28" s="117">
        <f t="shared" si="5"/>
        <v>2024</v>
      </c>
      <c r="G28" s="117">
        <f t="shared" si="5"/>
        <v>2025</v>
      </c>
      <c r="H28" s="117">
        <f t="shared" si="5"/>
        <v>2026</v>
      </c>
      <c r="I28" s="117">
        <f t="shared" si="5"/>
        <v>2027</v>
      </c>
      <c r="K28" s="15"/>
      <c r="L28" s="15"/>
      <c r="M28" s="15"/>
      <c r="N28" s="15"/>
      <c r="O28" s="15"/>
    </row>
    <row r="29" spans="1:15" ht="15.75" customHeight="1">
      <c r="A29" s="357" t="s">
        <v>240</v>
      </c>
      <c r="B29" s="314"/>
      <c r="C29" s="314"/>
      <c r="D29" s="314"/>
      <c r="E29" s="43">
        <f>+Proyecciones!K54-'Estrategias Operativas'!E15</f>
        <v>26084641543.120323</v>
      </c>
      <c r="F29" s="43">
        <f>+Proyecciones!L54-'Estrategias Operativas'!F15</f>
        <v>29249533023.292446</v>
      </c>
      <c r="G29" s="43">
        <f>+Proyecciones!M54-'Estrategias Operativas'!G15</f>
        <v>32003748577.757614</v>
      </c>
      <c r="H29" s="43">
        <f>+Proyecciones!N54-'Estrategias Operativas'!H15</f>
        <v>34838705634.389687</v>
      </c>
      <c r="I29" s="43">
        <f>+Proyecciones!O54-'Estrategias Operativas'!I15</f>
        <v>38029927482.579521</v>
      </c>
      <c r="K29" s="166"/>
      <c r="L29" s="167"/>
      <c r="M29" s="15"/>
      <c r="N29" s="15"/>
      <c r="O29" s="15"/>
    </row>
    <row r="30" spans="1:15" ht="15.75" customHeight="1">
      <c r="A30" s="357" t="s">
        <v>241</v>
      </c>
      <c r="B30" s="314"/>
      <c r="C30" s="314"/>
      <c r="D30" s="314"/>
      <c r="E30" s="43">
        <f>+Proyecciones!K56-'Estrategias Operativas'!E20</f>
        <v>3030926326.034462</v>
      </c>
      <c r="F30" s="43">
        <f>+Proyecciones!L56-'Estrategias Operativas'!F20</f>
        <v>3430106489.3990779</v>
      </c>
      <c r="G30" s="43">
        <f>+Proyecciones!M56-'Estrategias Operativas'!G20</f>
        <v>3795909033.5880923</v>
      </c>
      <c r="H30" s="43">
        <f>+Proyecciones!N56-'Estrategias Operativas'!H20</f>
        <v>4085551389.2690787</v>
      </c>
      <c r="I30" s="43">
        <f>+Proyecciones!O56-'Estrategias Operativas'!I20</f>
        <v>4418918626.6403761</v>
      </c>
      <c r="K30" s="168"/>
      <c r="L30" s="15"/>
      <c r="M30" s="15"/>
      <c r="N30" s="15"/>
      <c r="O30" s="15"/>
    </row>
    <row r="31" spans="1:15" ht="15.75" customHeight="1">
      <c r="A31" s="357" t="s">
        <v>242</v>
      </c>
      <c r="B31" s="314"/>
      <c r="C31" s="314"/>
      <c r="D31" s="314"/>
      <c r="E31" s="43">
        <f>+Proyecciones!K57-'Estrategias Operativas'!E25</f>
        <v>6281633546.1275549</v>
      </c>
      <c r="F31" s="43">
        <f>+Proyecciones!L57-'Estrategias Operativas'!F25</f>
        <v>6859013523.6096058</v>
      </c>
      <c r="G31" s="43">
        <f>+Proyecciones!M57-'Estrategias Operativas'!G25</f>
        <v>7432727136.0250263</v>
      </c>
      <c r="H31" s="43">
        <f>+Proyecciones!N57-'Estrategias Operativas'!H25</f>
        <v>7914371808.0177116</v>
      </c>
      <c r="I31" s="43">
        <f>+Proyecciones!O57-'Estrategias Operativas'!I25</f>
        <v>8467943820.6410923</v>
      </c>
      <c r="K31" s="15"/>
      <c r="L31" s="15"/>
      <c r="M31" s="15"/>
      <c r="N31" s="15"/>
      <c r="O31" s="15"/>
    </row>
    <row r="32" spans="1:15" ht="15.75" customHeight="1"/>
    <row r="33" spans="1:11" ht="15.75" customHeight="1"/>
    <row r="34" spans="1:11" ht="15.75" customHeight="1">
      <c r="A34" s="358" t="s">
        <v>359</v>
      </c>
      <c r="B34" s="304"/>
      <c r="C34" s="304"/>
      <c r="D34" s="304"/>
      <c r="E34" s="117">
        <f t="shared" ref="E34:I34" si="6">E28</f>
        <v>2023</v>
      </c>
      <c r="F34" s="117">
        <f t="shared" si="6"/>
        <v>2024</v>
      </c>
      <c r="G34" s="117">
        <f t="shared" si="6"/>
        <v>2025</v>
      </c>
      <c r="H34" s="117">
        <f t="shared" si="6"/>
        <v>2026</v>
      </c>
      <c r="I34" s="117">
        <f t="shared" si="6"/>
        <v>2027</v>
      </c>
    </row>
    <row r="35" spans="1:11" ht="15.75" customHeight="1">
      <c r="A35" s="356" t="s">
        <v>243</v>
      </c>
      <c r="B35" s="319"/>
      <c r="C35" s="319"/>
      <c r="D35" s="319"/>
      <c r="E35" s="34">
        <f>+Proyecciones!K14</f>
        <v>0.14975000000000005</v>
      </c>
      <c r="F35" s="34">
        <f>+Proyecciones!L14</f>
        <v>0.13172499999999987</v>
      </c>
      <c r="G35" s="34">
        <f>+Proyecciones!M14</f>
        <v>0.10670000000000002</v>
      </c>
      <c r="H35" s="34">
        <f>+Proyecciones!N14</f>
        <v>7.6249999999999929E-2</v>
      </c>
      <c r="I35" s="34">
        <f>+Proyecciones!O14</f>
        <v>8.1574999999999953E-2</v>
      </c>
    </row>
    <row r="36" spans="1:11" ht="15.75" customHeight="1">
      <c r="A36" s="354" t="s">
        <v>244</v>
      </c>
      <c r="B36" s="304"/>
      <c r="C36" s="304"/>
      <c r="D36" s="304"/>
      <c r="E36" s="117">
        <f t="shared" ref="E36:I36" si="7">E28</f>
        <v>2023</v>
      </c>
      <c r="F36" s="117">
        <f t="shared" si="7"/>
        <v>2024</v>
      </c>
      <c r="G36" s="117">
        <f t="shared" si="7"/>
        <v>2025</v>
      </c>
      <c r="H36" s="117">
        <f t="shared" si="7"/>
        <v>2026</v>
      </c>
      <c r="I36" s="117">
        <f t="shared" si="7"/>
        <v>2027</v>
      </c>
      <c r="J36" s="117" t="s">
        <v>232</v>
      </c>
    </row>
    <row r="37" spans="1:11" ht="15.75" customHeight="1">
      <c r="A37" s="356" t="s">
        <v>245</v>
      </c>
      <c r="B37" s="319"/>
      <c r="C37" s="319"/>
      <c r="D37" s="319"/>
      <c r="E37" s="161">
        <v>1.6000000000000001E-3</v>
      </c>
      <c r="F37" s="161">
        <v>2E-3</v>
      </c>
      <c r="G37" s="169">
        <v>2.2000000000000001E-3</v>
      </c>
      <c r="H37" s="161">
        <v>2.3999999999999998E-3</v>
      </c>
      <c r="I37" s="161">
        <v>2.5999999999999999E-3</v>
      </c>
      <c r="J37" s="162">
        <f>SUM(E37:I37)</f>
        <v>1.0799999999999999E-2</v>
      </c>
      <c r="K37" s="34"/>
    </row>
    <row r="38" spans="1:11" ht="15.75" customHeight="1">
      <c r="A38" s="356" t="s">
        <v>246</v>
      </c>
      <c r="B38" s="319"/>
      <c r="C38" s="319"/>
      <c r="D38" s="319"/>
      <c r="E38" s="159">
        <f>((1+E35)*(1+E37))-1</f>
        <v>0.1515896000000001</v>
      </c>
      <c r="F38" s="159">
        <f t="shared" ref="F38:I38" si="8">((1+F35)*(1+F37))-1</f>
        <v>0.13398844999999993</v>
      </c>
      <c r="G38" s="159">
        <f t="shared" si="8"/>
        <v>0.10913474000000001</v>
      </c>
      <c r="H38" s="159">
        <f t="shared" si="8"/>
        <v>7.8832999999999931E-2</v>
      </c>
      <c r="I38" s="159">
        <f t="shared" si="8"/>
        <v>8.4387094999999857E-2</v>
      </c>
      <c r="J38" s="162">
        <f>AVERAGE(E38:I38)</f>
        <v>0.11158657699999996</v>
      </c>
      <c r="K38" s="34"/>
    </row>
    <row r="39" spans="1:11" ht="15.75" customHeight="1">
      <c r="A39" s="356" t="s">
        <v>247</v>
      </c>
      <c r="B39" s="319"/>
      <c r="C39" s="319"/>
      <c r="D39" s="319"/>
      <c r="E39" s="36">
        <f>Proyecciones!J53*(1+'Estrategias Operativas'!E38)</f>
        <v>38333812429.992142</v>
      </c>
      <c r="F39" s="36">
        <f t="shared" ref="F39:I39" si="9">E39*(1+F38)</f>
        <v>43470100540.077522</v>
      </c>
      <c r="G39" s="36">
        <f t="shared" si="9"/>
        <v>48214198660.29274</v>
      </c>
      <c r="H39" s="36">
        <f t="shared" si="9"/>
        <v>52015068583.279594</v>
      </c>
      <c r="I39" s="36">
        <f t="shared" si="9"/>
        <v>56404469117.248314</v>
      </c>
    </row>
    <row r="40" spans="1:11" ht="15.75" customHeight="1">
      <c r="F40" s="77"/>
      <c r="G40" s="77"/>
      <c r="H40" s="77"/>
      <c r="I40" s="77"/>
    </row>
    <row r="41" spans="1:11" ht="15.75" customHeight="1">
      <c r="E41" s="170"/>
    </row>
    <row r="42" spans="1:11" ht="15.75" customHeight="1"/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</sheetData>
  <mergeCells count="20">
    <mergeCell ref="A19:D19"/>
    <mergeCell ref="A20:D20"/>
    <mergeCell ref="A25:D25"/>
    <mergeCell ref="A39:D39"/>
    <mergeCell ref="A31:D31"/>
    <mergeCell ref="A34:D34"/>
    <mergeCell ref="A36:D36"/>
    <mergeCell ref="A37:D37"/>
    <mergeCell ref="A23:D23"/>
    <mergeCell ref="A24:D24"/>
    <mergeCell ref="A30:D30"/>
    <mergeCell ref="A38:D38"/>
    <mergeCell ref="A35:D35"/>
    <mergeCell ref="A28:D28"/>
    <mergeCell ref="A29:D29"/>
    <mergeCell ref="A13:D13"/>
    <mergeCell ref="A18:D18"/>
    <mergeCell ref="A10:Q11"/>
    <mergeCell ref="A14:D14"/>
    <mergeCell ref="A15:D15"/>
  </mergeCells>
  <pageMargins left="0.7" right="0.7" top="0.75" bottom="0.75" header="0" footer="0"/>
  <pageSetup orientation="portrait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AI207"/>
  <sheetViews>
    <sheetView showGridLines="0" topLeftCell="M25" zoomScale="71" zoomScaleNormal="71" workbookViewId="0">
      <selection activeCell="O50" sqref="O50"/>
    </sheetView>
  </sheetViews>
  <sheetFormatPr baseColWidth="10" defaultColWidth="14.42578125" defaultRowHeight="15" customHeight="1"/>
  <cols>
    <col min="1" max="1" width="11.42578125" style="21" customWidth="1"/>
    <col min="2" max="2" width="18.5703125" style="21" bestFit="1" customWidth="1"/>
    <col min="3" max="3" width="17.42578125" style="21" customWidth="1"/>
    <col min="4" max="4" width="15.28515625" style="21" bestFit="1" customWidth="1"/>
    <col min="5" max="5" width="20.7109375" style="21" bestFit="1" customWidth="1"/>
    <col min="6" max="6" width="18" style="21" bestFit="1" customWidth="1"/>
    <col min="7" max="9" width="17.42578125" style="21" bestFit="1" customWidth="1"/>
    <col min="10" max="12" width="18" style="21" bestFit="1" customWidth="1"/>
    <col min="13" max="13" width="17.5703125" style="21" bestFit="1" customWidth="1"/>
    <col min="14" max="15" width="18" style="21" bestFit="1" customWidth="1"/>
    <col min="16" max="16" width="11.42578125" style="21" customWidth="1"/>
    <col min="17" max="17" width="27.85546875" style="21" customWidth="1"/>
    <col min="18" max="18" width="23.7109375" style="21" customWidth="1"/>
    <col min="19" max="19" width="22.5703125" style="21" customWidth="1"/>
    <col min="20" max="21" width="12.28515625" style="21" customWidth="1"/>
    <col min="22" max="22" width="8.42578125" style="21" customWidth="1"/>
    <col min="23" max="23" width="14.7109375" style="21" customWidth="1"/>
    <col min="24" max="24" width="23.140625" style="21" customWidth="1"/>
    <col min="25" max="25" width="22.5703125" style="21" customWidth="1"/>
    <col min="26" max="26" width="13.5703125" style="21" customWidth="1"/>
    <col min="27" max="27" width="14.140625" style="21" customWidth="1"/>
    <col min="28" max="34" width="11.42578125" style="21" customWidth="1"/>
    <col min="35" max="35" width="24.85546875" style="21" customWidth="1"/>
    <col min="36" max="16384" width="14.42578125" style="21"/>
  </cols>
  <sheetData>
    <row r="1" spans="1:29" ht="15" customHeight="1">
      <c r="A1" s="13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29" ht="15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29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29" ht="15.75">
      <c r="A4" s="40" t="s">
        <v>274</v>
      </c>
      <c r="B4" s="13"/>
      <c r="C4" s="13"/>
      <c r="D4" s="13"/>
      <c r="E4" s="13"/>
      <c r="F4" s="13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29" ht="15.75">
      <c r="A5" s="41" t="s">
        <v>273</v>
      </c>
      <c r="B5" s="13"/>
      <c r="C5" s="13"/>
      <c r="D5" s="13"/>
      <c r="E5" s="13"/>
      <c r="F5" s="13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29" ht="15.7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29" ht="15.7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29" ht="15.7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29" ht="15" customHeight="1">
      <c r="A9" s="171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29" ht="15.75" customHeight="1">
      <c r="A10" s="359" t="s">
        <v>81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</row>
    <row r="11" spans="1:29" ht="22.5" customHeight="1">
      <c r="A11" s="27"/>
      <c r="B11" s="27"/>
      <c r="C11" s="27"/>
      <c r="D11" s="27"/>
      <c r="E11" s="27"/>
      <c r="F11" s="290" t="s">
        <v>82</v>
      </c>
      <c r="G11" s="298"/>
      <c r="H11" s="298"/>
      <c r="I11" s="298"/>
      <c r="J11" s="298"/>
      <c r="K11" s="290" t="s">
        <v>83</v>
      </c>
      <c r="L11" s="298"/>
      <c r="M11" s="298"/>
      <c r="N11" s="298"/>
      <c r="O11" s="298"/>
      <c r="P11" s="69"/>
      <c r="S11" s="290"/>
      <c r="T11" s="298"/>
      <c r="U11" s="298"/>
      <c r="V11" s="298"/>
      <c r="W11" s="298"/>
      <c r="Y11" s="290"/>
      <c r="Z11" s="298"/>
      <c r="AA11" s="298"/>
      <c r="AB11" s="298"/>
      <c r="AC11" s="298"/>
    </row>
    <row r="12" spans="1:29" ht="15.75" customHeight="1">
      <c r="A12" s="293" t="s">
        <v>84</v>
      </c>
      <c r="B12" s="298"/>
      <c r="C12" s="298"/>
      <c r="D12" s="298"/>
      <c r="E12" s="298"/>
      <c r="F12" s="67">
        <v>2018</v>
      </c>
      <c r="G12" s="67">
        <v>2019</v>
      </c>
      <c r="H12" s="67">
        <v>2020</v>
      </c>
      <c r="I12" s="67">
        <v>2021</v>
      </c>
      <c r="J12" s="67">
        <v>2022</v>
      </c>
      <c r="K12" s="68">
        <f t="shared" ref="K12:O12" si="0">J12+1</f>
        <v>2023</v>
      </c>
      <c r="L12" s="68">
        <f t="shared" si="0"/>
        <v>2024</v>
      </c>
      <c r="M12" s="68">
        <f t="shared" si="0"/>
        <v>2025</v>
      </c>
      <c r="N12" s="68">
        <f t="shared" si="0"/>
        <v>2026</v>
      </c>
      <c r="O12" s="68">
        <f t="shared" si="0"/>
        <v>2027</v>
      </c>
      <c r="P12" s="69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5.75" customHeight="1">
      <c r="A13" s="292" t="s">
        <v>85</v>
      </c>
      <c r="B13" s="298"/>
      <c r="C13" s="298"/>
      <c r="D13" s="298"/>
      <c r="E13" s="298"/>
      <c r="F13" s="34">
        <v>4.0899999999999999E-2</v>
      </c>
      <c r="G13" s="34">
        <v>3.1800000000000002E-2</v>
      </c>
      <c r="H13" s="34">
        <v>3.7999999999999999E-2</v>
      </c>
      <c r="I13" s="34">
        <v>1.61E-2</v>
      </c>
      <c r="J13" s="34">
        <v>5.6000000000000001E-2</v>
      </c>
      <c r="K13" s="360" t="s">
        <v>248</v>
      </c>
      <c r="L13" s="298"/>
      <c r="M13" s="298"/>
      <c r="N13" s="298"/>
      <c r="O13" s="298"/>
      <c r="P13" s="69"/>
      <c r="S13" s="34"/>
      <c r="T13" s="34"/>
      <c r="U13" s="34"/>
      <c r="V13" s="34"/>
      <c r="W13" s="34"/>
      <c r="Y13" s="34"/>
      <c r="Z13" s="34"/>
      <c r="AA13" s="34"/>
      <c r="AB13" s="34"/>
      <c r="AC13" s="34"/>
    </row>
    <row r="14" spans="1:29" ht="15.75" customHeight="1">
      <c r="A14" s="292" t="s">
        <v>86</v>
      </c>
      <c r="B14" s="298"/>
      <c r="C14" s="298"/>
      <c r="D14" s="298"/>
      <c r="E14" s="298"/>
      <c r="F14" s="34">
        <v>1.4E-2</v>
      </c>
      <c r="G14" s="34">
        <v>2.5999999999999999E-2</v>
      </c>
      <c r="H14" s="34">
        <v>3.2000000000000001E-2</v>
      </c>
      <c r="I14" s="34">
        <v>-7.0000000000000007E-2</v>
      </c>
      <c r="J14" s="34">
        <v>0.106</v>
      </c>
      <c r="K14" s="298"/>
      <c r="L14" s="298"/>
      <c r="M14" s="298"/>
      <c r="N14" s="298"/>
      <c r="O14" s="298"/>
      <c r="P14" s="69"/>
      <c r="S14" s="34"/>
      <c r="T14" s="34"/>
      <c r="U14" s="34"/>
      <c r="V14" s="34"/>
      <c r="W14" s="34"/>
      <c r="Y14" s="34"/>
      <c r="Z14" s="34"/>
      <c r="AA14" s="34"/>
      <c r="AB14" s="34"/>
      <c r="AC14" s="34"/>
    </row>
    <row r="15" spans="1:29" ht="15.75" customHeight="1">
      <c r="A15" s="293" t="s">
        <v>87</v>
      </c>
      <c r="B15" s="298"/>
      <c r="C15" s="298"/>
      <c r="D15" s="298"/>
      <c r="E15" s="298"/>
      <c r="F15" s="70">
        <f t="shared" ref="F15:J15" si="1">((1+F13)*(1+F14))-1</f>
        <v>5.5472599999999872E-2</v>
      </c>
      <c r="G15" s="70">
        <f t="shared" si="1"/>
        <v>5.862680000000009E-2</v>
      </c>
      <c r="H15" s="70">
        <f t="shared" si="1"/>
        <v>7.1216000000000168E-2</v>
      </c>
      <c r="I15" s="70">
        <f t="shared" si="1"/>
        <v>-5.5027000000000048E-2</v>
      </c>
      <c r="J15" s="70">
        <f t="shared" si="1"/>
        <v>0.16793600000000009</v>
      </c>
      <c r="K15" s="33">
        <f>+'Estrategias Operativas'!E38</f>
        <v>0.1515896000000001</v>
      </c>
      <c r="L15" s="33">
        <f>+'Estrategias Operativas'!F38</f>
        <v>0.13398844999999993</v>
      </c>
      <c r="M15" s="33">
        <f>+'Estrategias Operativas'!G38</f>
        <v>0.10913474000000001</v>
      </c>
      <c r="N15" s="33">
        <f>+'Estrategias Operativas'!H38</f>
        <v>7.8832999999999931E-2</v>
      </c>
      <c r="O15" s="33">
        <f>+'Estrategias Operativas'!I38</f>
        <v>8.4387094999999857E-2</v>
      </c>
      <c r="P15" s="69"/>
      <c r="S15" s="34"/>
      <c r="T15" s="34"/>
      <c r="U15" s="34"/>
      <c r="V15" s="34"/>
      <c r="W15" s="34"/>
      <c r="Y15" s="34"/>
      <c r="Z15" s="34"/>
      <c r="AA15" s="34"/>
      <c r="AB15" s="34"/>
      <c r="AC15" s="34"/>
    </row>
    <row r="16" spans="1:29" ht="15.75" customHeight="1">
      <c r="A16" s="293"/>
      <c r="B16" s="298"/>
      <c r="C16" s="298"/>
      <c r="D16" s="298"/>
      <c r="E16" s="298"/>
      <c r="F16" s="308" t="s">
        <v>88</v>
      </c>
      <c r="G16" s="298"/>
      <c r="H16" s="298"/>
      <c r="I16" s="298"/>
      <c r="J16" s="298"/>
      <c r="K16" s="310" t="s">
        <v>89</v>
      </c>
      <c r="L16" s="298"/>
      <c r="M16" s="298"/>
      <c r="N16" s="298"/>
      <c r="O16" s="298"/>
      <c r="P16" s="69"/>
      <c r="R16" s="27"/>
      <c r="S16" s="33"/>
      <c r="T16" s="33"/>
      <c r="U16" s="33"/>
      <c r="V16" s="33"/>
      <c r="W16" s="33"/>
      <c r="X16" s="27"/>
      <c r="Y16" s="33"/>
      <c r="Z16" s="33"/>
      <c r="AA16" s="33"/>
      <c r="AB16" s="33"/>
      <c r="AC16" s="33"/>
    </row>
    <row r="17" spans="1:35" ht="15" customHeight="1">
      <c r="K17" s="34"/>
      <c r="L17" s="34"/>
      <c r="M17" s="34"/>
      <c r="N17" s="34"/>
      <c r="O17" s="34"/>
      <c r="P17" s="69"/>
      <c r="S17" s="61"/>
      <c r="T17" s="61"/>
      <c r="U17" s="61"/>
      <c r="V17" s="61"/>
      <c r="W17" s="61"/>
      <c r="Y17" s="61"/>
      <c r="Z17" s="61"/>
      <c r="AA17" s="61"/>
      <c r="AB17" s="61"/>
      <c r="AC17" s="61"/>
    </row>
    <row r="18" spans="1:35" ht="21" customHeight="1">
      <c r="A18" s="293"/>
      <c r="B18" s="298"/>
      <c r="C18" s="298"/>
      <c r="D18" s="298"/>
      <c r="E18" s="298"/>
      <c r="F18" s="27"/>
      <c r="P18" s="69"/>
    </row>
    <row r="19" spans="1:35" ht="15.75" customHeight="1">
      <c r="K19" s="34"/>
      <c r="P19" s="69"/>
      <c r="R19" s="290"/>
      <c r="S19" s="298"/>
    </row>
    <row r="20" spans="1:35" ht="15.75" customHeight="1">
      <c r="A20" s="290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</row>
    <row r="21" spans="1:35" ht="15.75" customHeight="1">
      <c r="A21" s="294" t="s">
        <v>0</v>
      </c>
      <c r="B21" s="304"/>
      <c r="C21" s="304"/>
      <c r="D21" s="304"/>
      <c r="E21" s="304"/>
      <c r="F21" s="46">
        <f t="shared" ref="F21:O21" si="2">F12</f>
        <v>2018</v>
      </c>
      <c r="G21" s="46">
        <f t="shared" si="2"/>
        <v>2019</v>
      </c>
      <c r="H21" s="46">
        <f t="shared" si="2"/>
        <v>2020</v>
      </c>
      <c r="I21" s="46">
        <f t="shared" si="2"/>
        <v>2021</v>
      </c>
      <c r="J21" s="46">
        <f t="shared" si="2"/>
        <v>2022</v>
      </c>
      <c r="K21" s="68">
        <f t="shared" si="2"/>
        <v>2023</v>
      </c>
      <c r="L21" s="68">
        <f t="shared" si="2"/>
        <v>2024</v>
      </c>
      <c r="M21" s="68">
        <f t="shared" si="2"/>
        <v>2025</v>
      </c>
      <c r="N21" s="68">
        <f t="shared" si="2"/>
        <v>2026</v>
      </c>
      <c r="O21" s="68">
        <f t="shared" si="2"/>
        <v>2027</v>
      </c>
    </row>
    <row r="22" spans="1:35" ht="15.75" customHeight="1">
      <c r="A22" s="295" t="s">
        <v>1</v>
      </c>
      <c r="B22" s="304"/>
      <c r="C22" s="304"/>
      <c r="D22" s="304"/>
      <c r="E22" s="304"/>
      <c r="F22" s="37"/>
      <c r="G22" s="37"/>
      <c r="H22" s="37"/>
      <c r="I22" s="37"/>
      <c r="J22" s="37"/>
      <c r="K22" s="73"/>
      <c r="L22" s="73"/>
      <c r="M22" s="73"/>
      <c r="N22" s="73"/>
      <c r="O22" s="73"/>
    </row>
    <row r="23" spans="1:35" ht="15.75" customHeight="1">
      <c r="A23" s="293" t="s">
        <v>5</v>
      </c>
      <c r="B23" s="298"/>
      <c r="C23" s="298"/>
      <c r="D23" s="298"/>
      <c r="E23" s="298"/>
      <c r="F23" s="32">
        <f>'Estados Financieros'!F14</f>
        <v>2467358178</v>
      </c>
      <c r="G23" s="32">
        <f>'Estados Financieros'!G14</f>
        <v>3158470228</v>
      </c>
      <c r="H23" s="32">
        <f>'Estados Financieros'!H14</f>
        <v>3709808049</v>
      </c>
      <c r="I23" s="32">
        <f>'Estados Financieros'!I14</f>
        <v>3380747041</v>
      </c>
      <c r="J23" s="32">
        <f>'Estados Financieros'!J14</f>
        <v>3471633072</v>
      </c>
      <c r="K23" s="32">
        <f>J23*(1+K$15)</f>
        <v>3997896540.7312517</v>
      </c>
      <c r="L23" s="32">
        <f t="shared" ref="L23:O23" si="3">K23*(1+L$15)</f>
        <v>4533568501.4841938</v>
      </c>
      <c r="M23" s="32">
        <f t="shared" si="3"/>
        <v>5028338321.1658611</v>
      </c>
      <c r="N23" s="32">
        <f t="shared" si="3"/>
        <v>5424737316.0383291</v>
      </c>
      <c r="O23" s="32">
        <f t="shared" si="3"/>
        <v>5882515139.2769003</v>
      </c>
    </row>
    <row r="24" spans="1:35" ht="15.75" customHeight="1">
      <c r="A24" s="293" t="s">
        <v>6</v>
      </c>
      <c r="B24" s="298"/>
      <c r="C24" s="298"/>
      <c r="D24" s="298"/>
      <c r="E24" s="298"/>
      <c r="F24" s="32">
        <f>'Estados Financieros'!F15</f>
        <v>444313956</v>
      </c>
      <c r="G24" s="32">
        <f>'Estados Financieros'!G15</f>
        <v>806961387</v>
      </c>
      <c r="H24" s="32">
        <f>'Estados Financieros'!H15</f>
        <v>1865194210</v>
      </c>
      <c r="I24" s="32">
        <f>'Estados Financieros'!I15</f>
        <v>1437305490</v>
      </c>
      <c r="J24" s="32">
        <f>'Estados Financieros'!J15</f>
        <v>3443393761</v>
      </c>
      <c r="K24" s="32">
        <f t="shared" ref="K24:O24" si="4">J24*(1+K$15)</f>
        <v>3965376443.8724861</v>
      </c>
      <c r="L24" s="32">
        <f t="shared" si="4"/>
        <v>4496691087.2534723</v>
      </c>
      <c r="M24" s="32">
        <f t="shared" si="4"/>
        <v>4987436299.9211969</v>
      </c>
      <c r="N24" s="32">
        <f t="shared" si="4"/>
        <v>5380610865.7528839</v>
      </c>
      <c r="O24" s="32">
        <f t="shared" si="4"/>
        <v>5834664986.0392036</v>
      </c>
    </row>
    <row r="25" spans="1:35" ht="15.75" customHeight="1">
      <c r="A25" s="293" t="s">
        <v>8</v>
      </c>
      <c r="B25" s="298"/>
      <c r="C25" s="298"/>
      <c r="D25" s="298"/>
      <c r="E25" s="298"/>
      <c r="F25" s="36">
        <f>'Estados Financieros'!F17</f>
        <v>3819622428</v>
      </c>
      <c r="G25" s="36">
        <f>'Estados Financieros'!G17</f>
        <v>4298083559</v>
      </c>
      <c r="H25" s="36">
        <f>'Estados Financieros'!H17</f>
        <v>6240542676</v>
      </c>
      <c r="I25" s="36">
        <f>'Estados Financieros'!I17</f>
        <v>6277418360</v>
      </c>
      <c r="J25" s="36">
        <f>'Estados Financieros'!J17</f>
        <v>8406929305</v>
      </c>
      <c r="K25" s="74">
        <f t="shared" ref="K25:O25" si="5">J25*(1+K$15)</f>
        <v>9681332355.5732288</v>
      </c>
      <c r="L25" s="36">
        <f t="shared" si="5"/>
        <v>10978519071.831333</v>
      </c>
      <c r="M25" s="36">
        <f t="shared" si="5"/>
        <v>12176656896.320686</v>
      </c>
      <c r="N25" s="36">
        <f t="shared" si="5"/>
        <v>13136579289.428333</v>
      </c>
      <c r="O25" s="36">
        <f t="shared" si="5"/>
        <v>14245137053.900352</v>
      </c>
    </row>
    <row r="26" spans="1:35" ht="15.75" customHeight="1">
      <c r="A26" s="295" t="s">
        <v>9</v>
      </c>
      <c r="B26" s="304"/>
      <c r="C26" s="304"/>
      <c r="D26" s="304"/>
      <c r="E26" s="304"/>
      <c r="F26" s="37"/>
      <c r="G26" s="37"/>
      <c r="H26" s="37"/>
      <c r="I26" s="37"/>
      <c r="J26" s="37"/>
      <c r="K26" s="73"/>
      <c r="L26" s="73"/>
      <c r="M26" s="73"/>
      <c r="N26" s="73"/>
      <c r="O26" s="73"/>
    </row>
    <row r="27" spans="1:35" ht="15.75" customHeight="1">
      <c r="A27" s="293" t="s">
        <v>11</v>
      </c>
      <c r="B27" s="298"/>
      <c r="C27" s="298"/>
      <c r="D27" s="298"/>
      <c r="E27" s="298"/>
      <c r="F27" s="32">
        <f>'Estados Financieros'!F21</f>
        <v>7735239572</v>
      </c>
      <c r="G27" s="32">
        <f>'Estados Financieros'!G21</f>
        <v>8065267769</v>
      </c>
      <c r="H27" s="32">
        <f>'Estados Financieros'!H21</f>
        <v>7051275289</v>
      </c>
      <c r="I27" s="32">
        <f>'Estados Financieros'!I21</f>
        <v>6403592675</v>
      </c>
      <c r="J27" s="32">
        <f>'Estados Financieros'!J21</f>
        <v>5837840422</v>
      </c>
      <c r="K27" s="32">
        <f>J27*(1+K$15)+780000000</f>
        <v>7502796316.4348116</v>
      </c>
      <c r="L27" s="32">
        <f>K27*(1+L$15)+(780000000/5)</f>
        <v>8664084365.5396214</v>
      </c>
      <c r="M27" s="32">
        <f>L27*(1+M$15)+(780000000/5)</f>
        <v>9765636960.1108532</v>
      </c>
      <c r="N27" s="32">
        <f>M27*(1+N$15)+(780000000/5)</f>
        <v>10691491418.587271</v>
      </c>
      <c r="O27" s="32">
        <f>N27*(1+O$15)+(780000000/5)</f>
        <v>11749715320.619278</v>
      </c>
    </row>
    <row r="28" spans="1:35" ht="15.75" customHeight="1">
      <c r="A28" s="293" t="s">
        <v>14</v>
      </c>
      <c r="B28" s="298"/>
      <c r="C28" s="298"/>
      <c r="D28" s="298"/>
      <c r="E28" s="298"/>
      <c r="F28" s="36">
        <f>'Estados Financieros'!F24</f>
        <v>7735239572</v>
      </c>
      <c r="G28" s="36">
        <f>'Estados Financieros'!G24</f>
        <v>8065267769</v>
      </c>
      <c r="H28" s="36">
        <f>'Estados Financieros'!H24</f>
        <v>7090210684</v>
      </c>
      <c r="I28" s="36">
        <f>'Estados Financieros'!I24</f>
        <v>6403592675</v>
      </c>
      <c r="J28" s="36">
        <f>'Estados Financieros'!J24</f>
        <v>5837840422</v>
      </c>
      <c r="K28" s="74">
        <f t="shared" ref="K28:O28" si="6">J28*(1+K$15)</f>
        <v>6722796316.4348116</v>
      </c>
      <c r="L28" s="74">
        <f t="shared" si="6"/>
        <v>7623573374.5396214</v>
      </c>
      <c r="M28" s="74">
        <f t="shared" si="6"/>
        <v>8455570072.6409254</v>
      </c>
      <c r="N28" s="74">
        <f t="shared" si="6"/>
        <v>9122148028.1774273</v>
      </c>
      <c r="O28" s="74">
        <f t="shared" si="6"/>
        <v>9891939600.435297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</row>
    <row r="29" spans="1:35" ht="15.75" customHeight="1">
      <c r="A29" s="31"/>
      <c r="B29" s="31"/>
      <c r="C29" s="31"/>
      <c r="D29" s="31"/>
      <c r="E29" s="31"/>
    </row>
    <row r="30" spans="1:35" ht="15.75" customHeight="1">
      <c r="A30" s="303" t="s">
        <v>91</v>
      </c>
      <c r="B30" s="304"/>
      <c r="C30" s="304"/>
      <c r="D30" s="304"/>
      <c r="E30" s="304"/>
      <c r="F30" s="39">
        <f t="shared" ref="F30:O30" si="7">F25+F28</f>
        <v>11554862000</v>
      </c>
      <c r="G30" s="39">
        <f t="shared" si="7"/>
        <v>12363351328</v>
      </c>
      <c r="H30" s="39">
        <f t="shared" si="7"/>
        <v>13330753360</v>
      </c>
      <c r="I30" s="39">
        <f t="shared" si="7"/>
        <v>12681011035</v>
      </c>
      <c r="J30" s="39">
        <f t="shared" si="7"/>
        <v>14244769727</v>
      </c>
      <c r="K30" s="75">
        <f t="shared" si="7"/>
        <v>16404128672.008041</v>
      </c>
      <c r="L30" s="75">
        <f t="shared" si="7"/>
        <v>18602092446.370956</v>
      </c>
      <c r="M30" s="75">
        <f t="shared" si="7"/>
        <v>20632226968.961613</v>
      </c>
      <c r="N30" s="75">
        <f t="shared" si="7"/>
        <v>22258727317.605759</v>
      </c>
      <c r="O30" s="75">
        <f t="shared" si="7"/>
        <v>24137076654.335648</v>
      </c>
    </row>
    <row r="31" spans="1:35" ht="15.75" customHeight="1">
      <c r="A31" s="31"/>
    </row>
    <row r="32" spans="1:35" ht="15.75" customHeight="1">
      <c r="A32" s="295" t="s">
        <v>15</v>
      </c>
      <c r="B32" s="304"/>
      <c r="C32" s="304"/>
      <c r="D32" s="304"/>
      <c r="E32" s="304"/>
      <c r="F32" s="37"/>
      <c r="G32" s="37"/>
      <c r="H32" s="37"/>
      <c r="I32" s="37"/>
      <c r="J32" s="37"/>
      <c r="K32" s="73"/>
      <c r="L32" s="73"/>
      <c r="M32" s="73"/>
      <c r="N32" s="73"/>
      <c r="O32" s="73"/>
      <c r="U32" s="27"/>
    </row>
    <row r="33" spans="1:27" ht="15.75" customHeight="1">
      <c r="A33" s="293" t="s">
        <v>16</v>
      </c>
      <c r="B33" s="298"/>
      <c r="C33" s="298"/>
      <c r="D33" s="298"/>
      <c r="E33" s="298"/>
      <c r="F33" s="32">
        <f>'Estados Financieros'!F29</f>
        <v>5125404057</v>
      </c>
      <c r="G33" s="32">
        <f>'Estados Financieros'!G29</f>
        <v>5057191359</v>
      </c>
      <c r="H33" s="32">
        <f>'Estados Financieros'!H29</f>
        <v>4146449975</v>
      </c>
      <c r="I33" s="32">
        <f>'Estados Financieros'!I29</f>
        <v>4313438008</v>
      </c>
      <c r="J33" s="32">
        <f>'Estados Financieros'!J29</f>
        <v>4144221467</v>
      </c>
      <c r="K33" s="32">
        <f>J33*(1+K$15)</f>
        <v>4772442341.4939432</v>
      </c>
      <c r="L33" s="32">
        <f t="shared" ref="L33:O33" si="8">K33*(1+L$15)</f>
        <v>5411894493.5450869</v>
      </c>
      <c r="M33" s="32">
        <f t="shared" si="8"/>
        <v>6002520192.0055618</v>
      </c>
      <c r="N33" s="32">
        <f t="shared" si="8"/>
        <v>6475716866.3019361</v>
      </c>
      <c r="O33" s="32">
        <f t="shared" si="8"/>
        <v>7022183800.691659</v>
      </c>
    </row>
    <row r="34" spans="1:27" ht="15.75" customHeight="1">
      <c r="A34" s="293" t="s">
        <v>17</v>
      </c>
      <c r="B34" s="298"/>
      <c r="C34" s="298"/>
      <c r="D34" s="298"/>
      <c r="E34" s="298"/>
      <c r="F34" s="32">
        <f>'Estados Financieros'!F30</f>
        <v>2384929633</v>
      </c>
      <c r="G34" s="32">
        <f>'Estados Financieros'!G30</f>
        <v>2992540534</v>
      </c>
      <c r="H34" s="32">
        <f>'Estados Financieros'!H30</f>
        <v>3939046841</v>
      </c>
      <c r="I34" s="32">
        <f>'Estados Financieros'!I30</f>
        <v>3779949090</v>
      </c>
      <c r="J34" s="32">
        <f>'Estados Financieros'!J30</f>
        <v>5063375918</v>
      </c>
      <c r="K34" s="32">
        <f t="shared" ref="K34:O34" si="9">J34*(1+K$15)</f>
        <v>5830931048.0592537</v>
      </c>
      <c r="L34" s="32">
        <f t="shared" si="9"/>
        <v>6612208461.2455883</v>
      </c>
      <c r="M34" s="32">
        <f t="shared" si="9"/>
        <v>7333830112.4894257</v>
      </c>
      <c r="N34" s="32">
        <f t="shared" si="9"/>
        <v>7911977941.747304</v>
      </c>
      <c r="O34" s="32">
        <f t="shared" si="9"/>
        <v>8579646775.9554367</v>
      </c>
      <c r="R34" s="290"/>
      <c r="S34" s="298"/>
      <c r="T34" s="298"/>
      <c r="U34" s="298"/>
      <c r="V34" s="298"/>
      <c r="W34" s="298"/>
      <c r="X34" s="298"/>
      <c r="Y34" s="298"/>
      <c r="Z34" s="298"/>
      <c r="AA34" s="298"/>
    </row>
    <row r="35" spans="1:27" ht="15.75" customHeight="1">
      <c r="A35" s="293" t="s">
        <v>21</v>
      </c>
      <c r="B35" s="298"/>
      <c r="C35" s="298"/>
      <c r="D35" s="298"/>
      <c r="E35" s="298"/>
      <c r="F35" s="36">
        <f>'Estados Financieros'!F35</f>
        <v>8716298352</v>
      </c>
      <c r="G35" s="36">
        <f>'Estados Financieros'!G35</f>
        <v>9316737052</v>
      </c>
      <c r="H35" s="36">
        <f>'Estados Financieros'!H35</f>
        <v>10107761751</v>
      </c>
      <c r="I35" s="36">
        <f>'Estados Financieros'!I35</f>
        <v>9388936702</v>
      </c>
      <c r="J35" s="36">
        <f>'Estados Financieros'!J35</f>
        <v>10636396753</v>
      </c>
      <c r="K35" s="74">
        <f>J35*(1+K$15)</f>
        <v>12248763882.228569</v>
      </c>
      <c r="L35" s="74">
        <f t="shared" ref="L35:O35" si="10">K35*(1+L$15)</f>
        <v>13889956769.224356</v>
      </c>
      <c r="M35" s="74">
        <f t="shared" si="10"/>
        <v>15405833589.844896</v>
      </c>
      <c r="N35" s="74">
        <f t="shared" si="10"/>
        <v>16620321669.233137</v>
      </c>
      <c r="O35" s="74">
        <f t="shared" si="10"/>
        <v>18022862332.865269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ht="15.75" customHeight="1">
      <c r="A36" s="295" t="s">
        <v>22</v>
      </c>
      <c r="B36" s="304"/>
      <c r="C36" s="304"/>
      <c r="D36" s="304"/>
      <c r="E36" s="304"/>
      <c r="F36" s="37"/>
      <c r="G36" s="37"/>
      <c r="H36" s="37"/>
      <c r="I36" s="37"/>
      <c r="J36" s="37"/>
      <c r="K36" s="73"/>
      <c r="L36" s="73"/>
      <c r="M36" s="73"/>
      <c r="N36" s="73"/>
      <c r="O36" s="73"/>
      <c r="W36" s="76"/>
      <c r="X36" s="76"/>
      <c r="Y36" s="76"/>
      <c r="Z36" s="76"/>
      <c r="AA36" s="76"/>
    </row>
    <row r="37" spans="1:27" ht="15.75" customHeight="1">
      <c r="A37" s="293" t="s">
        <v>16</v>
      </c>
      <c r="B37" s="298"/>
      <c r="C37" s="298"/>
      <c r="D37" s="298"/>
      <c r="E37" s="298"/>
      <c r="F37" s="32">
        <f>'Estados Financieros'!F37</f>
        <v>0</v>
      </c>
      <c r="G37" s="32">
        <f>'Estados Financieros'!G37</f>
        <v>0</v>
      </c>
      <c r="H37" s="32">
        <f>'Estados Financieros'!H37</f>
        <v>0</v>
      </c>
      <c r="I37" s="32">
        <f>'Estados Financieros'!I37</f>
        <v>0</v>
      </c>
      <c r="J37" s="32">
        <f>'Estados Financieros'!J37</f>
        <v>0</v>
      </c>
      <c r="K37" s="32">
        <f>+SUM(F160:F171)</f>
        <v>232984375</v>
      </c>
      <c r="L37" s="32">
        <f>SUM(F172:F183)</f>
        <v>222259375</v>
      </c>
      <c r="M37" s="32">
        <f>+SUM(F184:F195)</f>
        <v>211534375</v>
      </c>
      <c r="N37" s="32">
        <f>+SUM(F196:F207)</f>
        <v>200809375</v>
      </c>
      <c r="O37" s="32">
        <v>0</v>
      </c>
      <c r="R37" s="77"/>
      <c r="S37" s="77"/>
      <c r="T37" s="77"/>
      <c r="U37" s="77"/>
      <c r="V37" s="77"/>
      <c r="W37" s="77"/>
      <c r="X37" s="77"/>
      <c r="Y37" s="77"/>
      <c r="Z37" s="77"/>
      <c r="AA37" s="77"/>
    </row>
    <row r="38" spans="1:27" ht="15.75" customHeight="1">
      <c r="A38" s="31"/>
      <c r="B38" s="31"/>
      <c r="C38" s="31"/>
      <c r="D38" s="31"/>
      <c r="E38" s="31"/>
    </row>
    <row r="39" spans="1:27" ht="15.75" customHeight="1">
      <c r="A39" s="296" t="s">
        <v>25</v>
      </c>
      <c r="B39" s="298"/>
      <c r="C39" s="298"/>
      <c r="D39" s="298"/>
      <c r="E39" s="298"/>
      <c r="F39" s="44">
        <f>'Estados Financieros'!F42</f>
        <v>8716298352</v>
      </c>
      <c r="G39" s="44">
        <f>'Estados Financieros'!G42</f>
        <v>9316737052</v>
      </c>
      <c r="H39" s="44">
        <f>'Estados Financieros'!H42</f>
        <v>10107761751</v>
      </c>
      <c r="I39" s="44">
        <f>'Estados Financieros'!I42</f>
        <v>9388936702</v>
      </c>
      <c r="J39" s="44">
        <f>'Estados Financieros'!J42</f>
        <v>10636396753</v>
      </c>
      <c r="K39" s="75">
        <f>J39*(1+K$15)</f>
        <v>12248763882.228569</v>
      </c>
      <c r="L39" s="75">
        <f t="shared" ref="L39:O39" si="11">K39*(1+L$15)</f>
        <v>13889956769.224356</v>
      </c>
      <c r="M39" s="75">
        <f t="shared" si="11"/>
        <v>15405833589.844896</v>
      </c>
      <c r="N39" s="75">
        <f t="shared" si="11"/>
        <v>16620321669.233137</v>
      </c>
      <c r="O39" s="75">
        <f t="shared" si="11"/>
        <v>18022862332.865269</v>
      </c>
    </row>
    <row r="40" spans="1:27" ht="15.75" customHeight="1">
      <c r="A40" s="31"/>
    </row>
    <row r="41" spans="1:27" ht="15.75" customHeight="1">
      <c r="A41" s="295" t="s">
        <v>26</v>
      </c>
      <c r="B41" s="304"/>
      <c r="C41" s="304"/>
      <c r="D41" s="304"/>
      <c r="E41" s="304"/>
      <c r="F41" s="37"/>
      <c r="G41" s="37"/>
      <c r="H41" s="37"/>
      <c r="I41" s="37"/>
      <c r="J41" s="37"/>
      <c r="K41" s="73"/>
      <c r="L41" s="73"/>
      <c r="M41" s="73"/>
      <c r="N41" s="73"/>
      <c r="O41" s="73"/>
    </row>
    <row r="42" spans="1:27" ht="15.75" customHeight="1">
      <c r="A42" s="293" t="s">
        <v>92</v>
      </c>
      <c r="B42" s="298"/>
      <c r="C42" s="298"/>
      <c r="D42" s="298"/>
      <c r="E42" s="298"/>
      <c r="F42" s="36">
        <f>'Estados Financieros'!F50</f>
        <v>2838563648</v>
      </c>
      <c r="G42" s="36">
        <f>'Estados Financieros'!G50</f>
        <v>3046614276</v>
      </c>
      <c r="H42" s="36">
        <f>'Estados Financieros'!H50</f>
        <v>3222991609</v>
      </c>
      <c r="I42" s="36">
        <f>'Estados Financieros'!I50</f>
        <v>3292074333</v>
      </c>
      <c r="J42" s="36">
        <f>'Estados Financieros'!J50</f>
        <v>3608372974</v>
      </c>
      <c r="K42" s="32">
        <f t="shared" ref="K42:O42" si="12">J42*(1+K$15)</f>
        <v>4155364789.7794709</v>
      </c>
      <c r="L42" s="32">
        <f t="shared" si="12"/>
        <v>4712135677.1465979</v>
      </c>
      <c r="M42" s="32">
        <f t="shared" si="12"/>
        <v>5226393379.1167154</v>
      </c>
      <c r="N42" s="32">
        <f t="shared" si="12"/>
        <v>5638405648.3726234</v>
      </c>
      <c r="O42" s="32">
        <f t="shared" si="12"/>
        <v>6114214321.4703798</v>
      </c>
    </row>
    <row r="43" spans="1:27" ht="15.75" customHeight="1">
      <c r="A43" s="31"/>
      <c r="B43" s="31"/>
      <c r="C43" s="31"/>
      <c r="D43" s="31"/>
      <c r="E43" s="31"/>
    </row>
    <row r="44" spans="1:27" ht="15.75" customHeight="1">
      <c r="A44" s="296" t="s">
        <v>30</v>
      </c>
      <c r="B44" s="298"/>
      <c r="C44" s="298"/>
      <c r="D44" s="298"/>
      <c r="E44" s="298"/>
      <c r="F44" s="44">
        <f t="shared" ref="F44:O44" si="13">F39+F42</f>
        <v>11554862000</v>
      </c>
      <c r="G44" s="44">
        <f t="shared" si="13"/>
        <v>12363351328</v>
      </c>
      <c r="H44" s="44">
        <f t="shared" si="13"/>
        <v>13330753360</v>
      </c>
      <c r="I44" s="44">
        <f t="shared" si="13"/>
        <v>12681011035</v>
      </c>
      <c r="J44" s="44">
        <f t="shared" si="13"/>
        <v>14244769727</v>
      </c>
      <c r="K44" s="75">
        <f>K39+K42</f>
        <v>16404128672.008039</v>
      </c>
      <c r="L44" s="75">
        <f t="shared" si="13"/>
        <v>18602092446.370953</v>
      </c>
      <c r="M44" s="75">
        <f t="shared" si="13"/>
        <v>20632226968.961613</v>
      </c>
      <c r="N44" s="75">
        <f t="shared" si="13"/>
        <v>22258727317.605759</v>
      </c>
      <c r="O44" s="75">
        <f t="shared" si="13"/>
        <v>24137076654.335648</v>
      </c>
    </row>
    <row r="45" spans="1:27" ht="15.75" customHeight="1"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293"/>
      <c r="R45" s="298"/>
    </row>
    <row r="46" spans="1:27" ht="15.75" customHeight="1">
      <c r="F46" s="78">
        <f>+F51/F50</f>
        <v>0.68071597395482442</v>
      </c>
      <c r="G46" s="78">
        <f t="shared" ref="G46:J46" si="14">+G51/G50</f>
        <v>0.6706240836314239</v>
      </c>
      <c r="H46" s="78">
        <f t="shared" si="14"/>
        <v>0.6565375964783573</v>
      </c>
      <c r="I46" s="78">
        <f t="shared" si="14"/>
        <v>0.71352066795735958</v>
      </c>
      <c r="J46" s="78">
        <f t="shared" si="14"/>
        <v>0.7558932185733227</v>
      </c>
      <c r="K46" s="172">
        <f>+K51/K50</f>
        <v>0.68046040530818319</v>
      </c>
      <c r="L46" s="172">
        <f>+L51/L50</f>
        <v>0.6728655480409037</v>
      </c>
      <c r="M46" s="172">
        <f>+M51/M50</f>
        <v>0.66378265048537677</v>
      </c>
      <c r="N46" s="172">
        <f>+N51/N50</f>
        <v>0.66978101891013742</v>
      </c>
      <c r="O46" s="172">
        <f>+O51/O50</f>
        <v>0.6742360681301065</v>
      </c>
    </row>
    <row r="47" spans="1:27" ht="15.75" customHeight="1"/>
    <row r="48" spans="1:27" ht="15.75" customHeight="1">
      <c r="A48" s="294" t="s">
        <v>32</v>
      </c>
      <c r="B48" s="304"/>
      <c r="C48" s="304"/>
      <c r="D48" s="304"/>
      <c r="E48" s="304"/>
      <c r="F48" s="46">
        <f>'Estados Financieros'!F60</f>
        <v>2018</v>
      </c>
      <c r="G48" s="46">
        <f>'Estados Financieros'!G60</f>
        <v>2019</v>
      </c>
      <c r="H48" s="46">
        <f>'Estados Financieros'!H60</f>
        <v>2020</v>
      </c>
      <c r="I48" s="46">
        <f>'Estados Financieros'!I60</f>
        <v>2021</v>
      </c>
      <c r="J48" s="46">
        <f>'Estados Financieros'!J60</f>
        <v>2022</v>
      </c>
      <c r="K48" s="68">
        <f t="shared" ref="K48:O48" si="15">K21</f>
        <v>2023</v>
      </c>
      <c r="L48" s="68">
        <f t="shared" si="15"/>
        <v>2024</v>
      </c>
      <c r="M48" s="68">
        <f t="shared" si="15"/>
        <v>2025</v>
      </c>
      <c r="N48" s="68">
        <f t="shared" si="15"/>
        <v>2026</v>
      </c>
      <c r="O48" s="68">
        <f t="shared" si="15"/>
        <v>2027</v>
      </c>
    </row>
    <row r="49" spans="1:15" ht="15.75" customHeight="1">
      <c r="A49" s="295" t="s">
        <v>36</v>
      </c>
      <c r="B49" s="304"/>
      <c r="C49" s="304"/>
      <c r="D49" s="304"/>
      <c r="E49" s="304"/>
      <c r="F49" s="37"/>
      <c r="G49" s="37"/>
      <c r="H49" s="37"/>
      <c r="I49" s="37"/>
      <c r="J49" s="37"/>
      <c r="K49" s="316"/>
      <c r="L49" s="314"/>
      <c r="M49" s="314"/>
      <c r="N49" s="314"/>
      <c r="O49" s="314"/>
    </row>
    <row r="50" spans="1:15" s="173" customFormat="1" ht="15.75" customHeight="1">
      <c r="A50" s="362" t="s">
        <v>41</v>
      </c>
      <c r="B50" s="363"/>
      <c r="C50" s="363"/>
      <c r="D50" s="363"/>
      <c r="E50" s="363"/>
      <c r="F50" s="174">
        <f>+'Estados Financieros'!F62</f>
        <v>16705472817</v>
      </c>
      <c r="G50" s="174">
        <f>+'Estados Financieros'!G62</f>
        <v>20474224826</v>
      </c>
      <c r="H50" s="174">
        <f>+'Estados Financieros'!H62</f>
        <v>21563111744</v>
      </c>
      <c r="I50" s="174">
        <f>+'Estados Financieros'!I62</f>
        <v>22145181018</v>
      </c>
      <c r="J50" s="174">
        <f>+'Estados Financieros'!J62</f>
        <v>33287737602</v>
      </c>
      <c r="K50" s="175">
        <f>+'Estrategias Operativas'!E39</f>
        <v>38333812429.992142</v>
      </c>
      <c r="L50" s="175">
        <f>+'Estrategias Operativas'!F39</f>
        <v>43470100540.077522</v>
      </c>
      <c r="M50" s="175">
        <f>+'Estrategias Operativas'!G39</f>
        <v>48214198660.29274</v>
      </c>
      <c r="N50" s="175">
        <f>+'Estrategias Operativas'!H39</f>
        <v>52015068583.279594</v>
      </c>
      <c r="O50" s="175">
        <f>+'Estrategias Operativas'!I39</f>
        <v>56404469117.248314</v>
      </c>
    </row>
    <row r="51" spans="1:15" ht="15.75" customHeight="1">
      <c r="A51" s="292" t="s">
        <v>47</v>
      </c>
      <c r="B51" s="298"/>
      <c r="C51" s="298"/>
      <c r="D51" s="298"/>
      <c r="E51" s="298"/>
      <c r="F51" s="32">
        <f>+'Estados Financieros'!F63</f>
        <v>11371682199</v>
      </c>
      <c r="G51" s="32">
        <f>+'Estados Financieros'!G63</f>
        <v>13730508262</v>
      </c>
      <c r="H51" s="32">
        <f>+'Estados Financieros'!H63</f>
        <v>14156993557</v>
      </c>
      <c r="I51" s="32">
        <f>+'Estados Financieros'!I63</f>
        <v>15801044352</v>
      </c>
      <c r="J51" s="32">
        <f>+'Estados Financieros'!J63</f>
        <v>25161975115</v>
      </c>
      <c r="K51" s="43">
        <f>+'Estrategias Operativas'!E29</f>
        <v>26084641543.120323</v>
      </c>
      <c r="L51" s="43">
        <f>+'Estrategias Operativas'!F29</f>
        <v>29249533023.292446</v>
      </c>
      <c r="M51" s="43">
        <f>+'Estrategias Operativas'!G29</f>
        <v>32003748577.757614</v>
      </c>
      <c r="N51" s="43">
        <f>+'Estrategias Operativas'!H29</f>
        <v>34838705634.389687</v>
      </c>
      <c r="O51" s="43">
        <f>+'Estrategias Operativas'!I29</f>
        <v>38029927482.579521</v>
      </c>
    </row>
    <row r="52" spans="1:15" ht="15.75" customHeight="1">
      <c r="A52" s="293" t="s">
        <v>49</v>
      </c>
      <c r="B52" s="298"/>
      <c r="C52" s="298"/>
      <c r="D52" s="298"/>
      <c r="E52" s="298"/>
      <c r="F52" s="57">
        <f t="shared" ref="F52:J52" si="16">F50-F51</f>
        <v>5333790618</v>
      </c>
      <c r="G52" s="57">
        <f t="shared" si="16"/>
        <v>6743716564</v>
      </c>
      <c r="H52" s="57">
        <f t="shared" si="16"/>
        <v>7406118187</v>
      </c>
      <c r="I52" s="57">
        <f t="shared" si="16"/>
        <v>6344136666</v>
      </c>
      <c r="J52" s="57">
        <f t="shared" si="16"/>
        <v>8125762487</v>
      </c>
      <c r="K52" s="57">
        <f>K50-K51</f>
        <v>12249170886.871819</v>
      </c>
      <c r="L52" s="57">
        <f t="shared" ref="L52:O52" si="17">L50-L51</f>
        <v>14220567516.785076</v>
      </c>
      <c r="M52" s="57">
        <f t="shared" si="17"/>
        <v>16210450082.535126</v>
      </c>
      <c r="N52" s="57">
        <f t="shared" si="17"/>
        <v>17176362948.889908</v>
      </c>
      <c r="O52" s="57">
        <f t="shared" si="17"/>
        <v>18374541634.668793</v>
      </c>
    </row>
    <row r="53" spans="1:15" ht="15.75" customHeight="1">
      <c r="A53" s="292" t="s">
        <v>51</v>
      </c>
      <c r="B53" s="298"/>
      <c r="C53" s="298"/>
      <c r="D53" s="298"/>
      <c r="E53" s="298"/>
      <c r="F53" s="43">
        <f>+'Estados Financieros'!F65</f>
        <v>1399997826</v>
      </c>
      <c r="G53" s="43">
        <f>+'Estados Financieros'!G65</f>
        <v>1887304063</v>
      </c>
      <c r="H53" s="43">
        <f>+'Estados Financieros'!H65</f>
        <v>2008921908</v>
      </c>
      <c r="I53" s="43">
        <f>+'Estados Financieros'!I65</f>
        <v>1251540197</v>
      </c>
      <c r="J53" s="43">
        <f>+'Estados Financieros'!J65</f>
        <v>2340839169</v>
      </c>
      <c r="K53" s="43">
        <f>+'Estrategias Operativas'!E30</f>
        <v>3030926326.034462</v>
      </c>
      <c r="L53" s="43">
        <f>+'Estrategias Operativas'!F30</f>
        <v>3430106489.3990779</v>
      </c>
      <c r="M53" s="43">
        <f>+'Estrategias Operativas'!G30</f>
        <v>3795909033.5880923</v>
      </c>
      <c r="N53" s="43">
        <f>+'Estrategias Operativas'!H30</f>
        <v>4085551389.2690787</v>
      </c>
      <c r="O53" s="43">
        <f>+'Estrategias Operativas'!I30</f>
        <v>4418918626.6403761</v>
      </c>
    </row>
    <row r="54" spans="1:15" ht="15.75" customHeight="1">
      <c r="A54" s="292" t="s">
        <v>53</v>
      </c>
      <c r="B54" s="298"/>
      <c r="C54" s="298"/>
      <c r="D54" s="298"/>
      <c r="E54" s="298"/>
      <c r="F54" s="43">
        <f>+'Estados Financieros'!F66</f>
        <v>2100122025</v>
      </c>
      <c r="G54" s="43">
        <f>+'Estados Financieros'!G66</f>
        <v>3783610423</v>
      </c>
      <c r="H54" s="43">
        <f>+'Estados Financieros'!H66</f>
        <v>4159403862</v>
      </c>
      <c r="I54" s="43">
        <f>+'Estados Financieros'!I66</f>
        <v>4243395166</v>
      </c>
      <c r="J54" s="43">
        <f>+'Estados Financieros'!J66</f>
        <v>4318857792</v>
      </c>
      <c r="K54" s="43">
        <f>+'Estrategias Operativas'!E31</f>
        <v>6281633546.1275549</v>
      </c>
      <c r="L54" s="43">
        <f>+'Estrategias Operativas'!F31</f>
        <v>6859013523.6096058</v>
      </c>
      <c r="M54" s="43">
        <f>+'Estrategias Operativas'!G31</f>
        <v>7432727136.0250263</v>
      </c>
      <c r="N54" s="43">
        <f>+'Estrategias Operativas'!H31</f>
        <v>7914371808.0177116</v>
      </c>
      <c r="O54" s="43">
        <f>+'Estrategias Operativas'!I31</f>
        <v>8467943820.6410923</v>
      </c>
    </row>
    <row r="55" spans="1:15" ht="15.75" customHeight="1">
      <c r="A55" s="293" t="s">
        <v>56</v>
      </c>
      <c r="B55" s="298"/>
      <c r="C55" s="298"/>
      <c r="D55" s="298"/>
      <c r="E55" s="298"/>
      <c r="F55" s="57">
        <f t="shared" ref="F55:J55" si="18">F52-F53-F54</f>
        <v>1833670767</v>
      </c>
      <c r="G55" s="57">
        <f t="shared" si="18"/>
        <v>1072802078</v>
      </c>
      <c r="H55" s="57">
        <f t="shared" si="18"/>
        <v>1237792417</v>
      </c>
      <c r="I55" s="57">
        <f t="shared" si="18"/>
        <v>849201303</v>
      </c>
      <c r="J55" s="57">
        <f t="shared" si="18"/>
        <v>1466065526</v>
      </c>
      <c r="K55" s="57">
        <f t="shared" ref="K55:O55" si="19">K52-K53-K54</f>
        <v>2936611014.7098017</v>
      </c>
      <c r="L55" s="57">
        <f t="shared" si="19"/>
        <v>3931447503.776392</v>
      </c>
      <c r="M55" s="57">
        <f t="shared" si="19"/>
        <v>4981813912.9220066</v>
      </c>
      <c r="N55" s="57">
        <f t="shared" si="19"/>
        <v>5176439751.603117</v>
      </c>
      <c r="O55" s="57">
        <f t="shared" si="19"/>
        <v>5487679187.3873234</v>
      </c>
    </row>
    <row r="56" spans="1:15" ht="15.75" customHeight="1">
      <c r="A56" s="295" t="s">
        <v>61</v>
      </c>
      <c r="B56" s="304"/>
      <c r="C56" s="304"/>
      <c r="D56" s="304"/>
      <c r="E56" s="304"/>
      <c r="F56" s="37"/>
      <c r="G56" s="37"/>
      <c r="H56" s="37"/>
      <c r="I56" s="37"/>
      <c r="J56" s="37"/>
      <c r="K56" s="73"/>
      <c r="L56" s="73"/>
      <c r="M56" s="73"/>
      <c r="N56" s="73"/>
      <c r="O56" s="73"/>
    </row>
    <row r="57" spans="1:15" ht="15.75" customHeight="1">
      <c r="A57" s="292" t="s">
        <v>63</v>
      </c>
      <c r="B57" s="298"/>
      <c r="C57" s="298"/>
      <c r="D57" s="298"/>
      <c r="E57" s="298"/>
      <c r="F57" s="32">
        <f>+'Estados Financieros'!F69</f>
        <v>60951359</v>
      </c>
      <c r="G57" s="32">
        <f>+'Estados Financieros'!G69</f>
        <v>276252254</v>
      </c>
      <c r="H57" s="32">
        <f>+'Estados Financieros'!H69</f>
        <v>125247009</v>
      </c>
      <c r="I57" s="32">
        <f>+'Estados Financieros'!I69</f>
        <v>525543088</v>
      </c>
      <c r="J57" s="32">
        <f>+'Estados Financieros'!J69</f>
        <v>237097617</v>
      </c>
      <c r="K57" s="32">
        <f>+K50*'Estados Financieros'!$P$69</f>
        <v>412502853.75009483</v>
      </c>
      <c r="L57" s="32">
        <f>+L50*'Estados Financieros'!$P$69</f>
        <v>467773471.74464673</v>
      </c>
      <c r="M57" s="32">
        <f>+M50*'Estados Financieros'!$P$69</f>
        <v>518823807.96239609</v>
      </c>
      <c r="N57" s="32">
        <f>+N50*'Estados Financieros'!$P$69</f>
        <v>559724245.21549559</v>
      </c>
      <c r="O57" s="32">
        <f>+O50*'Estados Financieros'!$P$69</f>
        <v>606957748.27029884</v>
      </c>
    </row>
    <row r="58" spans="1:15" ht="15.75" customHeight="1">
      <c r="A58" s="292" t="s">
        <v>65</v>
      </c>
      <c r="B58" s="298"/>
      <c r="C58" s="298"/>
      <c r="D58" s="298"/>
      <c r="E58" s="298"/>
      <c r="F58" s="32">
        <f>+'Estados Financieros'!F70</f>
        <v>6816537</v>
      </c>
      <c r="G58" s="32">
        <f>+'Estados Financieros'!G70</f>
        <v>2936105</v>
      </c>
      <c r="H58" s="32">
        <f>+'Estados Financieros'!H70</f>
        <v>0</v>
      </c>
      <c r="I58" s="32">
        <f>+'Estados Financieros'!I70</f>
        <v>366325798</v>
      </c>
      <c r="J58" s="32">
        <f>+'Estados Financieros'!J70</f>
        <v>133891372</v>
      </c>
      <c r="K58" s="43">
        <f>+K50*'Estados Financieros'!$P$70</f>
        <v>161889055.14618596</v>
      </c>
      <c r="L58" s="43">
        <f>+L50*'Estados Financieros'!$P$70</f>
        <v>183580318.71718794</v>
      </c>
      <c r="M58" s="43">
        <f>+M50*'Estados Financieros'!$P$70</f>
        <v>203615309.06950539</v>
      </c>
      <c r="N58" s="43">
        <f>+N50*'Estados Financieros'!$P$70</f>
        <v>219666914.72938168</v>
      </c>
      <c r="O58" s="43">
        <f>+O50*'Estados Financieros'!$P$70</f>
        <v>238203967.53100687</v>
      </c>
    </row>
    <row r="59" spans="1:15" ht="15.75" customHeight="1">
      <c r="A59" s="292" t="s">
        <v>67</v>
      </c>
      <c r="B59" s="298"/>
      <c r="C59" s="298"/>
      <c r="D59" s="298"/>
      <c r="E59" s="298"/>
      <c r="F59" s="32">
        <f>+'Estados Financieros'!F71</f>
        <v>872635121</v>
      </c>
      <c r="G59" s="32">
        <f>+'Estados Financieros'!G71</f>
        <v>806085597</v>
      </c>
      <c r="H59" s="32">
        <f>+'Estados Financieros'!H71</f>
        <v>827579911</v>
      </c>
      <c r="I59" s="32">
        <f>+'Estados Financieros'!I71</f>
        <v>744684873</v>
      </c>
      <c r="J59" s="32">
        <f>+'Estados Financieros'!J71</f>
        <v>955787173</v>
      </c>
      <c r="K59" s="43">
        <f>+K50*'Estados Financieros'!$P$71</f>
        <v>1474525060.839854</v>
      </c>
      <c r="L59" s="43">
        <f>+L50*'Estados Financieros'!$P$71</f>
        <v>1672094388.2279418</v>
      </c>
      <c r="M59" s="43">
        <f>+M50*'Estados Financieros'!$P$71</f>
        <v>1854577974.5426571</v>
      </c>
      <c r="N59" s="43">
        <f>+N50*'Estados Financieros'!$P$71</f>
        <v>2000779920.0097783</v>
      </c>
      <c r="O59" s="43">
        <f>+O50*'Estados Financieros'!$P$71</f>
        <v>2169619925.1937351</v>
      </c>
    </row>
    <row r="60" spans="1:15" ht="15.75" customHeight="1">
      <c r="A60" s="295" t="s">
        <v>68</v>
      </c>
      <c r="B60" s="304"/>
      <c r="C60" s="304"/>
      <c r="D60" s="304"/>
      <c r="E60" s="304"/>
      <c r="F60" s="37"/>
      <c r="G60" s="37"/>
      <c r="H60" s="37"/>
      <c r="I60" s="37"/>
      <c r="J60" s="37"/>
      <c r="K60" s="73"/>
      <c r="L60" s="73"/>
      <c r="M60" s="73"/>
      <c r="N60" s="73"/>
      <c r="O60" s="73"/>
    </row>
    <row r="61" spans="1:15" ht="15.75" customHeight="1">
      <c r="A61" s="293" t="s">
        <v>69</v>
      </c>
      <c r="B61" s="298"/>
      <c r="C61" s="298"/>
      <c r="D61" s="298"/>
      <c r="E61" s="298"/>
      <c r="F61" s="57">
        <f t="shared" ref="F61:O61" si="20">F55+F57-F58-F59</f>
        <v>1015170468</v>
      </c>
      <c r="G61" s="57">
        <f t="shared" si="20"/>
        <v>540032630</v>
      </c>
      <c r="H61" s="57">
        <f t="shared" si="20"/>
        <v>535459515</v>
      </c>
      <c r="I61" s="57">
        <f t="shared" si="20"/>
        <v>263733720</v>
      </c>
      <c r="J61" s="57">
        <f t="shared" si="20"/>
        <v>613484598</v>
      </c>
      <c r="K61" s="57">
        <f t="shared" si="20"/>
        <v>1712699752.4738567</v>
      </c>
      <c r="L61" s="57">
        <f t="shared" si="20"/>
        <v>2543546268.5759096</v>
      </c>
      <c r="M61" s="57">
        <f t="shared" si="20"/>
        <v>3442444437.2722397</v>
      </c>
      <c r="N61" s="57">
        <f t="shared" si="20"/>
        <v>3515717162.0794535</v>
      </c>
      <c r="O61" s="57">
        <f t="shared" si="20"/>
        <v>3686813042.9328804</v>
      </c>
    </row>
    <row r="62" spans="1:15" ht="15.75" customHeight="1">
      <c r="A62" s="292" t="s">
        <v>70</v>
      </c>
      <c r="B62" s="298"/>
      <c r="C62" s="298"/>
      <c r="D62" s="298"/>
      <c r="E62" s="298"/>
      <c r="F62" s="43">
        <v>956788</v>
      </c>
      <c r="G62" s="43">
        <v>1014543</v>
      </c>
      <c r="H62" s="43">
        <v>1232112</v>
      </c>
      <c r="I62" s="43">
        <v>1967888</v>
      </c>
      <c r="J62" s="43">
        <v>2134111</v>
      </c>
      <c r="K62" s="43">
        <f>+K50*'Estados Financieros'!$P$74</f>
        <v>580068820.16753542</v>
      </c>
      <c r="L62" s="43">
        <f>+L50*'Estados Financieros'!$P$74</f>
        <v>657791342.27511227</v>
      </c>
      <c r="M62" s="43">
        <f>+M50*'Estados Financieros'!$P$74</f>
        <v>729579229.38855755</v>
      </c>
      <c r="N62" s="43">
        <f>+N50*'Estados Financieros'!$P$74</f>
        <v>787094148.77894568</v>
      </c>
      <c r="O62" s="43">
        <f>+O50*'Estados Financieros'!$P$74</f>
        <v>853514737.48589861</v>
      </c>
    </row>
    <row r="63" spans="1:15" ht="15.75" customHeight="1">
      <c r="A63" s="293" t="s">
        <v>71</v>
      </c>
      <c r="B63" s="298"/>
      <c r="C63" s="298"/>
      <c r="D63" s="298"/>
      <c r="E63" s="298"/>
      <c r="F63" s="57">
        <f t="shared" ref="F63:O63" si="21">F61-F62</f>
        <v>1014213680</v>
      </c>
      <c r="G63" s="57">
        <f t="shared" si="21"/>
        <v>539018087</v>
      </c>
      <c r="H63" s="57">
        <f t="shared" si="21"/>
        <v>534227403</v>
      </c>
      <c r="I63" s="57">
        <f t="shared" si="21"/>
        <v>261765832</v>
      </c>
      <c r="J63" s="57">
        <f t="shared" si="21"/>
        <v>611350487</v>
      </c>
      <c r="K63" s="57">
        <f t="shared" si="21"/>
        <v>1132630932.3063211</v>
      </c>
      <c r="L63" s="57">
        <f t="shared" si="21"/>
        <v>1885754926.3007975</v>
      </c>
      <c r="M63" s="57">
        <f t="shared" si="21"/>
        <v>2712865207.8836823</v>
      </c>
      <c r="N63" s="57">
        <f t="shared" si="21"/>
        <v>2728623013.3005075</v>
      </c>
      <c r="O63" s="57">
        <f t="shared" si="21"/>
        <v>2833298305.4469819</v>
      </c>
    </row>
    <row r="64" spans="1:15" ht="15.75" customHeight="1">
      <c r="G64" s="34"/>
      <c r="H64" s="34"/>
      <c r="I64" s="34"/>
      <c r="J64" s="34"/>
      <c r="K64" s="43"/>
      <c r="L64" s="34"/>
      <c r="M64" s="34"/>
      <c r="N64" s="34"/>
      <c r="O64" s="34"/>
    </row>
    <row r="65" spans="1:16" ht="15.75" customHeight="1">
      <c r="F65" s="77"/>
      <c r="G65" s="77"/>
      <c r="H65" s="77"/>
      <c r="I65" s="77"/>
      <c r="J65" s="77"/>
      <c r="K65" s="64"/>
      <c r="L65" s="64"/>
      <c r="M65" s="64"/>
      <c r="N65" s="64"/>
      <c r="O65" s="64"/>
    </row>
    <row r="66" spans="1:16" ht="15.75" customHeight="1"/>
    <row r="67" spans="1:16" ht="15.75" customHeight="1">
      <c r="A67" s="79" t="s">
        <v>73</v>
      </c>
      <c r="B67" s="66"/>
      <c r="C67" s="66"/>
      <c r="D67" s="66"/>
      <c r="E67" s="66"/>
      <c r="F67" s="46">
        <f t="shared" ref="F67:O67" si="22">F48</f>
        <v>2018</v>
      </c>
      <c r="G67" s="46">
        <f t="shared" si="22"/>
        <v>2019</v>
      </c>
      <c r="H67" s="46">
        <f t="shared" si="22"/>
        <v>2020</v>
      </c>
      <c r="I67" s="46">
        <f t="shared" si="22"/>
        <v>2021</v>
      </c>
      <c r="J67" s="46">
        <f t="shared" si="22"/>
        <v>2022</v>
      </c>
      <c r="K67" s="68">
        <f t="shared" si="22"/>
        <v>2023</v>
      </c>
      <c r="L67" s="68">
        <f t="shared" si="22"/>
        <v>2024</v>
      </c>
      <c r="M67" s="68">
        <f t="shared" si="22"/>
        <v>2025</v>
      </c>
      <c r="N67" s="68">
        <f t="shared" si="22"/>
        <v>2026</v>
      </c>
      <c r="O67" s="68">
        <f t="shared" si="22"/>
        <v>2027</v>
      </c>
    </row>
    <row r="68" spans="1:16" ht="15.75" customHeight="1">
      <c r="A68" s="27" t="s">
        <v>74</v>
      </c>
      <c r="F68" s="32">
        <v>493803100</v>
      </c>
      <c r="G68" s="32">
        <v>780704399</v>
      </c>
      <c r="H68" s="32">
        <v>789070726</v>
      </c>
      <c r="I68" s="32">
        <v>465856844</v>
      </c>
      <c r="J68" s="32">
        <v>407852963</v>
      </c>
      <c r="K68" s="32">
        <f t="shared" ref="K68:O68" si="23">AVERAGE(F68:J68)</f>
        <v>587457606.39999998</v>
      </c>
      <c r="L68" s="32">
        <f t="shared" si="23"/>
        <v>606188507.68000007</v>
      </c>
      <c r="M68" s="32">
        <f t="shared" si="23"/>
        <v>571285329.41600001</v>
      </c>
      <c r="N68" s="32">
        <f t="shared" si="23"/>
        <v>527728250.09920007</v>
      </c>
      <c r="O68" s="32">
        <f t="shared" si="23"/>
        <v>540102531.31904006</v>
      </c>
    </row>
    <row r="69" spans="1:16" ht="15.75" customHeight="1">
      <c r="A69" s="27" t="s">
        <v>75</v>
      </c>
      <c r="F69" s="65">
        <v>253697068</v>
      </c>
      <c r="G69" s="65">
        <v>291818626</v>
      </c>
      <c r="H69" s="65">
        <v>259000141</v>
      </c>
      <c r="I69" s="32">
        <v>0</v>
      </c>
      <c r="J69" s="32">
        <v>14584656</v>
      </c>
      <c r="K69" s="32">
        <f t="shared" ref="K69:O69" si="24">AVERAGE(F69:J69)</f>
        <v>163820098.19999999</v>
      </c>
      <c r="L69" s="32">
        <f t="shared" si="24"/>
        <v>145844704.24000001</v>
      </c>
      <c r="M69" s="32">
        <f t="shared" si="24"/>
        <v>116649919.88800001</v>
      </c>
      <c r="N69" s="32">
        <f t="shared" si="24"/>
        <v>88179875.665600002</v>
      </c>
      <c r="O69" s="32">
        <f t="shared" si="24"/>
        <v>105815850.79872</v>
      </c>
    </row>
    <row r="70" spans="1:16" ht="15.75" customHeight="1"/>
    <row r="71" spans="1:16" ht="15.75" customHeight="1"/>
    <row r="72" spans="1:16" ht="15.75" customHeight="1"/>
    <row r="73" spans="1:16" ht="15.75" customHeight="1">
      <c r="A73" s="361" t="s">
        <v>93</v>
      </c>
      <c r="B73" s="304"/>
      <c r="C73" s="304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4"/>
    </row>
    <row r="74" spans="1:16" ht="15.75" customHeight="1">
      <c r="A74" s="304"/>
      <c r="B74" s="304"/>
      <c r="C74" s="304"/>
      <c r="D74" s="304"/>
      <c r="E74" s="304"/>
      <c r="F74" s="304"/>
      <c r="G74" s="304"/>
      <c r="H74" s="304"/>
      <c r="I74" s="304"/>
      <c r="J74" s="304"/>
      <c r="K74" s="304"/>
      <c r="L74" s="304"/>
      <c r="M74" s="304"/>
      <c r="N74" s="304"/>
      <c r="O74" s="304"/>
      <c r="P74" s="304"/>
    </row>
    <row r="75" spans="1:16" ht="15.75" customHeight="1">
      <c r="A75" s="290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</row>
    <row r="76" spans="1:16" ht="15.75" customHeight="1">
      <c r="A76" s="290"/>
      <c r="B76" s="298"/>
      <c r="C76" s="298"/>
      <c r="D76" s="298"/>
      <c r="E76" s="298"/>
      <c r="F76" s="298"/>
      <c r="G76" s="298"/>
      <c r="H76" s="298"/>
      <c r="I76" s="298"/>
      <c r="J76" s="298"/>
      <c r="K76" s="298"/>
      <c r="L76" s="298"/>
      <c r="M76" s="298"/>
      <c r="N76" s="298"/>
      <c r="O76" s="298"/>
      <c r="P76" s="298"/>
    </row>
    <row r="77" spans="1:16" ht="15.75" customHeight="1"/>
    <row r="78" spans="1:16" ht="15.75" customHeight="1">
      <c r="A78" s="81"/>
    </row>
    <row r="79" spans="1:16" ht="15.75" customHeight="1">
      <c r="A79" s="82" t="s">
        <v>94</v>
      </c>
      <c r="F79" s="67">
        <f t="shared" ref="F79:O79" si="25">F67</f>
        <v>2018</v>
      </c>
      <c r="G79" s="67">
        <f t="shared" si="25"/>
        <v>2019</v>
      </c>
      <c r="H79" s="67">
        <f t="shared" si="25"/>
        <v>2020</v>
      </c>
      <c r="I79" s="67">
        <f t="shared" si="25"/>
        <v>2021</v>
      </c>
      <c r="J79" s="67">
        <f t="shared" si="25"/>
        <v>2022</v>
      </c>
      <c r="K79" s="68">
        <f t="shared" si="25"/>
        <v>2023</v>
      </c>
      <c r="L79" s="68">
        <f t="shared" si="25"/>
        <v>2024</v>
      </c>
      <c r="M79" s="68">
        <f t="shared" si="25"/>
        <v>2025</v>
      </c>
      <c r="N79" s="68">
        <f t="shared" si="25"/>
        <v>2026</v>
      </c>
      <c r="O79" s="68">
        <f t="shared" si="25"/>
        <v>2027</v>
      </c>
    </row>
    <row r="80" spans="1:16" ht="15.75" customHeight="1">
      <c r="A80" s="27" t="s">
        <v>95</v>
      </c>
      <c r="F80" s="34">
        <f t="shared" ref="F80:O80" si="26">F63/F30</f>
        <v>8.7773759651997574E-2</v>
      </c>
      <c r="G80" s="34">
        <f t="shared" si="26"/>
        <v>4.3598056279388779E-2</v>
      </c>
      <c r="H80" s="34">
        <f t="shared" si="26"/>
        <v>4.007480962051195E-2</v>
      </c>
      <c r="I80" s="34">
        <f t="shared" si="26"/>
        <v>2.0642347150201024E-2</v>
      </c>
      <c r="J80" s="34">
        <f t="shared" si="26"/>
        <v>4.2917540874053334E-2</v>
      </c>
      <c r="K80" s="34">
        <f t="shared" si="26"/>
        <v>6.9045479644343405E-2</v>
      </c>
      <c r="L80" s="34">
        <f t="shared" si="26"/>
        <v>0.10137326925652848</v>
      </c>
      <c r="M80" s="34">
        <f t="shared" si="26"/>
        <v>0.13148678579218909</v>
      </c>
      <c r="N80" s="34">
        <f t="shared" si="26"/>
        <v>0.12258665890310254</v>
      </c>
      <c r="O80" s="34">
        <f t="shared" si="26"/>
        <v>0.11738365610808332</v>
      </c>
    </row>
    <row r="81" spans="1:16" ht="15.75" customHeight="1">
      <c r="A81" s="21" t="s">
        <v>96</v>
      </c>
      <c r="F81" s="43">
        <f t="shared" ref="F81:O81" si="27">F55*(1-(F62/F61))</f>
        <v>1831942550.664794</v>
      </c>
      <c r="G81" s="43">
        <f t="shared" si="27"/>
        <v>1070786637.1207695</v>
      </c>
      <c r="H81" s="43">
        <f t="shared" si="27"/>
        <v>1234944211.2108197</v>
      </c>
      <c r="I81" s="43">
        <f t="shared" si="27"/>
        <v>842864862.38953102</v>
      </c>
      <c r="J81" s="43">
        <f t="shared" si="27"/>
        <v>1460965566.561805</v>
      </c>
      <c r="K81" s="43">
        <f t="shared" si="27"/>
        <v>1942019590.1864858</v>
      </c>
      <c r="L81" s="43">
        <f t="shared" si="27"/>
        <v>2914728381.1314902</v>
      </c>
      <c r="M81" s="43">
        <f t="shared" si="27"/>
        <v>3925986281.7789235</v>
      </c>
      <c r="N81" s="43">
        <f t="shared" si="27"/>
        <v>4017545206.8600221</v>
      </c>
      <c r="O81" s="43">
        <f t="shared" si="27"/>
        <v>4217255380.5691404</v>
      </c>
    </row>
    <row r="82" spans="1:16" ht="15.75" customHeight="1">
      <c r="A82" s="21" t="s">
        <v>97</v>
      </c>
      <c r="F82" s="43">
        <f t="shared" ref="F82:O82" si="28">(F25+F27-F34)</f>
        <v>9169932367</v>
      </c>
      <c r="G82" s="43">
        <f t="shared" si="28"/>
        <v>9370810794</v>
      </c>
      <c r="H82" s="43">
        <f t="shared" si="28"/>
        <v>9352771124</v>
      </c>
      <c r="I82" s="43">
        <f t="shared" si="28"/>
        <v>8901061945</v>
      </c>
      <c r="J82" s="43">
        <f t="shared" si="28"/>
        <v>9181393809</v>
      </c>
      <c r="K82" s="43">
        <f t="shared" si="28"/>
        <v>11353197623.948788</v>
      </c>
      <c r="L82" s="43">
        <f t="shared" si="28"/>
        <v>13030394976.125368</v>
      </c>
      <c r="M82" s="43">
        <f t="shared" si="28"/>
        <v>14608463743.942116</v>
      </c>
      <c r="N82" s="43">
        <f t="shared" si="28"/>
        <v>15916092766.268299</v>
      </c>
      <c r="O82" s="43">
        <f t="shared" si="28"/>
        <v>17415205598.564194</v>
      </c>
    </row>
    <row r="83" spans="1:16" ht="15.75" customHeight="1">
      <c r="A83" s="27" t="s">
        <v>98</v>
      </c>
      <c r="F83" s="34">
        <f t="shared" ref="F83:O83" si="29">+F81/F82</f>
        <v>0.19977710601851748</v>
      </c>
      <c r="G83" s="34">
        <f t="shared" si="29"/>
        <v>0.1142683019281938</v>
      </c>
      <c r="H83" s="34">
        <f t="shared" si="29"/>
        <v>0.13204046103960018</v>
      </c>
      <c r="I83" s="34">
        <f t="shared" si="29"/>
        <v>9.4692618431106879E-2</v>
      </c>
      <c r="J83" s="34">
        <f t="shared" si="29"/>
        <v>0.15912241615534486</v>
      </c>
      <c r="K83" s="34">
        <f t="shared" si="29"/>
        <v>0.17105485648289337</v>
      </c>
      <c r="L83" s="34">
        <f t="shared" si="29"/>
        <v>0.22368687875324825</v>
      </c>
      <c r="M83" s="34">
        <f t="shared" si="29"/>
        <v>0.26874737485021066</v>
      </c>
      <c r="N83" s="34">
        <f t="shared" si="29"/>
        <v>0.25242031859569131</v>
      </c>
      <c r="O83" s="34">
        <f t="shared" si="29"/>
        <v>0.24215937944004717</v>
      </c>
    </row>
    <row r="84" spans="1:16" ht="15.75" customHeight="1">
      <c r="A84" s="21" t="s">
        <v>99</v>
      </c>
      <c r="F84" s="34">
        <f t="shared" ref="F84:O84" si="30">+F83-F80</f>
        <v>0.1120033463665199</v>
      </c>
      <c r="G84" s="34">
        <f t="shared" si="30"/>
        <v>7.067024564880503E-2</v>
      </c>
      <c r="H84" s="34">
        <f t="shared" si="30"/>
        <v>9.1965651419088232E-2</v>
      </c>
      <c r="I84" s="34">
        <f t="shared" si="30"/>
        <v>7.4050271280905855E-2</v>
      </c>
      <c r="J84" s="34">
        <f t="shared" si="30"/>
        <v>0.11620487528129153</v>
      </c>
      <c r="K84" s="34">
        <f t="shared" si="30"/>
        <v>0.10200937683854996</v>
      </c>
      <c r="L84" s="34">
        <f t="shared" si="30"/>
        <v>0.12231360949671977</v>
      </c>
      <c r="M84" s="34">
        <f t="shared" si="30"/>
        <v>0.13726058905802158</v>
      </c>
      <c r="N84" s="34">
        <f t="shared" si="30"/>
        <v>0.12983365969258875</v>
      </c>
      <c r="O84" s="34">
        <f t="shared" si="30"/>
        <v>0.12477572333196385</v>
      </c>
    </row>
    <row r="85" spans="1:16" s="15" customFormat="1" ht="15.75" customHeight="1">
      <c r="A85" s="177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</row>
    <row r="86" spans="1:16" ht="15.75" customHeight="1">
      <c r="A86" s="82" t="s">
        <v>100</v>
      </c>
      <c r="F86" s="67">
        <f t="shared" ref="F86:O86" si="31">F79</f>
        <v>2018</v>
      </c>
      <c r="G86" s="67">
        <f t="shared" si="31"/>
        <v>2019</v>
      </c>
      <c r="H86" s="67">
        <f t="shared" si="31"/>
        <v>2020</v>
      </c>
      <c r="I86" s="67">
        <f t="shared" si="31"/>
        <v>2021</v>
      </c>
      <c r="J86" s="67">
        <f t="shared" si="31"/>
        <v>2022</v>
      </c>
      <c r="K86" s="68">
        <f t="shared" si="31"/>
        <v>2023</v>
      </c>
      <c r="L86" s="68">
        <f t="shared" si="31"/>
        <v>2024</v>
      </c>
      <c r="M86" s="68">
        <f t="shared" si="31"/>
        <v>2025</v>
      </c>
      <c r="N86" s="68">
        <f t="shared" si="31"/>
        <v>2026</v>
      </c>
      <c r="O86" s="68">
        <f t="shared" si="31"/>
        <v>2027</v>
      </c>
    </row>
    <row r="87" spans="1:16" ht="15.75" customHeight="1">
      <c r="A87" s="21" t="s">
        <v>101</v>
      </c>
      <c r="F87" s="43">
        <f t="shared" ref="F87:O87" si="32">+F63+F62+F59+F68+F69</f>
        <v>2635305757</v>
      </c>
      <c r="G87" s="43">
        <f t="shared" si="32"/>
        <v>2418641252</v>
      </c>
      <c r="H87" s="43">
        <f t="shared" si="32"/>
        <v>2411110293</v>
      </c>
      <c r="I87" s="43">
        <f t="shared" si="32"/>
        <v>1474275437</v>
      </c>
      <c r="J87" s="43">
        <f t="shared" si="32"/>
        <v>1991709390</v>
      </c>
      <c r="K87" s="43">
        <f t="shared" si="32"/>
        <v>3938502517.9137101</v>
      </c>
      <c r="L87" s="43">
        <f t="shared" si="32"/>
        <v>4967673868.7238512</v>
      </c>
      <c r="M87" s="43">
        <f t="shared" si="32"/>
        <v>5984957661.1188965</v>
      </c>
      <c r="N87" s="43">
        <f t="shared" si="32"/>
        <v>6132405207.8540316</v>
      </c>
      <c r="O87" s="43">
        <f t="shared" si="32"/>
        <v>6502351350.2443762</v>
      </c>
    </row>
    <row r="88" spans="1:16" ht="15.75" customHeight="1">
      <c r="A88" s="27" t="s">
        <v>102</v>
      </c>
      <c r="F88" s="32">
        <f t="shared" ref="F88:O88" si="33">+F55+F68+F69</f>
        <v>2581170935</v>
      </c>
      <c r="G88" s="32">
        <f t="shared" si="33"/>
        <v>2145325103</v>
      </c>
      <c r="H88" s="32">
        <f t="shared" si="33"/>
        <v>2285863284</v>
      </c>
      <c r="I88" s="32">
        <f t="shared" si="33"/>
        <v>1315058147</v>
      </c>
      <c r="J88" s="32">
        <f t="shared" si="33"/>
        <v>1888503145</v>
      </c>
      <c r="K88" s="32">
        <f t="shared" si="33"/>
        <v>3687888719.3098016</v>
      </c>
      <c r="L88" s="32">
        <f t="shared" si="33"/>
        <v>4683480715.6963921</v>
      </c>
      <c r="M88" s="32">
        <f t="shared" si="33"/>
        <v>5669749162.2260075</v>
      </c>
      <c r="N88" s="32">
        <f t="shared" si="33"/>
        <v>5792347877.3679171</v>
      </c>
      <c r="O88" s="32">
        <f t="shared" si="33"/>
        <v>6133597569.505084</v>
      </c>
    </row>
    <row r="89" spans="1:16" ht="15.75" customHeight="1">
      <c r="A89" s="21" t="s">
        <v>103</v>
      </c>
      <c r="F89" s="34">
        <f t="shared" ref="F89:O89" si="34">+F87/F50</f>
        <v>0.15775104277912042</v>
      </c>
      <c r="G89" s="34">
        <f t="shared" si="34"/>
        <v>0.11813102926019417</v>
      </c>
      <c r="H89" s="34">
        <f t="shared" si="34"/>
        <v>0.11181643547670705</v>
      </c>
      <c r="I89" s="34">
        <f t="shared" si="34"/>
        <v>6.6573194222331378E-2</v>
      </c>
      <c r="J89" s="34">
        <f t="shared" si="34"/>
        <v>5.9833125753801113E-2</v>
      </c>
      <c r="K89" s="34">
        <f t="shared" si="34"/>
        <v>0.10274225985496423</v>
      </c>
      <c r="L89" s="34">
        <f t="shared" si="34"/>
        <v>0.11427794753186445</v>
      </c>
      <c r="M89" s="34">
        <f t="shared" si="34"/>
        <v>0.1241326793231112</v>
      </c>
      <c r="N89" s="34">
        <f t="shared" si="34"/>
        <v>0.11789670522178861</v>
      </c>
      <c r="O89" s="34">
        <f t="shared" si="34"/>
        <v>0.11528078274662773</v>
      </c>
    </row>
    <row r="90" spans="1:16" ht="15.75" customHeight="1">
      <c r="A90" s="27" t="s">
        <v>104</v>
      </c>
      <c r="F90" s="34">
        <f t="shared" ref="F90:O90" si="35">+F88/F50</f>
        <v>0.15451049864169791</v>
      </c>
      <c r="G90" s="34">
        <f t="shared" si="35"/>
        <v>0.10478174979673342</v>
      </c>
      <c r="H90" s="34">
        <f t="shared" si="35"/>
        <v>0.10600804332593826</v>
      </c>
      <c r="I90" s="34">
        <f t="shared" si="35"/>
        <v>5.9383490517918872E-2</v>
      </c>
      <c r="J90" s="34">
        <f t="shared" si="35"/>
        <v>5.6732697414874314E-2</v>
      </c>
      <c r="K90" s="34">
        <f t="shared" si="35"/>
        <v>9.6204590295965967E-2</v>
      </c>
      <c r="L90" s="34">
        <f t="shared" si="35"/>
        <v>0.10774027797286617</v>
      </c>
      <c r="M90" s="34">
        <f t="shared" si="35"/>
        <v>0.11759500976411298</v>
      </c>
      <c r="N90" s="34">
        <f t="shared" si="35"/>
        <v>0.11135903566279033</v>
      </c>
      <c r="O90" s="34">
        <f t="shared" si="35"/>
        <v>0.10874311318762947</v>
      </c>
    </row>
    <row r="91" spans="1:16" ht="15.75" customHeight="1">
      <c r="A91" s="21" t="s">
        <v>105</v>
      </c>
      <c r="F91" s="32">
        <f>+F23+F24-F34</f>
        <v>526742501</v>
      </c>
      <c r="G91" s="32">
        <f t="shared" ref="G91:O91" si="36">+G23+G24-G34</f>
        <v>972891081</v>
      </c>
      <c r="H91" s="32">
        <f t="shared" si="36"/>
        <v>1635955418</v>
      </c>
      <c r="I91" s="32">
        <f t="shared" si="36"/>
        <v>1038103441</v>
      </c>
      <c r="J91" s="32">
        <f t="shared" si="36"/>
        <v>1851650915</v>
      </c>
      <c r="K91" s="32">
        <f t="shared" si="36"/>
        <v>2132341936.5444841</v>
      </c>
      <c r="L91" s="32">
        <f t="shared" si="36"/>
        <v>2418051127.4920788</v>
      </c>
      <c r="M91" s="32">
        <f t="shared" si="36"/>
        <v>2681944508.5976334</v>
      </c>
      <c r="N91" s="32">
        <f t="shared" si="36"/>
        <v>2893370240.04391</v>
      </c>
      <c r="O91" s="32">
        <f t="shared" si="36"/>
        <v>3137533349.3606682</v>
      </c>
    </row>
    <row r="92" spans="1:16" ht="15.75" customHeight="1">
      <c r="A92" s="21" t="s">
        <v>106</v>
      </c>
      <c r="F92" s="83"/>
      <c r="G92" s="32">
        <f t="shared" ref="G92:O92" si="37">+G91-F91</f>
        <v>446148580</v>
      </c>
      <c r="H92" s="32">
        <f t="shared" si="37"/>
        <v>663064337</v>
      </c>
      <c r="I92" s="32">
        <f t="shared" si="37"/>
        <v>-597851977</v>
      </c>
      <c r="J92" s="32">
        <f t="shared" si="37"/>
        <v>813547474</v>
      </c>
      <c r="K92" s="32">
        <f t="shared" si="37"/>
        <v>280691021.54448414</v>
      </c>
      <c r="L92" s="32">
        <f t="shared" si="37"/>
        <v>285709190.94759464</v>
      </c>
      <c r="M92" s="32">
        <f t="shared" si="37"/>
        <v>263893381.10555458</v>
      </c>
      <c r="N92" s="32">
        <f t="shared" si="37"/>
        <v>211425731.44627666</v>
      </c>
      <c r="O92" s="32">
        <f t="shared" si="37"/>
        <v>244163109.31675816</v>
      </c>
    </row>
    <row r="93" spans="1:16" ht="15.75" customHeight="1">
      <c r="A93" s="21" t="s">
        <v>107</v>
      </c>
      <c r="F93" s="85">
        <f t="shared" ref="F93:O93" si="38">F91/F50</f>
        <v>3.1531133944558018E-2</v>
      </c>
      <c r="G93" s="85">
        <f t="shared" si="38"/>
        <v>4.751784691572479E-2</v>
      </c>
      <c r="H93" s="85">
        <f t="shared" si="38"/>
        <v>7.5868243759169382E-2</v>
      </c>
      <c r="I93" s="85">
        <f t="shared" si="38"/>
        <v>4.6877171162259222E-2</v>
      </c>
      <c r="J93" s="85">
        <f t="shared" si="38"/>
        <v>5.5625616169503476E-2</v>
      </c>
      <c r="K93" s="85">
        <f t="shared" si="38"/>
        <v>5.5625616169503476E-2</v>
      </c>
      <c r="L93" s="85">
        <f t="shared" si="38"/>
        <v>5.562561616950349E-2</v>
      </c>
      <c r="M93" s="85">
        <f t="shared" si="38"/>
        <v>5.562561616950349E-2</v>
      </c>
      <c r="N93" s="85">
        <f t="shared" si="38"/>
        <v>5.5625616169503483E-2</v>
      </c>
      <c r="O93" s="85">
        <f t="shared" si="38"/>
        <v>5.562561616950349E-2</v>
      </c>
    </row>
    <row r="94" spans="1:16" ht="15.75" customHeight="1">
      <c r="A94" s="21" t="s">
        <v>108</v>
      </c>
      <c r="F94" s="84">
        <f t="shared" ref="F94:O94" si="39">F50/F27</f>
        <v>2.159658102571306</v>
      </c>
      <c r="G94" s="84">
        <f t="shared" si="39"/>
        <v>2.5385672754344979</v>
      </c>
      <c r="H94" s="84">
        <f t="shared" si="39"/>
        <v>3.0580442345852652</v>
      </c>
      <c r="I94" s="84">
        <f t="shared" si="39"/>
        <v>3.4582432303128963</v>
      </c>
      <c r="J94" s="84">
        <f t="shared" si="39"/>
        <v>5.702063639244848</v>
      </c>
      <c r="K94" s="84">
        <f t="shared" si="39"/>
        <v>5.1092700392282078</v>
      </c>
      <c r="L94" s="84">
        <f t="shared" si="39"/>
        <v>5.0172757681094087</v>
      </c>
      <c r="M94" s="84">
        <f t="shared" si="39"/>
        <v>4.9371278962376506</v>
      </c>
      <c r="N94" s="84">
        <f t="shared" si="39"/>
        <v>4.8650900558972392</v>
      </c>
      <c r="O94" s="84">
        <f t="shared" si="39"/>
        <v>4.8004966569926628</v>
      </c>
    </row>
    <row r="95" spans="1:16" ht="15.75" customHeight="1">
      <c r="A95" s="27" t="s">
        <v>109</v>
      </c>
      <c r="F95" s="85">
        <f t="shared" ref="F95:O95" si="40">+F90/F93</f>
        <v>4.9002518879713488</v>
      </c>
      <c r="G95" s="85">
        <f t="shared" si="40"/>
        <v>2.2051030633304776</v>
      </c>
      <c r="H95" s="85">
        <f t="shared" si="40"/>
        <v>1.3972650225362071</v>
      </c>
      <c r="I95" s="85">
        <f t="shared" si="40"/>
        <v>1.2667891224146324</v>
      </c>
      <c r="J95" s="85">
        <f t="shared" si="40"/>
        <v>1.019902363723888</v>
      </c>
      <c r="K95" s="85">
        <f t="shared" si="40"/>
        <v>1.7295015663792279</v>
      </c>
      <c r="L95" s="85">
        <f t="shared" si="40"/>
        <v>1.9368824184267521</v>
      </c>
      <c r="M95" s="85">
        <f t="shared" si="40"/>
        <v>2.1140441735651989</v>
      </c>
      <c r="N95" s="85">
        <f t="shared" si="40"/>
        <v>2.001938015813701</v>
      </c>
      <c r="O95" s="85">
        <f t="shared" si="40"/>
        <v>1.9549107169665372</v>
      </c>
    </row>
    <row r="96" spans="1:16" s="15" customFormat="1" ht="15.75" customHeight="1">
      <c r="A96" s="177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</row>
    <row r="97" spans="1:15" ht="15.75" customHeight="1"/>
    <row r="98" spans="1:15" ht="15.75" customHeight="1">
      <c r="A98" s="82" t="s">
        <v>110</v>
      </c>
    </row>
    <row r="99" spans="1:15" ht="15.75" customHeight="1">
      <c r="F99" s="67">
        <f t="shared" ref="F99:O99" si="41">F86</f>
        <v>2018</v>
      </c>
      <c r="G99" s="67">
        <f t="shared" si="41"/>
        <v>2019</v>
      </c>
      <c r="H99" s="67">
        <f t="shared" si="41"/>
        <v>2020</v>
      </c>
      <c r="I99" s="67">
        <f t="shared" si="41"/>
        <v>2021</v>
      </c>
      <c r="J99" s="67">
        <f t="shared" si="41"/>
        <v>2022</v>
      </c>
      <c r="K99" s="68">
        <f t="shared" si="41"/>
        <v>2023</v>
      </c>
      <c r="L99" s="68">
        <f t="shared" si="41"/>
        <v>2024</v>
      </c>
      <c r="M99" s="68">
        <f t="shared" si="41"/>
        <v>2025</v>
      </c>
      <c r="N99" s="68">
        <f t="shared" si="41"/>
        <v>2026</v>
      </c>
      <c r="O99" s="68">
        <f t="shared" si="41"/>
        <v>2027</v>
      </c>
    </row>
    <row r="100" spans="1:15" ht="15.75" customHeight="1">
      <c r="A100" s="27" t="s">
        <v>111</v>
      </c>
      <c r="F100" s="64">
        <f t="shared" ref="F100:O100" si="42">+F63</f>
        <v>1014213680</v>
      </c>
      <c r="G100" s="64">
        <f t="shared" si="42"/>
        <v>539018087</v>
      </c>
      <c r="H100" s="64">
        <f t="shared" si="42"/>
        <v>534227403</v>
      </c>
      <c r="I100" s="64">
        <f t="shared" si="42"/>
        <v>261765832</v>
      </c>
      <c r="J100" s="64">
        <f t="shared" si="42"/>
        <v>611350487</v>
      </c>
      <c r="K100" s="64">
        <f t="shared" si="42"/>
        <v>1132630932.3063211</v>
      </c>
      <c r="L100" s="64">
        <f t="shared" si="42"/>
        <v>1885754926.3007975</v>
      </c>
      <c r="M100" s="64">
        <f t="shared" si="42"/>
        <v>2712865207.8836823</v>
      </c>
      <c r="N100" s="64">
        <f t="shared" si="42"/>
        <v>2728623013.3005075</v>
      </c>
      <c r="O100" s="64">
        <f t="shared" si="42"/>
        <v>2833298305.4469819</v>
      </c>
    </row>
    <row r="101" spans="1:15" ht="15.75" customHeight="1">
      <c r="A101" s="21" t="s">
        <v>112</v>
      </c>
      <c r="F101" s="43">
        <f t="shared" ref="F101:O101" si="43">+F62</f>
        <v>956788</v>
      </c>
      <c r="G101" s="43">
        <f t="shared" si="43"/>
        <v>1014543</v>
      </c>
      <c r="H101" s="43">
        <f t="shared" si="43"/>
        <v>1232112</v>
      </c>
      <c r="I101" s="43">
        <f t="shared" si="43"/>
        <v>1967888</v>
      </c>
      <c r="J101" s="43">
        <f t="shared" si="43"/>
        <v>2134111</v>
      </c>
      <c r="K101" s="43">
        <f t="shared" si="43"/>
        <v>580068820.16753542</v>
      </c>
      <c r="L101" s="43">
        <f t="shared" si="43"/>
        <v>657791342.27511227</v>
      </c>
      <c r="M101" s="43">
        <f t="shared" si="43"/>
        <v>729579229.38855755</v>
      </c>
      <c r="N101" s="43">
        <f t="shared" si="43"/>
        <v>787094148.77894568</v>
      </c>
      <c r="O101" s="43">
        <f t="shared" si="43"/>
        <v>853514737.48589861</v>
      </c>
    </row>
    <row r="102" spans="1:15" ht="15.75" customHeight="1">
      <c r="A102" s="21" t="s">
        <v>113</v>
      </c>
      <c r="F102" s="43">
        <f t="shared" ref="F102:O102" si="44">+F59</f>
        <v>872635121</v>
      </c>
      <c r="G102" s="43">
        <f t="shared" si="44"/>
        <v>806085597</v>
      </c>
      <c r="H102" s="43">
        <f t="shared" si="44"/>
        <v>827579911</v>
      </c>
      <c r="I102" s="43">
        <f t="shared" si="44"/>
        <v>744684873</v>
      </c>
      <c r="J102" s="43">
        <f t="shared" si="44"/>
        <v>955787173</v>
      </c>
      <c r="K102" s="43">
        <f t="shared" si="44"/>
        <v>1474525060.839854</v>
      </c>
      <c r="L102" s="43">
        <f t="shared" si="44"/>
        <v>1672094388.2279418</v>
      </c>
      <c r="M102" s="43">
        <f t="shared" si="44"/>
        <v>1854577974.5426571</v>
      </c>
      <c r="N102" s="43">
        <f t="shared" si="44"/>
        <v>2000779920.0097783</v>
      </c>
      <c r="O102" s="43">
        <f t="shared" si="44"/>
        <v>2169619925.1937351</v>
      </c>
    </row>
    <row r="103" spans="1:15" ht="15.75" customHeight="1">
      <c r="A103" s="27" t="s">
        <v>114</v>
      </c>
      <c r="F103" s="43">
        <f t="shared" ref="F103:O103" si="45">+F100+F101+F102</f>
        <v>1887805589</v>
      </c>
      <c r="G103" s="43">
        <f t="shared" si="45"/>
        <v>1346118227</v>
      </c>
      <c r="H103" s="43">
        <f t="shared" si="45"/>
        <v>1363039426</v>
      </c>
      <c r="I103" s="43">
        <f t="shared" si="45"/>
        <v>1008418593</v>
      </c>
      <c r="J103" s="43">
        <f t="shared" si="45"/>
        <v>1569271771</v>
      </c>
      <c r="K103" s="43">
        <f t="shared" si="45"/>
        <v>3187224813.3137102</v>
      </c>
      <c r="L103" s="43">
        <f t="shared" si="45"/>
        <v>4215640656.8038511</v>
      </c>
      <c r="M103" s="43">
        <f t="shared" si="45"/>
        <v>5297022411.8148966</v>
      </c>
      <c r="N103" s="43">
        <f t="shared" si="45"/>
        <v>5516497082.0892315</v>
      </c>
      <c r="O103" s="43">
        <f t="shared" si="45"/>
        <v>5856432968.1266155</v>
      </c>
    </row>
    <row r="104" spans="1:15" ht="15.75" customHeight="1"/>
    <row r="105" spans="1:15" ht="15.75" customHeight="1">
      <c r="A105" s="21" t="s">
        <v>115</v>
      </c>
      <c r="F105" s="43">
        <f t="shared" ref="F105:O105" si="46">F103*(F62/F61)</f>
        <v>1779237.8628257455</v>
      </c>
      <c r="G105" s="43">
        <f t="shared" si="46"/>
        <v>2528911.6777541037</v>
      </c>
      <c r="H105" s="43">
        <f t="shared" si="46"/>
        <v>3136403.7545354143</v>
      </c>
      <c r="I105" s="43">
        <f t="shared" si="46"/>
        <v>7524463.8726575579</v>
      </c>
      <c r="J105" s="43">
        <f t="shared" si="46"/>
        <v>5458979.9962355057</v>
      </c>
      <c r="K105" s="43">
        <f t="shared" si="46"/>
        <v>1079471013.17503</v>
      </c>
      <c r="L105" s="43">
        <f t="shared" si="46"/>
        <v>1090214854.9242256</v>
      </c>
      <c r="M105" s="43">
        <f t="shared" si="46"/>
        <v>1122631780.9004643</v>
      </c>
      <c r="N105" s="43">
        <f t="shared" si="46"/>
        <v>1235026134.0421314</v>
      </c>
      <c r="O105" s="43">
        <f t="shared" si="46"/>
        <v>1355792059.2083981</v>
      </c>
    </row>
    <row r="106" spans="1:15" ht="15.75" customHeight="1">
      <c r="A106" s="27" t="s">
        <v>116</v>
      </c>
      <c r="F106" s="43">
        <f t="shared" ref="F106:O106" si="47">+F103-F105</f>
        <v>1886026351.1371744</v>
      </c>
      <c r="G106" s="43">
        <f t="shared" si="47"/>
        <v>1343589315.3222458</v>
      </c>
      <c r="H106" s="43">
        <f t="shared" si="47"/>
        <v>1359903022.2454646</v>
      </c>
      <c r="I106" s="43">
        <f t="shared" si="47"/>
        <v>1000894129.1273425</v>
      </c>
      <c r="J106" s="43">
        <f t="shared" si="47"/>
        <v>1563812791.0037644</v>
      </c>
      <c r="K106" s="43">
        <f t="shared" si="47"/>
        <v>2107753800.1386802</v>
      </c>
      <c r="L106" s="43">
        <f t="shared" si="47"/>
        <v>3125425801.8796253</v>
      </c>
      <c r="M106" s="43">
        <f t="shared" si="47"/>
        <v>4174390630.9144325</v>
      </c>
      <c r="N106" s="43">
        <f t="shared" si="47"/>
        <v>4281470948.0471001</v>
      </c>
      <c r="O106" s="43">
        <f t="shared" si="47"/>
        <v>4500640908.9182177</v>
      </c>
    </row>
    <row r="107" spans="1:15" ht="15.75" customHeight="1"/>
    <row r="108" spans="1:15" ht="15.75" customHeight="1">
      <c r="A108" s="21" t="s">
        <v>117</v>
      </c>
      <c r="F108" s="32">
        <f t="shared" ref="F108:O108" si="48">+F68</f>
        <v>493803100</v>
      </c>
      <c r="G108" s="32">
        <f t="shared" si="48"/>
        <v>780704399</v>
      </c>
      <c r="H108" s="32">
        <f t="shared" si="48"/>
        <v>789070726</v>
      </c>
      <c r="I108" s="32">
        <f t="shared" si="48"/>
        <v>465856844</v>
      </c>
      <c r="J108" s="32">
        <f t="shared" si="48"/>
        <v>407852963</v>
      </c>
      <c r="K108" s="32">
        <f t="shared" si="48"/>
        <v>587457606.39999998</v>
      </c>
      <c r="L108" s="32">
        <f t="shared" si="48"/>
        <v>606188507.68000007</v>
      </c>
      <c r="M108" s="32">
        <f t="shared" si="48"/>
        <v>571285329.41600001</v>
      </c>
      <c r="N108" s="32">
        <f t="shared" si="48"/>
        <v>527728250.09920007</v>
      </c>
      <c r="O108" s="32">
        <f t="shared" si="48"/>
        <v>540102531.31904006</v>
      </c>
    </row>
    <row r="109" spans="1:15" ht="15.75" customHeight="1">
      <c r="A109" s="21" t="s">
        <v>118</v>
      </c>
      <c r="F109" s="32">
        <f t="shared" ref="F109:O109" si="49">+F69</f>
        <v>253697068</v>
      </c>
      <c r="G109" s="32">
        <f t="shared" si="49"/>
        <v>291818626</v>
      </c>
      <c r="H109" s="32">
        <f t="shared" si="49"/>
        <v>259000141</v>
      </c>
      <c r="I109" s="32">
        <f t="shared" si="49"/>
        <v>0</v>
      </c>
      <c r="J109" s="32">
        <f t="shared" si="49"/>
        <v>14584656</v>
      </c>
      <c r="K109" s="32">
        <f t="shared" si="49"/>
        <v>163820098.19999999</v>
      </c>
      <c r="L109" s="32">
        <f t="shared" si="49"/>
        <v>145844704.24000001</v>
      </c>
      <c r="M109" s="32">
        <f t="shared" si="49"/>
        <v>116649919.88800001</v>
      </c>
      <c r="N109" s="32">
        <f t="shared" si="49"/>
        <v>88179875.665600002</v>
      </c>
      <c r="O109" s="32">
        <f t="shared" si="49"/>
        <v>105815850.79872</v>
      </c>
    </row>
    <row r="110" spans="1:15" ht="15.75" customHeight="1">
      <c r="A110" s="21" t="s">
        <v>119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</row>
    <row r="111" spans="1:15" ht="15.75" customHeight="1">
      <c r="A111" s="27" t="s">
        <v>120</v>
      </c>
      <c r="F111" s="43">
        <f t="shared" ref="F111:O111" si="50">F106+F108+F109+F110</f>
        <v>2633526519.1371746</v>
      </c>
      <c r="G111" s="43">
        <f t="shared" si="50"/>
        <v>2416112340.3222456</v>
      </c>
      <c r="H111" s="43">
        <f t="shared" si="50"/>
        <v>2407973889.2454643</v>
      </c>
      <c r="I111" s="43">
        <f t="shared" si="50"/>
        <v>1466750973.1273425</v>
      </c>
      <c r="J111" s="43">
        <f t="shared" si="50"/>
        <v>1986250410.0037644</v>
      </c>
      <c r="K111" s="43">
        <f t="shared" si="50"/>
        <v>2859031504.7386799</v>
      </c>
      <c r="L111" s="43">
        <f t="shared" si="50"/>
        <v>3877459013.7996254</v>
      </c>
      <c r="M111" s="43">
        <f t="shared" si="50"/>
        <v>4862325880.2184334</v>
      </c>
      <c r="N111" s="43">
        <f t="shared" si="50"/>
        <v>4897379073.8119001</v>
      </c>
      <c r="O111" s="43">
        <f t="shared" si="50"/>
        <v>5146559291.0359783</v>
      </c>
    </row>
    <row r="112" spans="1:15" ht="15.75" customHeight="1"/>
    <row r="113" spans="1:15" ht="15.75" customHeight="1">
      <c r="A113" s="21" t="s">
        <v>121</v>
      </c>
      <c r="F113" s="83"/>
      <c r="G113" s="32">
        <f t="shared" ref="G113:O113" si="51">G92</f>
        <v>446148580</v>
      </c>
      <c r="H113" s="32">
        <f t="shared" si="51"/>
        <v>663064337</v>
      </c>
      <c r="I113" s="32">
        <f t="shared" si="51"/>
        <v>-597851977</v>
      </c>
      <c r="J113" s="32">
        <f t="shared" si="51"/>
        <v>813547474</v>
      </c>
      <c r="K113" s="32">
        <f t="shared" si="51"/>
        <v>280691021.54448414</v>
      </c>
      <c r="L113" s="32">
        <f t="shared" si="51"/>
        <v>285709190.94759464</v>
      </c>
      <c r="M113" s="32">
        <f t="shared" si="51"/>
        <v>263893381.10555458</v>
      </c>
      <c r="N113" s="32">
        <f t="shared" si="51"/>
        <v>211425731.44627666</v>
      </c>
      <c r="O113" s="32">
        <f t="shared" si="51"/>
        <v>244163109.31675816</v>
      </c>
    </row>
    <row r="114" spans="1:15" ht="15.75" customHeight="1">
      <c r="A114" s="21" t="s">
        <v>122</v>
      </c>
      <c r="F114" s="83"/>
      <c r="G114" s="32">
        <f t="shared" ref="G114:O114" si="52">G27-F27</f>
        <v>330028197</v>
      </c>
      <c r="H114" s="32">
        <f t="shared" si="52"/>
        <v>-1013992480</v>
      </c>
      <c r="I114" s="32">
        <f t="shared" si="52"/>
        <v>-647682614</v>
      </c>
      <c r="J114" s="32">
        <f t="shared" si="52"/>
        <v>-565752253</v>
      </c>
      <c r="K114" s="32">
        <f>K27-J27</f>
        <v>1664955894.4348116</v>
      </c>
      <c r="L114" s="32">
        <f t="shared" si="52"/>
        <v>1161288049.1048098</v>
      </c>
      <c r="M114" s="32">
        <f t="shared" si="52"/>
        <v>1101552594.5712318</v>
      </c>
      <c r="N114" s="32">
        <f t="shared" si="52"/>
        <v>925854458.47641754</v>
      </c>
      <c r="O114" s="32">
        <f t="shared" si="52"/>
        <v>1058223902.0320072</v>
      </c>
    </row>
    <row r="115" spans="1:15" ht="15.75" customHeight="1">
      <c r="A115" s="27" t="s">
        <v>123</v>
      </c>
      <c r="F115" s="83"/>
      <c r="G115" s="32">
        <f t="shared" ref="G115:O115" si="53">+G113+G114</f>
        <v>776176777</v>
      </c>
      <c r="H115" s="32">
        <f t="shared" si="53"/>
        <v>-350928143</v>
      </c>
      <c r="I115" s="32">
        <f t="shared" si="53"/>
        <v>-1245534591</v>
      </c>
      <c r="J115" s="32">
        <f t="shared" si="53"/>
        <v>247795221</v>
      </c>
      <c r="K115" s="32">
        <f t="shared" si="53"/>
        <v>1945646915.9792957</v>
      </c>
      <c r="L115" s="32">
        <f t="shared" si="53"/>
        <v>1446997240.0524044</v>
      </c>
      <c r="M115" s="32">
        <f t="shared" si="53"/>
        <v>1365445975.6767864</v>
      </c>
      <c r="N115" s="32">
        <f t="shared" si="53"/>
        <v>1137280189.9226942</v>
      </c>
      <c r="O115" s="32">
        <f t="shared" si="53"/>
        <v>1302387011.3487654</v>
      </c>
    </row>
    <row r="116" spans="1:15" ht="15.75" customHeight="1"/>
    <row r="117" spans="1:15" ht="15.75" customHeight="1">
      <c r="A117" s="27" t="s">
        <v>124</v>
      </c>
      <c r="F117" s="32">
        <f t="shared" ref="F117:O117" si="54">+F111-F115</f>
        <v>2633526519.1371746</v>
      </c>
      <c r="G117" s="32">
        <f t="shared" si="54"/>
        <v>1639935563.3222456</v>
      </c>
      <c r="H117" s="32">
        <f t="shared" si="54"/>
        <v>2758902032.2454643</v>
      </c>
      <c r="I117" s="32">
        <f t="shared" si="54"/>
        <v>2712285564.1273422</v>
      </c>
      <c r="J117" s="32">
        <f t="shared" si="54"/>
        <v>1738455189.0037644</v>
      </c>
      <c r="K117" s="32">
        <f t="shared" si="54"/>
        <v>913384588.75938416</v>
      </c>
      <c r="L117" s="32">
        <f t="shared" si="54"/>
        <v>2430461773.747221</v>
      </c>
      <c r="M117" s="32">
        <f t="shared" si="54"/>
        <v>3496879904.541647</v>
      </c>
      <c r="N117" s="32">
        <f t="shared" si="54"/>
        <v>3760098883.8892059</v>
      </c>
      <c r="O117" s="32">
        <f t="shared" si="54"/>
        <v>3844172279.6872129</v>
      </c>
    </row>
    <row r="118" spans="1:15" ht="15.75" customHeight="1"/>
    <row r="119" spans="1:15" ht="15.75" customHeight="1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</row>
    <row r="120" spans="1:15" ht="15.75" customHeight="1"/>
    <row r="121" spans="1:15" ht="15.75" customHeight="1">
      <c r="A121" s="82" t="s">
        <v>125</v>
      </c>
    </row>
    <row r="122" spans="1:15" ht="15.75" customHeight="1">
      <c r="F122" s="67">
        <f t="shared" ref="F122:O122" si="55">F99</f>
        <v>2018</v>
      </c>
      <c r="G122" s="67">
        <f t="shared" si="55"/>
        <v>2019</v>
      </c>
      <c r="H122" s="67">
        <f t="shared" si="55"/>
        <v>2020</v>
      </c>
      <c r="I122" s="67">
        <f t="shared" si="55"/>
        <v>2021</v>
      </c>
      <c r="J122" s="67">
        <f t="shared" si="55"/>
        <v>2022</v>
      </c>
      <c r="K122" s="68">
        <f t="shared" si="55"/>
        <v>2023</v>
      </c>
      <c r="L122" s="68">
        <f t="shared" si="55"/>
        <v>2024</v>
      </c>
      <c r="M122" s="68">
        <f t="shared" si="55"/>
        <v>2025</v>
      </c>
      <c r="N122" s="68">
        <f t="shared" si="55"/>
        <v>2026</v>
      </c>
      <c r="O122" s="68">
        <f t="shared" si="55"/>
        <v>2027</v>
      </c>
    </row>
    <row r="123" spans="1:15" ht="15.75" customHeight="1">
      <c r="A123" s="86" t="s">
        <v>126</v>
      </c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1:15" ht="15.75" customHeight="1">
      <c r="A124" s="21" t="s">
        <v>275</v>
      </c>
      <c r="F124" s="34">
        <f t="shared" ref="F124:O124" si="56">+F52/F50</f>
        <v>0.31928402604517553</v>
      </c>
      <c r="G124" s="34">
        <f t="shared" si="56"/>
        <v>0.32937591636857605</v>
      </c>
      <c r="H124" s="34">
        <f t="shared" si="56"/>
        <v>0.34346240352164265</v>
      </c>
      <c r="I124" s="34">
        <f t="shared" si="56"/>
        <v>0.28647933204264042</v>
      </c>
      <c r="J124" s="34">
        <f t="shared" si="56"/>
        <v>0.24410678142667727</v>
      </c>
      <c r="K124" s="34">
        <f t="shared" si="56"/>
        <v>0.31953959469181681</v>
      </c>
      <c r="L124" s="34">
        <f t="shared" si="56"/>
        <v>0.3271344519590963</v>
      </c>
      <c r="M124" s="34">
        <f t="shared" si="56"/>
        <v>0.33621734951462329</v>
      </c>
      <c r="N124" s="34">
        <f t="shared" si="56"/>
        <v>0.33021898108986253</v>
      </c>
      <c r="O124" s="34">
        <f t="shared" si="56"/>
        <v>0.3257639318698935</v>
      </c>
    </row>
    <row r="125" spans="1:15" ht="15.75" customHeight="1">
      <c r="A125" s="21" t="s">
        <v>276</v>
      </c>
      <c r="F125" s="34">
        <f t="shared" ref="F125:O125" si="57">+F55/F50</f>
        <v>0.10976467335506963</v>
      </c>
      <c r="G125" s="34">
        <f t="shared" si="57"/>
        <v>5.2397689637444053E-2</v>
      </c>
      <c r="H125" s="34">
        <f t="shared" si="57"/>
        <v>5.7403237143842163E-2</v>
      </c>
      <c r="I125" s="34">
        <f t="shared" si="57"/>
        <v>3.8347002099903993E-2</v>
      </c>
      <c r="J125" s="34">
        <f t="shared" si="57"/>
        <v>4.4042209883074647E-2</v>
      </c>
      <c r="K125" s="34">
        <f t="shared" si="57"/>
        <v>7.6606286423319986E-2</v>
      </c>
      <c r="L125" s="34">
        <f t="shared" si="57"/>
        <v>9.044026710156261E-2</v>
      </c>
      <c r="M125" s="34">
        <f t="shared" si="57"/>
        <v>0.10332669734952635</v>
      </c>
      <c r="N125" s="34">
        <f t="shared" si="57"/>
        <v>9.9518079906311993E-2</v>
      </c>
      <c r="O125" s="34">
        <f t="shared" si="57"/>
        <v>9.7291567020692124E-2</v>
      </c>
    </row>
    <row r="126" spans="1:15" ht="15.75" customHeight="1">
      <c r="A126" s="21" t="s">
        <v>277</v>
      </c>
      <c r="F126" s="34">
        <f t="shared" ref="F126:O126" si="58">+F63/F50</f>
        <v>6.0711462112458446E-2</v>
      </c>
      <c r="G126" s="34">
        <f t="shared" si="58"/>
        <v>2.6326666410124922E-2</v>
      </c>
      <c r="H126" s="34">
        <f t="shared" si="58"/>
        <v>2.4775060730678186E-2</v>
      </c>
      <c r="I126" s="34">
        <f t="shared" si="58"/>
        <v>1.1820442189532434E-2</v>
      </c>
      <c r="J126" s="34">
        <f t="shared" si="58"/>
        <v>1.8365636448758497E-2</v>
      </c>
      <c r="K126" s="34">
        <f t="shared" si="58"/>
        <v>2.9546524608654829E-2</v>
      </c>
      <c r="L126" s="34">
        <f t="shared" si="58"/>
        <v>4.3380505286897471E-2</v>
      </c>
      <c r="M126" s="34">
        <f t="shared" si="58"/>
        <v>5.6266935534861187E-2</v>
      </c>
      <c r="N126" s="34">
        <f t="shared" si="58"/>
        <v>5.2458318091646847E-2</v>
      </c>
      <c r="O126" s="34">
        <f t="shared" si="58"/>
        <v>5.0231805206026978E-2</v>
      </c>
    </row>
    <row r="127" spans="1:15" ht="15.75" customHeight="1">
      <c r="A127" s="21" t="s">
        <v>278</v>
      </c>
      <c r="F127" s="34">
        <f t="shared" ref="F127:O127" si="59">+F63/F42</f>
        <v>0.35729819928984025</v>
      </c>
      <c r="G127" s="34">
        <f t="shared" si="59"/>
        <v>0.17692363987333984</v>
      </c>
      <c r="H127" s="34">
        <f t="shared" si="59"/>
        <v>0.16575513305967157</v>
      </c>
      <c r="I127" s="34">
        <f t="shared" si="59"/>
        <v>7.9513949419683413E-2</v>
      </c>
      <c r="J127" s="34">
        <f t="shared" si="59"/>
        <v>0.16942552541133182</v>
      </c>
      <c r="K127" s="34">
        <f t="shared" si="59"/>
        <v>0.27257075843067702</v>
      </c>
      <c r="L127" s="34">
        <f t="shared" si="59"/>
        <v>0.40019113529487838</v>
      </c>
      <c r="M127" s="34">
        <f t="shared" si="59"/>
        <v>0.51907022895053667</v>
      </c>
      <c r="N127" s="34">
        <f t="shared" si="59"/>
        <v>0.48393520854393518</v>
      </c>
      <c r="O127" s="34">
        <f t="shared" si="59"/>
        <v>0.46339532055618471</v>
      </c>
    </row>
    <row r="128" spans="1:15" ht="15.75" customHeight="1">
      <c r="A128" s="86" t="s">
        <v>127</v>
      </c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1:15" ht="15.75" customHeight="1">
      <c r="A129" s="21" t="s">
        <v>279</v>
      </c>
      <c r="F129" s="32">
        <f t="shared" ref="F129:O129" si="60">+F25-F35</f>
        <v>-4896675924</v>
      </c>
      <c r="G129" s="32">
        <f t="shared" si="60"/>
        <v>-5018653493</v>
      </c>
      <c r="H129" s="32">
        <f t="shared" si="60"/>
        <v>-3867219075</v>
      </c>
      <c r="I129" s="32">
        <f t="shared" si="60"/>
        <v>-3111518342</v>
      </c>
      <c r="J129" s="32">
        <f t="shared" si="60"/>
        <v>-2229467448</v>
      </c>
      <c r="K129" s="32">
        <f t="shared" si="60"/>
        <v>-2567431526.6553402</v>
      </c>
      <c r="L129" s="32">
        <f t="shared" si="60"/>
        <v>-2911437697.3930225</v>
      </c>
      <c r="M129" s="32">
        <f t="shared" si="60"/>
        <v>-3229176693.52421</v>
      </c>
      <c r="N129" s="32">
        <f t="shared" si="60"/>
        <v>-3483742379.8048038</v>
      </c>
      <c r="O129" s="32">
        <f t="shared" si="60"/>
        <v>-3777725278.9649162</v>
      </c>
    </row>
    <row r="130" spans="1:15" ht="15.75" customHeight="1">
      <c r="A130" s="21" t="s">
        <v>280</v>
      </c>
      <c r="F130" s="85">
        <f t="shared" ref="F130:O130" si="61">+F25/F35</f>
        <v>0.4382161180982943</v>
      </c>
      <c r="G130" s="85">
        <f t="shared" si="61"/>
        <v>0.46132927601271534</v>
      </c>
      <c r="H130" s="85">
        <f t="shared" si="61"/>
        <v>0.61740104582328514</v>
      </c>
      <c r="I130" s="85">
        <f t="shared" si="61"/>
        <v>0.66859736722506669</v>
      </c>
      <c r="J130" s="85">
        <f t="shared" si="61"/>
        <v>0.79039260195223748</v>
      </c>
      <c r="K130" s="85">
        <f t="shared" si="61"/>
        <v>0.79039260195223748</v>
      </c>
      <c r="L130" s="85">
        <f t="shared" si="61"/>
        <v>0.79039260195223748</v>
      </c>
      <c r="M130" s="85">
        <f t="shared" si="61"/>
        <v>0.79039260195223748</v>
      </c>
      <c r="N130" s="85">
        <f t="shared" si="61"/>
        <v>0.79039260195223737</v>
      </c>
      <c r="O130" s="85">
        <f t="shared" si="61"/>
        <v>0.79039260195223748</v>
      </c>
    </row>
    <row r="131" spans="1:15" ht="15.75" customHeight="1">
      <c r="A131" s="21" t="s">
        <v>281</v>
      </c>
      <c r="F131" s="85">
        <f t="shared" ref="F131:O131" si="62">(F25-F24)/F35</f>
        <v>0.38724104381139246</v>
      </c>
      <c r="G131" s="85">
        <f t="shared" si="62"/>
        <v>0.37471511243848721</v>
      </c>
      <c r="H131" s="85">
        <f t="shared" si="62"/>
        <v>0.43287016193937594</v>
      </c>
      <c r="I131" s="85">
        <f t="shared" si="62"/>
        <v>0.51551235497934234</v>
      </c>
      <c r="J131" s="85">
        <f t="shared" si="62"/>
        <v>0.46665573495084534</v>
      </c>
      <c r="K131" s="85">
        <f t="shared" si="62"/>
        <v>0.46665573495084534</v>
      </c>
      <c r="L131" s="85">
        <f t="shared" si="62"/>
        <v>0.46665573495084534</v>
      </c>
      <c r="M131" s="85">
        <f t="shared" si="62"/>
        <v>0.46665573495084528</v>
      </c>
      <c r="N131" s="85">
        <f t="shared" si="62"/>
        <v>0.46665573495084528</v>
      </c>
      <c r="O131" s="85">
        <f t="shared" si="62"/>
        <v>0.46665573495084534</v>
      </c>
    </row>
    <row r="132" spans="1:15" ht="15.75" customHeight="1">
      <c r="A132" s="86" t="s">
        <v>128</v>
      </c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1:15" ht="15.75" customHeight="1">
      <c r="A133" s="21" t="s">
        <v>282</v>
      </c>
      <c r="F133" s="34">
        <f t="shared" ref="F133:O133" si="63">+F39/F30</f>
        <v>0.75434032461832945</v>
      </c>
      <c r="G133" s="34">
        <f t="shared" si="63"/>
        <v>0.75357698772984349</v>
      </c>
      <c r="H133" s="34">
        <f t="shared" si="63"/>
        <v>0.75822884709045435</v>
      </c>
      <c r="I133" s="34">
        <f t="shared" si="63"/>
        <v>0.74039338630699325</v>
      </c>
      <c r="J133" s="34">
        <f t="shared" si="63"/>
        <v>0.74668786908077756</v>
      </c>
      <c r="K133" s="34">
        <f t="shared" si="63"/>
        <v>0.74668786908077756</v>
      </c>
      <c r="L133" s="34">
        <f t="shared" si="63"/>
        <v>0.74668786908077744</v>
      </c>
      <c r="M133" s="34">
        <f t="shared" si="63"/>
        <v>0.74668786908077756</v>
      </c>
      <c r="N133" s="34">
        <f t="shared" si="63"/>
        <v>0.74668786908077767</v>
      </c>
      <c r="O133" s="34">
        <f t="shared" si="63"/>
        <v>0.74668786908077756</v>
      </c>
    </row>
    <row r="134" spans="1:15" ht="15.75" customHeight="1">
      <c r="A134" s="21" t="s">
        <v>283</v>
      </c>
      <c r="F134" s="34">
        <f t="shared" ref="F134:O134" si="64">+F35/F39</f>
        <v>1</v>
      </c>
      <c r="G134" s="34">
        <f t="shared" si="64"/>
        <v>1</v>
      </c>
      <c r="H134" s="34">
        <f t="shared" si="64"/>
        <v>1</v>
      </c>
      <c r="I134" s="34">
        <f t="shared" si="64"/>
        <v>1</v>
      </c>
      <c r="J134" s="34">
        <f t="shared" si="64"/>
        <v>1</v>
      </c>
      <c r="K134" s="34">
        <f t="shared" si="64"/>
        <v>1</v>
      </c>
      <c r="L134" s="34">
        <f t="shared" si="64"/>
        <v>1</v>
      </c>
      <c r="M134" s="34">
        <f t="shared" si="64"/>
        <v>1</v>
      </c>
      <c r="N134" s="34">
        <f t="shared" si="64"/>
        <v>1</v>
      </c>
      <c r="O134" s="34">
        <f t="shared" si="64"/>
        <v>1</v>
      </c>
    </row>
    <row r="135" spans="1:15" ht="15.75" customHeight="1">
      <c r="A135" s="21" t="s">
        <v>284</v>
      </c>
      <c r="F135" s="34">
        <f t="shared" ref="F135:O135" si="65">+F37/F39</f>
        <v>0</v>
      </c>
      <c r="G135" s="34">
        <f t="shared" si="65"/>
        <v>0</v>
      </c>
      <c r="H135" s="34">
        <f t="shared" si="65"/>
        <v>0</v>
      </c>
      <c r="I135" s="34">
        <f t="shared" si="65"/>
        <v>0</v>
      </c>
      <c r="J135" s="34">
        <f t="shared" si="65"/>
        <v>0</v>
      </c>
      <c r="K135" s="34">
        <f t="shared" si="65"/>
        <v>1.9021052021259983E-2</v>
      </c>
      <c r="L135" s="34">
        <f t="shared" si="65"/>
        <v>1.6001444690775048E-2</v>
      </c>
      <c r="M135" s="34">
        <f t="shared" si="65"/>
        <v>1.3730797088411864E-2</v>
      </c>
      <c r="N135" s="34">
        <f t="shared" si="65"/>
        <v>1.2082159358668139E-2</v>
      </c>
      <c r="O135" s="34">
        <f t="shared" si="65"/>
        <v>0</v>
      </c>
    </row>
    <row r="136" spans="1:15" ht="15.75" customHeight="1">
      <c r="A136" s="86" t="s">
        <v>129</v>
      </c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</row>
    <row r="137" spans="1:15" ht="15.75" customHeight="1">
      <c r="A137" s="21" t="s">
        <v>130</v>
      </c>
      <c r="C137" s="27" t="s">
        <v>131</v>
      </c>
      <c r="F137" s="84">
        <f t="shared" ref="F137:O137" si="66">+F50/F42</f>
        <v>5.8851852163929355</v>
      </c>
      <c r="G137" s="84">
        <f t="shared" si="66"/>
        <v>6.7203206481659645</v>
      </c>
      <c r="H137" s="84">
        <f t="shared" si="66"/>
        <v>6.6904026941262815</v>
      </c>
      <c r="I137" s="84">
        <f t="shared" si="66"/>
        <v>6.7268168267086335</v>
      </c>
      <c r="J137" s="84">
        <f t="shared" si="66"/>
        <v>9.2251377121637876</v>
      </c>
      <c r="K137" s="84">
        <f t="shared" si="66"/>
        <v>9.2251377121637859</v>
      </c>
      <c r="L137" s="84">
        <f t="shared" si="66"/>
        <v>9.2251377121637876</v>
      </c>
      <c r="M137" s="84">
        <f t="shared" si="66"/>
        <v>9.2251377121637876</v>
      </c>
      <c r="N137" s="84">
        <f t="shared" si="66"/>
        <v>9.2251377121637859</v>
      </c>
      <c r="O137" s="84">
        <f t="shared" si="66"/>
        <v>9.2251377121637859</v>
      </c>
    </row>
    <row r="138" spans="1:15" ht="15.75" customHeight="1">
      <c r="A138" s="21" t="s">
        <v>132</v>
      </c>
      <c r="C138" s="27" t="s">
        <v>133</v>
      </c>
      <c r="F138" s="84">
        <f t="shared" ref="F138:O138" si="67">+F50/F30</f>
        <v>1.4457526898200947</v>
      </c>
      <c r="G138" s="84">
        <f t="shared" si="67"/>
        <v>1.6560416575423877</v>
      </c>
      <c r="H138" s="84">
        <f t="shared" si="67"/>
        <v>1.6175463727880417</v>
      </c>
      <c r="I138" s="84">
        <f t="shared" si="67"/>
        <v>1.7463261373149652</v>
      </c>
      <c r="J138" s="84">
        <f t="shared" si="67"/>
        <v>2.3368392918914891</v>
      </c>
      <c r="K138" s="84">
        <f t="shared" si="67"/>
        <v>2.3368392918914891</v>
      </c>
      <c r="L138" s="84">
        <f t="shared" si="67"/>
        <v>2.3368392918914891</v>
      </c>
      <c r="M138" s="84">
        <f t="shared" si="67"/>
        <v>2.3368392918914891</v>
      </c>
      <c r="N138" s="84">
        <f t="shared" si="67"/>
        <v>2.3368392918914895</v>
      </c>
      <c r="O138" s="84">
        <f t="shared" si="67"/>
        <v>2.3368392918914895</v>
      </c>
    </row>
    <row r="139" spans="1:15" ht="15.75" customHeight="1">
      <c r="A139" s="21" t="s">
        <v>134</v>
      </c>
      <c r="C139" s="27" t="s">
        <v>135</v>
      </c>
      <c r="F139" s="84">
        <f t="shared" ref="F139:O139" si="68">+F50/F23</f>
        <v>6.7705908959440908</v>
      </c>
      <c r="G139" s="84">
        <f t="shared" si="68"/>
        <v>6.4823231970005448</v>
      </c>
      <c r="H139" s="84">
        <f t="shared" si="68"/>
        <v>5.8124602295292505</v>
      </c>
      <c r="I139" s="84">
        <f t="shared" si="68"/>
        <v>6.5503809511431585</v>
      </c>
      <c r="J139" s="84">
        <f t="shared" si="68"/>
        <v>9.5884953598575464</v>
      </c>
      <c r="K139" s="84">
        <f t="shared" si="68"/>
        <v>9.5884953598575464</v>
      </c>
      <c r="L139" s="84">
        <f t="shared" si="68"/>
        <v>9.5884953598575464</v>
      </c>
      <c r="M139" s="84">
        <f t="shared" si="68"/>
        <v>9.5884953598575446</v>
      </c>
      <c r="N139" s="84">
        <f t="shared" si="68"/>
        <v>9.5884953598575464</v>
      </c>
      <c r="O139" s="84">
        <f t="shared" si="68"/>
        <v>9.5884953598575446</v>
      </c>
    </row>
    <row r="140" spans="1:15" ht="15.75" customHeight="1">
      <c r="A140" s="21" t="s">
        <v>136</v>
      </c>
      <c r="C140" s="27" t="s">
        <v>137</v>
      </c>
      <c r="F140" s="84">
        <f t="shared" ref="F140:O140" si="69">(F24/F51)*365</f>
        <v>14.261266811893606</v>
      </c>
      <c r="G140" s="84">
        <f t="shared" si="69"/>
        <v>21.45156614996981</v>
      </c>
      <c r="H140" s="84">
        <f t="shared" si="69"/>
        <v>48.08901578636214</v>
      </c>
      <c r="I140" s="84">
        <f t="shared" si="69"/>
        <v>33.201381640549428</v>
      </c>
      <c r="J140" s="84">
        <f t="shared" si="69"/>
        <v>49.949923128878353</v>
      </c>
      <c r="K140" s="84">
        <f t="shared" si="69"/>
        <v>55.48714938715311</v>
      </c>
      <c r="L140" s="84">
        <f t="shared" si="69"/>
        <v>56.113451299906146</v>
      </c>
      <c r="M140" s="84">
        <f t="shared" si="69"/>
        <v>56.881282048828879</v>
      </c>
      <c r="N140" s="84">
        <f t="shared" si="69"/>
        <v>56.371869454908555</v>
      </c>
      <c r="O140" s="84">
        <f t="shared" si="69"/>
        <v>55.999389451369467</v>
      </c>
    </row>
    <row r="141" spans="1:15" ht="15.75" customHeight="1">
      <c r="A141" s="21" t="s">
        <v>138</v>
      </c>
      <c r="C141" s="27" t="s">
        <v>139</v>
      </c>
      <c r="F141" s="84">
        <f t="shared" ref="F141:O141" si="70">(F23/F50)*365</f>
        <v>53.909622603051162</v>
      </c>
      <c r="G141" s="84">
        <f t="shared" si="70"/>
        <v>56.306973427195089</v>
      </c>
      <c r="H141" s="84">
        <f t="shared" si="70"/>
        <v>62.79612859038199</v>
      </c>
      <c r="I141" s="84">
        <f t="shared" si="70"/>
        <v>55.721950024341858</v>
      </c>
      <c r="J141" s="84">
        <f t="shared" si="70"/>
        <v>38.066452170178941</v>
      </c>
      <c r="K141" s="84">
        <f t="shared" si="70"/>
        <v>38.066452170178941</v>
      </c>
      <c r="L141" s="84">
        <f t="shared" si="70"/>
        <v>38.066452170178941</v>
      </c>
      <c r="M141" s="84">
        <f t="shared" si="70"/>
        <v>38.066452170178948</v>
      </c>
      <c r="N141" s="84">
        <f t="shared" si="70"/>
        <v>38.066452170178948</v>
      </c>
      <c r="O141" s="84">
        <f t="shared" si="70"/>
        <v>38.066452170178948</v>
      </c>
    </row>
    <row r="142" spans="1:15" ht="15.75" customHeight="1">
      <c r="A142" s="21" t="s">
        <v>140</v>
      </c>
      <c r="C142" s="27" t="s">
        <v>141</v>
      </c>
      <c r="F142" s="84">
        <f t="shared" ref="F142:O142" si="71">(F34/F51)*365</f>
        <v>76.549740030683395</v>
      </c>
      <c r="G142" s="84">
        <f t="shared" si="71"/>
        <v>79.551118871028436</v>
      </c>
      <c r="H142" s="84">
        <f t="shared" si="71"/>
        <v>101.55772771783849</v>
      </c>
      <c r="I142" s="84">
        <f t="shared" si="71"/>
        <v>87.315837302574764</v>
      </c>
      <c r="J142" s="84">
        <f t="shared" si="71"/>
        <v>73.449409341807154</v>
      </c>
      <c r="K142" s="84">
        <f t="shared" si="71"/>
        <v>81.59168409592165</v>
      </c>
      <c r="L142" s="84">
        <f t="shared" si="71"/>
        <v>82.512636575521356</v>
      </c>
      <c r="M142" s="84">
        <f t="shared" si="71"/>
        <v>83.641701676129017</v>
      </c>
      <c r="N142" s="84">
        <f t="shared" si="71"/>
        <v>82.89263037048984</v>
      </c>
      <c r="O142" s="84">
        <f t="shared" si="71"/>
        <v>82.344913086101002</v>
      </c>
    </row>
    <row r="143" spans="1:15" ht="15.75" customHeight="1">
      <c r="A143" s="21" t="s">
        <v>142</v>
      </c>
      <c r="C143" s="27" t="s">
        <v>143</v>
      </c>
      <c r="F143" s="84">
        <f t="shared" ref="F143:O143" si="72">+F141+F140</f>
        <v>68.170889414944767</v>
      </c>
      <c r="G143" s="84">
        <f t="shared" si="72"/>
        <v>77.758539577164896</v>
      </c>
      <c r="H143" s="84">
        <f t="shared" si="72"/>
        <v>110.88514437674414</v>
      </c>
      <c r="I143" s="84">
        <f t="shared" si="72"/>
        <v>88.923331664891293</v>
      </c>
      <c r="J143" s="84">
        <f t="shared" si="72"/>
        <v>88.016375299057302</v>
      </c>
      <c r="K143" s="84">
        <f t="shared" si="72"/>
        <v>93.553601557332058</v>
      </c>
      <c r="L143" s="84">
        <f t="shared" si="72"/>
        <v>94.179903470085094</v>
      </c>
      <c r="M143" s="84">
        <f t="shared" si="72"/>
        <v>94.947734219007828</v>
      </c>
      <c r="N143" s="84">
        <f t="shared" si="72"/>
        <v>94.438321625087497</v>
      </c>
      <c r="O143" s="84">
        <f t="shared" si="72"/>
        <v>94.065841621548415</v>
      </c>
    </row>
    <row r="144" spans="1:15" ht="15.75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</row>
    <row r="145" spans="1:15" ht="15.75" customHeight="1"/>
    <row r="146" spans="1:15" ht="15.75" customHeight="1">
      <c r="A146" s="86" t="s">
        <v>144</v>
      </c>
      <c r="B146" s="91"/>
      <c r="C146" s="91"/>
      <c r="D146" s="91"/>
      <c r="E146" s="91"/>
      <c r="F146" s="91"/>
      <c r="G146" s="87"/>
      <c r="H146" s="87"/>
      <c r="I146" s="87"/>
      <c r="J146" s="87"/>
      <c r="K146" s="87"/>
      <c r="L146" s="87"/>
      <c r="M146" s="87"/>
      <c r="N146" s="87"/>
      <c r="O146" s="87"/>
    </row>
    <row r="147" spans="1:15" ht="15.75" customHeight="1">
      <c r="A147" s="27"/>
      <c r="F147" s="67">
        <f t="shared" ref="F147:O147" si="73">F122</f>
        <v>2018</v>
      </c>
      <c r="G147" s="67">
        <f t="shared" si="73"/>
        <v>2019</v>
      </c>
      <c r="H147" s="67">
        <f t="shared" si="73"/>
        <v>2020</v>
      </c>
      <c r="I147" s="67">
        <f t="shared" si="73"/>
        <v>2021</v>
      </c>
      <c r="J147" s="67">
        <f t="shared" si="73"/>
        <v>2022</v>
      </c>
      <c r="K147" s="68">
        <f t="shared" si="73"/>
        <v>2023</v>
      </c>
      <c r="L147" s="68">
        <f t="shared" si="73"/>
        <v>2024</v>
      </c>
      <c r="M147" s="68">
        <f t="shared" si="73"/>
        <v>2025</v>
      </c>
      <c r="N147" s="68">
        <f t="shared" si="73"/>
        <v>2026</v>
      </c>
      <c r="O147" s="68">
        <f t="shared" si="73"/>
        <v>2027</v>
      </c>
    </row>
    <row r="148" spans="1:15" ht="15.75" customHeight="1">
      <c r="A148" s="21" t="s">
        <v>285</v>
      </c>
      <c r="F148" s="34">
        <f t="shared" ref="F148:O148" si="74">+F63/F50</f>
        <v>6.0711462112458446E-2</v>
      </c>
      <c r="G148" s="34">
        <f t="shared" si="74"/>
        <v>2.6326666410124922E-2</v>
      </c>
      <c r="H148" s="34">
        <f t="shared" si="74"/>
        <v>2.4775060730678186E-2</v>
      </c>
      <c r="I148" s="34">
        <f t="shared" si="74"/>
        <v>1.1820442189532434E-2</v>
      </c>
      <c r="J148" s="34">
        <f t="shared" si="74"/>
        <v>1.8365636448758497E-2</v>
      </c>
      <c r="K148" s="34">
        <f t="shared" si="74"/>
        <v>2.9546524608654829E-2</v>
      </c>
      <c r="L148" s="34">
        <f t="shared" si="74"/>
        <v>4.3380505286897471E-2</v>
      </c>
      <c r="M148" s="34">
        <f t="shared" si="74"/>
        <v>5.6266935534861187E-2</v>
      </c>
      <c r="N148" s="34">
        <f t="shared" si="74"/>
        <v>5.2458318091646847E-2</v>
      </c>
      <c r="O148" s="34">
        <f t="shared" si="74"/>
        <v>5.0231805206026978E-2</v>
      </c>
    </row>
    <row r="149" spans="1:15" ht="15.75" customHeight="1">
      <c r="A149" s="21" t="s">
        <v>286</v>
      </c>
      <c r="F149" s="85">
        <f t="shared" ref="F149:O149" si="75">+F50/F30</f>
        <v>1.4457526898200947</v>
      </c>
      <c r="G149" s="85">
        <f t="shared" si="75"/>
        <v>1.6560416575423877</v>
      </c>
      <c r="H149" s="85">
        <f t="shared" si="75"/>
        <v>1.6175463727880417</v>
      </c>
      <c r="I149" s="85">
        <f t="shared" si="75"/>
        <v>1.7463261373149652</v>
      </c>
      <c r="J149" s="85">
        <f t="shared" si="75"/>
        <v>2.3368392918914891</v>
      </c>
      <c r="K149" s="85">
        <f t="shared" si="75"/>
        <v>2.3368392918914891</v>
      </c>
      <c r="L149" s="85">
        <f t="shared" si="75"/>
        <v>2.3368392918914891</v>
      </c>
      <c r="M149" s="85">
        <f t="shared" si="75"/>
        <v>2.3368392918914891</v>
      </c>
      <c r="N149" s="85">
        <f t="shared" si="75"/>
        <v>2.3368392918914895</v>
      </c>
      <c r="O149" s="85">
        <f t="shared" si="75"/>
        <v>2.3368392918914895</v>
      </c>
    </row>
    <row r="150" spans="1:15" ht="15.75" customHeight="1">
      <c r="A150" s="21" t="s">
        <v>287</v>
      </c>
      <c r="F150" s="34">
        <f t="shared" ref="F150:O150" si="76">+F30/F42</f>
        <v>4.0706721542570818</v>
      </c>
      <c r="G150" s="34">
        <f t="shared" si="76"/>
        <v>4.0580625599353031</v>
      </c>
      <c r="H150" s="34">
        <f t="shared" si="76"/>
        <v>4.1361427447638137</v>
      </c>
      <c r="I150" s="34">
        <f t="shared" si="76"/>
        <v>3.8519819883423025</v>
      </c>
      <c r="J150" s="34">
        <f t="shared" si="76"/>
        <v>3.9476988187308155</v>
      </c>
      <c r="K150" s="34">
        <f t="shared" si="76"/>
        <v>3.9476988187308155</v>
      </c>
      <c r="L150" s="34">
        <f t="shared" si="76"/>
        <v>3.9476988187308155</v>
      </c>
      <c r="M150" s="34">
        <f t="shared" si="76"/>
        <v>3.9476988187308155</v>
      </c>
      <c r="N150" s="34">
        <f t="shared" si="76"/>
        <v>3.9476988187308146</v>
      </c>
      <c r="O150" s="34">
        <f t="shared" si="76"/>
        <v>3.9476988187308146</v>
      </c>
    </row>
    <row r="151" spans="1:15" ht="15.75" customHeight="1">
      <c r="A151" s="27" t="s">
        <v>145</v>
      </c>
      <c r="F151" s="92">
        <f t="shared" ref="F151:O151" si="77">+F148*F149*F150</f>
        <v>0.3572981992898403</v>
      </c>
      <c r="G151" s="92">
        <f t="shared" si="77"/>
        <v>0.17692363987333984</v>
      </c>
      <c r="H151" s="92">
        <f t="shared" si="77"/>
        <v>0.16575513305967157</v>
      </c>
      <c r="I151" s="92">
        <f t="shared" si="77"/>
        <v>7.95139494196834E-2</v>
      </c>
      <c r="J151" s="92">
        <f t="shared" si="77"/>
        <v>0.16942552541133182</v>
      </c>
      <c r="K151" s="178">
        <f t="shared" si="77"/>
        <v>0.27257075843067702</v>
      </c>
      <c r="L151" s="178">
        <f t="shared" si="77"/>
        <v>0.40019113529487838</v>
      </c>
      <c r="M151" s="178">
        <f t="shared" si="77"/>
        <v>0.51907022895053667</v>
      </c>
      <c r="N151" s="178">
        <f t="shared" si="77"/>
        <v>0.48393520854393518</v>
      </c>
      <c r="O151" s="178">
        <f t="shared" si="77"/>
        <v>0.46339532055618471</v>
      </c>
    </row>
    <row r="152" spans="1:15" ht="15.75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</row>
    <row r="155" spans="1:15" ht="15" customHeight="1">
      <c r="A155" s="27" t="s">
        <v>360</v>
      </c>
      <c r="C155" s="288">
        <v>780000000</v>
      </c>
    </row>
    <row r="156" spans="1:15" ht="15" customHeight="1">
      <c r="A156" s="27" t="s">
        <v>361</v>
      </c>
      <c r="C156" s="21" t="s">
        <v>363</v>
      </c>
    </row>
    <row r="157" spans="1:15" ht="15" customHeight="1">
      <c r="A157" s="27" t="s">
        <v>362</v>
      </c>
      <c r="C157" s="63">
        <v>0.22</v>
      </c>
      <c r="D157" s="21" t="s">
        <v>371</v>
      </c>
    </row>
    <row r="158" spans="1:15" ht="15" customHeight="1">
      <c r="A158" s="27" t="s">
        <v>372</v>
      </c>
    </row>
    <row r="159" spans="1:15" ht="15" customHeight="1">
      <c r="A159" s="99" t="s">
        <v>364</v>
      </c>
      <c r="B159" s="99" t="s">
        <v>365</v>
      </c>
      <c r="C159" s="99" t="s">
        <v>366</v>
      </c>
      <c r="D159" s="99" t="s">
        <v>367</v>
      </c>
      <c r="E159" s="99" t="s">
        <v>368</v>
      </c>
      <c r="F159" s="99" t="s">
        <v>369</v>
      </c>
      <c r="G159" s="99" t="s">
        <v>370</v>
      </c>
    </row>
    <row r="160" spans="1:15" ht="15" customHeight="1">
      <c r="A160" s="21">
        <v>1</v>
      </c>
      <c r="B160" s="288">
        <f>+C155</f>
        <v>780000000</v>
      </c>
      <c r="C160" s="78">
        <f>+C157</f>
        <v>0.22</v>
      </c>
      <c r="D160" s="288">
        <f>+B160*C160/48</f>
        <v>3575000</v>
      </c>
      <c r="E160" s="288">
        <f>+$B$160/48</f>
        <v>16250000</v>
      </c>
      <c r="F160" s="288">
        <f>+D160+E160</f>
        <v>19825000</v>
      </c>
      <c r="G160" s="288">
        <f>+B160+D160-F160</f>
        <v>763750000</v>
      </c>
    </row>
    <row r="161" spans="1:7" ht="15" customHeight="1">
      <c r="A161" s="21">
        <f>+A160+1</f>
        <v>2</v>
      </c>
      <c r="B161" s="288">
        <f>+G160</f>
        <v>763750000</v>
      </c>
      <c r="C161" s="63">
        <f>+C160</f>
        <v>0.22</v>
      </c>
      <c r="D161" s="288">
        <f>+B161*C161/48</f>
        <v>3500520.8333333335</v>
      </c>
      <c r="E161" s="288">
        <f t="shared" ref="E161:E207" si="78">+$B$160/48</f>
        <v>16250000</v>
      </c>
      <c r="F161" s="288">
        <f>+D161+E161</f>
        <v>19750520.833333332</v>
      </c>
      <c r="G161" s="288">
        <f>+B161+D161-F161</f>
        <v>747500000</v>
      </c>
    </row>
    <row r="162" spans="1:7" ht="15" customHeight="1">
      <c r="A162" s="21">
        <f t="shared" ref="A162:A207" si="79">+A161+1</f>
        <v>3</v>
      </c>
      <c r="B162" s="288">
        <f t="shared" ref="B162:B172" si="80">+G161</f>
        <v>747500000</v>
      </c>
      <c r="C162" s="63">
        <f t="shared" ref="C162:C172" si="81">+C161</f>
        <v>0.22</v>
      </c>
      <c r="D162" s="288">
        <f t="shared" ref="D162:D172" si="82">+B162*C162/48</f>
        <v>3426041.6666666665</v>
      </c>
      <c r="E162" s="288">
        <f t="shared" si="78"/>
        <v>16250000</v>
      </c>
      <c r="F162" s="288">
        <f t="shared" ref="F162:F172" si="83">+D162+E162</f>
        <v>19676041.666666668</v>
      </c>
      <c r="G162" s="288">
        <f t="shared" ref="G162:G172" si="84">+B162+D162-F162</f>
        <v>731250000</v>
      </c>
    </row>
    <row r="163" spans="1:7" ht="15" customHeight="1">
      <c r="A163" s="21">
        <f t="shared" si="79"/>
        <v>4</v>
      </c>
      <c r="B163" s="288">
        <f t="shared" si="80"/>
        <v>731250000</v>
      </c>
      <c r="C163" s="63">
        <f t="shared" si="81"/>
        <v>0.22</v>
      </c>
      <c r="D163" s="288">
        <f t="shared" si="82"/>
        <v>3351562.5</v>
      </c>
      <c r="E163" s="288">
        <f t="shared" si="78"/>
        <v>16250000</v>
      </c>
      <c r="F163" s="288">
        <f t="shared" si="83"/>
        <v>19601562.5</v>
      </c>
      <c r="G163" s="288">
        <f t="shared" si="84"/>
        <v>715000000</v>
      </c>
    </row>
    <row r="164" spans="1:7" ht="15" customHeight="1">
      <c r="A164" s="21">
        <f t="shared" si="79"/>
        <v>5</v>
      </c>
      <c r="B164" s="288">
        <f t="shared" si="80"/>
        <v>715000000</v>
      </c>
      <c r="C164" s="63">
        <f t="shared" si="81"/>
        <v>0.22</v>
      </c>
      <c r="D164" s="288">
        <f t="shared" si="82"/>
        <v>3277083.3333333335</v>
      </c>
      <c r="E164" s="288">
        <f t="shared" si="78"/>
        <v>16250000</v>
      </c>
      <c r="F164" s="288">
        <f t="shared" si="83"/>
        <v>19527083.333333332</v>
      </c>
      <c r="G164" s="288">
        <f t="shared" si="84"/>
        <v>698750000</v>
      </c>
    </row>
    <row r="165" spans="1:7" ht="15" customHeight="1">
      <c r="A165" s="21">
        <f t="shared" si="79"/>
        <v>6</v>
      </c>
      <c r="B165" s="288">
        <f t="shared" si="80"/>
        <v>698750000</v>
      </c>
      <c r="C165" s="63">
        <f t="shared" si="81"/>
        <v>0.22</v>
      </c>
      <c r="D165" s="288">
        <f t="shared" si="82"/>
        <v>3202604.1666666665</v>
      </c>
      <c r="E165" s="288">
        <f t="shared" si="78"/>
        <v>16250000</v>
      </c>
      <c r="F165" s="288">
        <f t="shared" si="83"/>
        <v>19452604.166666668</v>
      </c>
      <c r="G165" s="288">
        <f t="shared" si="84"/>
        <v>682500000</v>
      </c>
    </row>
    <row r="166" spans="1:7" ht="15" customHeight="1">
      <c r="A166" s="21">
        <f t="shared" si="79"/>
        <v>7</v>
      </c>
      <c r="B166" s="288">
        <f t="shared" si="80"/>
        <v>682500000</v>
      </c>
      <c r="C166" s="63">
        <f t="shared" si="81"/>
        <v>0.22</v>
      </c>
      <c r="D166" s="288">
        <f t="shared" si="82"/>
        <v>3128125</v>
      </c>
      <c r="E166" s="288">
        <f t="shared" si="78"/>
        <v>16250000</v>
      </c>
      <c r="F166" s="288">
        <f t="shared" si="83"/>
        <v>19378125</v>
      </c>
      <c r="G166" s="288">
        <f t="shared" si="84"/>
        <v>666250000</v>
      </c>
    </row>
    <row r="167" spans="1:7" ht="15" customHeight="1">
      <c r="A167" s="21">
        <f t="shared" si="79"/>
        <v>8</v>
      </c>
      <c r="B167" s="288">
        <f t="shared" si="80"/>
        <v>666250000</v>
      </c>
      <c r="C167" s="63">
        <f t="shared" si="81"/>
        <v>0.22</v>
      </c>
      <c r="D167" s="288">
        <f t="shared" si="82"/>
        <v>3053645.8333333335</v>
      </c>
      <c r="E167" s="288">
        <f t="shared" si="78"/>
        <v>16250000</v>
      </c>
      <c r="F167" s="288">
        <f t="shared" si="83"/>
        <v>19303645.833333332</v>
      </c>
      <c r="G167" s="288">
        <f t="shared" si="84"/>
        <v>650000000</v>
      </c>
    </row>
    <row r="168" spans="1:7" ht="15" customHeight="1">
      <c r="A168" s="21">
        <f t="shared" si="79"/>
        <v>9</v>
      </c>
      <c r="B168" s="288">
        <f t="shared" si="80"/>
        <v>650000000</v>
      </c>
      <c r="C168" s="63">
        <f t="shared" si="81"/>
        <v>0.22</v>
      </c>
      <c r="D168" s="288">
        <f t="shared" si="82"/>
        <v>2979166.6666666665</v>
      </c>
      <c r="E168" s="288">
        <f t="shared" si="78"/>
        <v>16250000</v>
      </c>
      <c r="F168" s="288">
        <f t="shared" si="83"/>
        <v>19229166.666666668</v>
      </c>
      <c r="G168" s="288">
        <f t="shared" si="84"/>
        <v>633750000</v>
      </c>
    </row>
    <row r="169" spans="1:7" ht="15" customHeight="1">
      <c r="A169" s="21">
        <f t="shared" si="79"/>
        <v>10</v>
      </c>
      <c r="B169" s="288">
        <f t="shared" si="80"/>
        <v>633750000</v>
      </c>
      <c r="C169" s="63">
        <f t="shared" si="81"/>
        <v>0.22</v>
      </c>
      <c r="D169" s="288">
        <f t="shared" si="82"/>
        <v>2904687.5</v>
      </c>
      <c r="E169" s="288">
        <f t="shared" si="78"/>
        <v>16250000</v>
      </c>
      <c r="F169" s="288">
        <f t="shared" si="83"/>
        <v>19154687.5</v>
      </c>
      <c r="G169" s="288">
        <f t="shared" si="84"/>
        <v>617500000</v>
      </c>
    </row>
    <row r="170" spans="1:7" ht="15" customHeight="1">
      <c r="A170" s="21">
        <f t="shared" si="79"/>
        <v>11</v>
      </c>
      <c r="B170" s="288">
        <f t="shared" si="80"/>
        <v>617500000</v>
      </c>
      <c r="C170" s="63">
        <f t="shared" si="81"/>
        <v>0.22</v>
      </c>
      <c r="D170" s="288">
        <f t="shared" si="82"/>
        <v>2830208.3333333335</v>
      </c>
      <c r="E170" s="288">
        <f t="shared" si="78"/>
        <v>16250000</v>
      </c>
      <c r="F170" s="288">
        <f t="shared" si="83"/>
        <v>19080208.333333332</v>
      </c>
      <c r="G170" s="288">
        <f t="shared" si="84"/>
        <v>601250000</v>
      </c>
    </row>
    <row r="171" spans="1:7" ht="15" customHeight="1">
      <c r="A171" s="21">
        <f t="shared" si="79"/>
        <v>12</v>
      </c>
      <c r="B171" s="288">
        <f t="shared" si="80"/>
        <v>601250000</v>
      </c>
      <c r="C171" s="63">
        <f t="shared" si="81"/>
        <v>0.22</v>
      </c>
      <c r="D171" s="288">
        <f t="shared" si="82"/>
        <v>2755729.1666666665</v>
      </c>
      <c r="E171" s="288">
        <f t="shared" si="78"/>
        <v>16250000</v>
      </c>
      <c r="F171" s="288">
        <f t="shared" si="83"/>
        <v>19005729.166666668</v>
      </c>
      <c r="G171" s="288">
        <f t="shared" si="84"/>
        <v>585000000</v>
      </c>
    </row>
    <row r="172" spans="1:7" ht="15" customHeight="1">
      <c r="A172" s="21">
        <f t="shared" si="79"/>
        <v>13</v>
      </c>
      <c r="B172" s="288">
        <f t="shared" si="80"/>
        <v>585000000</v>
      </c>
      <c r="C172" s="63">
        <f t="shared" si="81"/>
        <v>0.22</v>
      </c>
      <c r="D172" s="288">
        <f t="shared" si="82"/>
        <v>2681250</v>
      </c>
      <c r="E172" s="288">
        <f t="shared" si="78"/>
        <v>16250000</v>
      </c>
      <c r="F172" s="288">
        <f t="shared" si="83"/>
        <v>18931250</v>
      </c>
      <c r="G172" s="288">
        <f t="shared" si="84"/>
        <v>568750000</v>
      </c>
    </row>
    <row r="173" spans="1:7" ht="15" customHeight="1">
      <c r="A173" s="21">
        <f t="shared" si="79"/>
        <v>14</v>
      </c>
      <c r="B173" s="288">
        <f t="shared" ref="B173:B207" si="85">+G172</f>
        <v>568750000</v>
      </c>
      <c r="C173" s="63">
        <f t="shared" ref="C173:C207" si="86">+C172</f>
        <v>0.22</v>
      </c>
      <c r="D173" s="288">
        <f t="shared" ref="D173:D207" si="87">+B173*C173/48</f>
        <v>2606770.8333333335</v>
      </c>
      <c r="E173" s="288">
        <f t="shared" si="78"/>
        <v>16250000</v>
      </c>
      <c r="F173" s="288">
        <f t="shared" ref="F173:F207" si="88">+D173+E173</f>
        <v>18856770.833333332</v>
      </c>
      <c r="G173" s="288">
        <f t="shared" ref="G173:G207" si="89">+B173+D173-F173</f>
        <v>552500000</v>
      </c>
    </row>
    <row r="174" spans="1:7" ht="15" customHeight="1">
      <c r="A174" s="21">
        <f t="shared" si="79"/>
        <v>15</v>
      </c>
      <c r="B174" s="288">
        <f t="shared" si="85"/>
        <v>552500000</v>
      </c>
      <c r="C174" s="63">
        <f t="shared" si="86"/>
        <v>0.22</v>
      </c>
      <c r="D174" s="288">
        <f t="shared" si="87"/>
        <v>2532291.6666666665</v>
      </c>
      <c r="E174" s="288">
        <f t="shared" si="78"/>
        <v>16250000</v>
      </c>
      <c r="F174" s="288">
        <f t="shared" si="88"/>
        <v>18782291.666666668</v>
      </c>
      <c r="G174" s="288">
        <f t="shared" si="89"/>
        <v>536249999.99999994</v>
      </c>
    </row>
    <row r="175" spans="1:7" ht="15" customHeight="1">
      <c r="A175" s="21">
        <f t="shared" si="79"/>
        <v>16</v>
      </c>
      <c r="B175" s="288">
        <f t="shared" si="85"/>
        <v>536249999.99999994</v>
      </c>
      <c r="C175" s="63">
        <f t="shared" si="86"/>
        <v>0.22</v>
      </c>
      <c r="D175" s="288">
        <f t="shared" si="87"/>
        <v>2457812.4999999995</v>
      </c>
      <c r="E175" s="288">
        <f t="shared" si="78"/>
        <v>16250000</v>
      </c>
      <c r="F175" s="288">
        <f t="shared" si="88"/>
        <v>18707812.5</v>
      </c>
      <c r="G175" s="288">
        <f t="shared" si="89"/>
        <v>519999999.99999988</v>
      </c>
    </row>
    <row r="176" spans="1:7" ht="15" customHeight="1">
      <c r="A176" s="21">
        <f t="shared" si="79"/>
        <v>17</v>
      </c>
      <c r="B176" s="288">
        <f t="shared" si="85"/>
        <v>519999999.99999988</v>
      </c>
      <c r="C176" s="63">
        <f t="shared" si="86"/>
        <v>0.22</v>
      </c>
      <c r="D176" s="288">
        <f t="shared" si="87"/>
        <v>2383333.3333333326</v>
      </c>
      <c r="E176" s="288">
        <f t="shared" si="78"/>
        <v>16250000</v>
      </c>
      <c r="F176" s="288">
        <f t="shared" si="88"/>
        <v>18633333.333333332</v>
      </c>
      <c r="G176" s="288">
        <f t="shared" si="89"/>
        <v>503749999.99999988</v>
      </c>
    </row>
    <row r="177" spans="1:7" ht="15" customHeight="1">
      <c r="A177" s="21">
        <f t="shared" si="79"/>
        <v>18</v>
      </c>
      <c r="B177" s="288">
        <f t="shared" si="85"/>
        <v>503749999.99999988</v>
      </c>
      <c r="C177" s="63">
        <f t="shared" si="86"/>
        <v>0.22</v>
      </c>
      <c r="D177" s="288">
        <f t="shared" si="87"/>
        <v>2308854.166666666</v>
      </c>
      <c r="E177" s="288">
        <f t="shared" si="78"/>
        <v>16250000</v>
      </c>
      <c r="F177" s="288">
        <f t="shared" si="88"/>
        <v>18558854.166666664</v>
      </c>
      <c r="G177" s="288">
        <f t="shared" si="89"/>
        <v>487499999.99999988</v>
      </c>
    </row>
    <row r="178" spans="1:7" ht="15" customHeight="1">
      <c r="A178" s="21">
        <f t="shared" si="79"/>
        <v>19</v>
      </c>
      <c r="B178" s="288">
        <f t="shared" si="85"/>
        <v>487499999.99999988</v>
      </c>
      <c r="C178" s="63">
        <f t="shared" si="86"/>
        <v>0.22</v>
      </c>
      <c r="D178" s="288">
        <f t="shared" si="87"/>
        <v>2234374.9999999995</v>
      </c>
      <c r="E178" s="288">
        <f t="shared" si="78"/>
        <v>16250000</v>
      </c>
      <c r="F178" s="288">
        <f t="shared" si="88"/>
        <v>18484375</v>
      </c>
      <c r="G178" s="288">
        <f t="shared" si="89"/>
        <v>471249999.99999988</v>
      </c>
    </row>
    <row r="179" spans="1:7" ht="15" customHeight="1">
      <c r="A179" s="21">
        <f t="shared" si="79"/>
        <v>20</v>
      </c>
      <c r="B179" s="288">
        <f t="shared" si="85"/>
        <v>471249999.99999988</v>
      </c>
      <c r="C179" s="63">
        <f t="shared" si="86"/>
        <v>0.22</v>
      </c>
      <c r="D179" s="288">
        <f t="shared" si="87"/>
        <v>2159895.8333333326</v>
      </c>
      <c r="E179" s="288">
        <f t="shared" si="78"/>
        <v>16250000</v>
      </c>
      <c r="F179" s="288">
        <f t="shared" si="88"/>
        <v>18409895.833333332</v>
      </c>
      <c r="G179" s="288">
        <f t="shared" si="89"/>
        <v>454999999.99999988</v>
      </c>
    </row>
    <row r="180" spans="1:7" ht="15" customHeight="1">
      <c r="A180" s="21">
        <f t="shared" si="79"/>
        <v>21</v>
      </c>
      <c r="B180" s="288">
        <f t="shared" si="85"/>
        <v>454999999.99999988</v>
      </c>
      <c r="C180" s="63">
        <f t="shared" si="86"/>
        <v>0.22</v>
      </c>
      <c r="D180" s="288">
        <f t="shared" si="87"/>
        <v>2085416.666666666</v>
      </c>
      <c r="E180" s="288">
        <f t="shared" si="78"/>
        <v>16250000</v>
      </c>
      <c r="F180" s="288">
        <f t="shared" si="88"/>
        <v>18335416.666666664</v>
      </c>
      <c r="G180" s="288">
        <f t="shared" si="89"/>
        <v>438749999.99999988</v>
      </c>
    </row>
    <row r="181" spans="1:7" ht="15" customHeight="1">
      <c r="A181" s="21">
        <f t="shared" si="79"/>
        <v>22</v>
      </c>
      <c r="B181" s="288">
        <f t="shared" si="85"/>
        <v>438749999.99999988</v>
      </c>
      <c r="C181" s="63">
        <f t="shared" si="86"/>
        <v>0.22</v>
      </c>
      <c r="D181" s="288">
        <f t="shared" si="87"/>
        <v>2010937.4999999993</v>
      </c>
      <c r="E181" s="288">
        <f t="shared" si="78"/>
        <v>16250000</v>
      </c>
      <c r="F181" s="288">
        <f t="shared" si="88"/>
        <v>18260937.5</v>
      </c>
      <c r="G181" s="288">
        <f t="shared" si="89"/>
        <v>422499999.99999988</v>
      </c>
    </row>
    <row r="182" spans="1:7" ht="15" customHeight="1">
      <c r="A182" s="21">
        <f t="shared" si="79"/>
        <v>23</v>
      </c>
      <c r="B182" s="288">
        <f t="shared" si="85"/>
        <v>422499999.99999988</v>
      </c>
      <c r="C182" s="63">
        <f t="shared" si="86"/>
        <v>0.22</v>
      </c>
      <c r="D182" s="288">
        <f t="shared" si="87"/>
        <v>1936458.3333333328</v>
      </c>
      <c r="E182" s="288">
        <f t="shared" si="78"/>
        <v>16250000</v>
      </c>
      <c r="F182" s="288">
        <f t="shared" si="88"/>
        <v>18186458.333333332</v>
      </c>
      <c r="G182" s="288">
        <f t="shared" si="89"/>
        <v>406249999.99999988</v>
      </c>
    </row>
    <row r="183" spans="1:7" ht="15" customHeight="1">
      <c r="A183" s="21">
        <f t="shared" si="79"/>
        <v>24</v>
      </c>
      <c r="B183" s="288">
        <f t="shared" si="85"/>
        <v>406249999.99999988</v>
      </c>
      <c r="C183" s="63">
        <f t="shared" si="86"/>
        <v>0.22</v>
      </c>
      <c r="D183" s="288">
        <f t="shared" si="87"/>
        <v>1861979.166666666</v>
      </c>
      <c r="E183" s="288">
        <f t="shared" si="78"/>
        <v>16250000</v>
      </c>
      <c r="F183" s="288">
        <f t="shared" si="88"/>
        <v>18111979.166666664</v>
      </c>
      <c r="G183" s="288">
        <f t="shared" si="89"/>
        <v>389999999.99999988</v>
      </c>
    </row>
    <row r="184" spans="1:7" ht="15" customHeight="1">
      <c r="A184" s="21">
        <f t="shared" si="79"/>
        <v>25</v>
      </c>
      <c r="B184" s="288">
        <f t="shared" si="85"/>
        <v>389999999.99999988</v>
      </c>
      <c r="C184" s="63">
        <f t="shared" si="86"/>
        <v>0.22</v>
      </c>
      <c r="D184" s="288">
        <f t="shared" si="87"/>
        <v>1787499.9999999993</v>
      </c>
      <c r="E184" s="288">
        <f t="shared" si="78"/>
        <v>16250000</v>
      </c>
      <c r="F184" s="288">
        <f t="shared" si="88"/>
        <v>18037500</v>
      </c>
      <c r="G184" s="288">
        <f t="shared" si="89"/>
        <v>373749999.99999988</v>
      </c>
    </row>
    <row r="185" spans="1:7" ht="15" customHeight="1">
      <c r="A185" s="21">
        <f t="shared" si="79"/>
        <v>26</v>
      </c>
      <c r="B185" s="288">
        <f t="shared" si="85"/>
        <v>373749999.99999988</v>
      </c>
      <c r="C185" s="63">
        <f t="shared" si="86"/>
        <v>0.22</v>
      </c>
      <c r="D185" s="288">
        <f t="shared" si="87"/>
        <v>1713020.8333333328</v>
      </c>
      <c r="E185" s="288">
        <f t="shared" si="78"/>
        <v>16250000</v>
      </c>
      <c r="F185" s="288">
        <f t="shared" si="88"/>
        <v>17963020.833333332</v>
      </c>
      <c r="G185" s="288">
        <f t="shared" si="89"/>
        <v>357499999.99999988</v>
      </c>
    </row>
    <row r="186" spans="1:7" ht="15" customHeight="1">
      <c r="A186" s="21">
        <f t="shared" si="79"/>
        <v>27</v>
      </c>
      <c r="B186" s="288">
        <f t="shared" si="85"/>
        <v>357499999.99999988</v>
      </c>
      <c r="C186" s="63">
        <f t="shared" si="86"/>
        <v>0.22</v>
      </c>
      <c r="D186" s="288">
        <f t="shared" si="87"/>
        <v>1638541.666666666</v>
      </c>
      <c r="E186" s="288">
        <f t="shared" si="78"/>
        <v>16250000</v>
      </c>
      <c r="F186" s="288">
        <f t="shared" si="88"/>
        <v>17888541.666666664</v>
      </c>
      <c r="G186" s="288">
        <f t="shared" si="89"/>
        <v>341249999.99999988</v>
      </c>
    </row>
    <row r="187" spans="1:7" ht="15" customHeight="1">
      <c r="A187" s="21">
        <f t="shared" si="79"/>
        <v>28</v>
      </c>
      <c r="B187" s="288">
        <f t="shared" si="85"/>
        <v>341249999.99999988</v>
      </c>
      <c r="C187" s="63">
        <f t="shared" si="86"/>
        <v>0.22</v>
      </c>
      <c r="D187" s="288">
        <f t="shared" si="87"/>
        <v>1564062.4999999993</v>
      </c>
      <c r="E187" s="288">
        <f t="shared" si="78"/>
        <v>16250000</v>
      </c>
      <c r="F187" s="288">
        <f t="shared" si="88"/>
        <v>17814062.5</v>
      </c>
      <c r="G187" s="288">
        <f t="shared" si="89"/>
        <v>324999999.99999988</v>
      </c>
    </row>
    <row r="188" spans="1:7" ht="15" customHeight="1">
      <c r="A188" s="21">
        <f t="shared" si="79"/>
        <v>29</v>
      </c>
      <c r="B188" s="288">
        <f t="shared" si="85"/>
        <v>324999999.99999988</v>
      </c>
      <c r="C188" s="63">
        <f t="shared" si="86"/>
        <v>0.22</v>
      </c>
      <c r="D188" s="288">
        <f t="shared" si="87"/>
        <v>1489583.3333333328</v>
      </c>
      <c r="E188" s="288">
        <f t="shared" si="78"/>
        <v>16250000</v>
      </c>
      <c r="F188" s="288">
        <f t="shared" si="88"/>
        <v>17739583.333333332</v>
      </c>
      <c r="G188" s="288">
        <f t="shared" si="89"/>
        <v>308749999.99999988</v>
      </c>
    </row>
    <row r="189" spans="1:7" ht="15" customHeight="1">
      <c r="A189" s="21">
        <f t="shared" si="79"/>
        <v>30</v>
      </c>
      <c r="B189" s="288">
        <f t="shared" si="85"/>
        <v>308749999.99999988</v>
      </c>
      <c r="C189" s="63">
        <f t="shared" si="86"/>
        <v>0.22</v>
      </c>
      <c r="D189" s="288">
        <f t="shared" si="87"/>
        <v>1415104.166666666</v>
      </c>
      <c r="E189" s="288">
        <f t="shared" si="78"/>
        <v>16250000</v>
      </c>
      <c r="F189" s="288">
        <f t="shared" si="88"/>
        <v>17665104.166666664</v>
      </c>
      <c r="G189" s="288">
        <f t="shared" si="89"/>
        <v>292499999.99999988</v>
      </c>
    </row>
    <row r="190" spans="1:7" ht="15" customHeight="1">
      <c r="A190" s="21">
        <f t="shared" si="79"/>
        <v>31</v>
      </c>
      <c r="B190" s="288">
        <f t="shared" si="85"/>
        <v>292499999.99999988</v>
      </c>
      <c r="C190" s="63">
        <f t="shared" si="86"/>
        <v>0.22</v>
      </c>
      <c r="D190" s="288">
        <f t="shared" si="87"/>
        <v>1340624.9999999995</v>
      </c>
      <c r="E190" s="288">
        <f t="shared" si="78"/>
        <v>16250000</v>
      </c>
      <c r="F190" s="288">
        <f t="shared" si="88"/>
        <v>17590625</v>
      </c>
      <c r="G190" s="288">
        <f t="shared" si="89"/>
        <v>276249999.99999988</v>
      </c>
    </row>
    <row r="191" spans="1:7" ht="15" customHeight="1">
      <c r="A191" s="21">
        <f t="shared" si="79"/>
        <v>32</v>
      </c>
      <c r="B191" s="288">
        <f t="shared" si="85"/>
        <v>276249999.99999988</v>
      </c>
      <c r="C191" s="63">
        <f t="shared" si="86"/>
        <v>0.22</v>
      </c>
      <c r="D191" s="288">
        <f t="shared" si="87"/>
        <v>1266145.8333333328</v>
      </c>
      <c r="E191" s="288">
        <f t="shared" si="78"/>
        <v>16250000</v>
      </c>
      <c r="F191" s="288">
        <f t="shared" si="88"/>
        <v>17516145.833333332</v>
      </c>
      <c r="G191" s="288">
        <f t="shared" si="89"/>
        <v>259999999.99999985</v>
      </c>
    </row>
    <row r="192" spans="1:7" ht="15" customHeight="1">
      <c r="A192" s="21">
        <f t="shared" si="79"/>
        <v>33</v>
      </c>
      <c r="B192" s="288">
        <f t="shared" si="85"/>
        <v>259999999.99999985</v>
      </c>
      <c r="C192" s="63">
        <f t="shared" si="86"/>
        <v>0.22</v>
      </c>
      <c r="D192" s="288">
        <f t="shared" si="87"/>
        <v>1191666.666666666</v>
      </c>
      <c r="E192" s="288">
        <f t="shared" si="78"/>
        <v>16250000</v>
      </c>
      <c r="F192" s="288">
        <f t="shared" si="88"/>
        <v>17441666.666666664</v>
      </c>
      <c r="G192" s="288">
        <f t="shared" si="89"/>
        <v>243749999.99999985</v>
      </c>
    </row>
    <row r="193" spans="1:7" ht="15" customHeight="1">
      <c r="A193" s="21">
        <f t="shared" si="79"/>
        <v>34</v>
      </c>
      <c r="B193" s="288">
        <f t="shared" si="85"/>
        <v>243749999.99999985</v>
      </c>
      <c r="C193" s="63">
        <f t="shared" si="86"/>
        <v>0.22</v>
      </c>
      <c r="D193" s="288">
        <f t="shared" si="87"/>
        <v>1117187.4999999993</v>
      </c>
      <c r="E193" s="288">
        <f t="shared" si="78"/>
        <v>16250000</v>
      </c>
      <c r="F193" s="288">
        <f t="shared" si="88"/>
        <v>17367187.5</v>
      </c>
      <c r="G193" s="288">
        <f t="shared" si="89"/>
        <v>227499999.99999985</v>
      </c>
    </row>
    <row r="194" spans="1:7" ht="15" customHeight="1">
      <c r="A194" s="21">
        <f t="shared" si="79"/>
        <v>35</v>
      </c>
      <c r="B194" s="288">
        <f t="shared" si="85"/>
        <v>227499999.99999985</v>
      </c>
      <c r="C194" s="63">
        <f t="shared" si="86"/>
        <v>0.22</v>
      </c>
      <c r="D194" s="288">
        <f t="shared" si="87"/>
        <v>1042708.3333333327</v>
      </c>
      <c r="E194" s="288">
        <f t="shared" si="78"/>
        <v>16250000</v>
      </c>
      <c r="F194" s="288">
        <f t="shared" si="88"/>
        <v>17292708.333333332</v>
      </c>
      <c r="G194" s="288">
        <f t="shared" si="89"/>
        <v>211249999.99999985</v>
      </c>
    </row>
    <row r="195" spans="1:7" ht="15" customHeight="1">
      <c r="A195" s="21">
        <f t="shared" si="79"/>
        <v>36</v>
      </c>
      <c r="B195" s="288">
        <f t="shared" si="85"/>
        <v>211249999.99999985</v>
      </c>
      <c r="C195" s="63">
        <f t="shared" si="86"/>
        <v>0.22</v>
      </c>
      <c r="D195" s="288">
        <f t="shared" si="87"/>
        <v>968229.16666666605</v>
      </c>
      <c r="E195" s="288">
        <f t="shared" si="78"/>
        <v>16250000</v>
      </c>
      <c r="F195" s="288">
        <f t="shared" si="88"/>
        <v>17218229.166666664</v>
      </c>
      <c r="G195" s="288">
        <f t="shared" si="89"/>
        <v>194999999.99999985</v>
      </c>
    </row>
    <row r="196" spans="1:7" ht="15" customHeight="1">
      <c r="A196" s="21">
        <f t="shared" si="79"/>
        <v>37</v>
      </c>
      <c r="B196" s="288">
        <f t="shared" si="85"/>
        <v>194999999.99999985</v>
      </c>
      <c r="C196" s="63">
        <f t="shared" si="86"/>
        <v>0.22</v>
      </c>
      <c r="D196" s="288">
        <f t="shared" si="87"/>
        <v>893749.99999999942</v>
      </c>
      <c r="E196" s="288">
        <f t="shared" si="78"/>
        <v>16250000</v>
      </c>
      <c r="F196" s="288">
        <f t="shared" si="88"/>
        <v>17143750</v>
      </c>
      <c r="G196" s="288">
        <f t="shared" si="89"/>
        <v>178749999.99999985</v>
      </c>
    </row>
    <row r="197" spans="1:7" ht="15" customHeight="1">
      <c r="A197" s="21">
        <f t="shared" si="79"/>
        <v>38</v>
      </c>
      <c r="B197" s="288">
        <f t="shared" si="85"/>
        <v>178749999.99999985</v>
      </c>
      <c r="C197" s="63">
        <f t="shared" si="86"/>
        <v>0.22</v>
      </c>
      <c r="D197" s="288">
        <f t="shared" si="87"/>
        <v>819270.83333333267</v>
      </c>
      <c r="E197" s="288">
        <f t="shared" si="78"/>
        <v>16250000</v>
      </c>
      <c r="F197" s="288">
        <f t="shared" si="88"/>
        <v>17069270.833333332</v>
      </c>
      <c r="G197" s="288">
        <f t="shared" si="89"/>
        <v>162499999.99999985</v>
      </c>
    </row>
    <row r="198" spans="1:7" ht="15" customHeight="1">
      <c r="A198" s="21">
        <f t="shared" si="79"/>
        <v>39</v>
      </c>
      <c r="B198" s="288">
        <f t="shared" si="85"/>
        <v>162499999.99999985</v>
      </c>
      <c r="C198" s="63">
        <f t="shared" si="86"/>
        <v>0.22</v>
      </c>
      <c r="D198" s="288">
        <f t="shared" si="87"/>
        <v>744791.66666666605</v>
      </c>
      <c r="E198" s="288">
        <f t="shared" si="78"/>
        <v>16250000</v>
      </c>
      <c r="F198" s="288">
        <f t="shared" si="88"/>
        <v>16994791.666666664</v>
      </c>
      <c r="G198" s="288">
        <f t="shared" si="89"/>
        <v>146249999.99999985</v>
      </c>
    </row>
    <row r="199" spans="1:7" ht="15" customHeight="1">
      <c r="A199" s="21">
        <f t="shared" si="79"/>
        <v>40</v>
      </c>
      <c r="B199" s="288">
        <f t="shared" si="85"/>
        <v>146249999.99999985</v>
      </c>
      <c r="C199" s="63">
        <f t="shared" si="86"/>
        <v>0.22</v>
      </c>
      <c r="D199" s="288">
        <f t="shared" si="87"/>
        <v>670312.4999999993</v>
      </c>
      <c r="E199" s="288">
        <f t="shared" si="78"/>
        <v>16250000</v>
      </c>
      <c r="F199" s="288">
        <f t="shared" si="88"/>
        <v>16920312.5</v>
      </c>
      <c r="G199" s="288">
        <f t="shared" si="89"/>
        <v>129999999.99999985</v>
      </c>
    </row>
    <row r="200" spans="1:7" ht="15" customHeight="1">
      <c r="A200" s="21">
        <f t="shared" si="79"/>
        <v>41</v>
      </c>
      <c r="B200" s="288">
        <f t="shared" si="85"/>
        <v>129999999.99999985</v>
      </c>
      <c r="C200" s="63">
        <f t="shared" si="86"/>
        <v>0.22</v>
      </c>
      <c r="D200" s="288">
        <f t="shared" si="87"/>
        <v>595833.33333333267</v>
      </c>
      <c r="E200" s="288">
        <f t="shared" si="78"/>
        <v>16250000</v>
      </c>
      <c r="F200" s="288">
        <f t="shared" si="88"/>
        <v>16845833.333333332</v>
      </c>
      <c r="G200" s="288">
        <f t="shared" si="89"/>
        <v>113749999.99999985</v>
      </c>
    </row>
    <row r="201" spans="1:7" ht="15" customHeight="1">
      <c r="A201" s="21">
        <f t="shared" si="79"/>
        <v>42</v>
      </c>
      <c r="B201" s="288">
        <f t="shared" si="85"/>
        <v>113749999.99999985</v>
      </c>
      <c r="C201" s="63">
        <f t="shared" si="86"/>
        <v>0.22</v>
      </c>
      <c r="D201" s="288">
        <f t="shared" si="87"/>
        <v>521354.16666666599</v>
      </c>
      <c r="E201" s="288">
        <f t="shared" si="78"/>
        <v>16250000</v>
      </c>
      <c r="F201" s="288">
        <f t="shared" si="88"/>
        <v>16771354.166666666</v>
      </c>
      <c r="G201" s="288">
        <f t="shared" si="89"/>
        <v>97499999.999999851</v>
      </c>
    </row>
    <row r="202" spans="1:7" ht="15" customHeight="1">
      <c r="A202" s="21">
        <f t="shared" si="79"/>
        <v>43</v>
      </c>
      <c r="B202" s="288">
        <f t="shared" si="85"/>
        <v>97499999.999999851</v>
      </c>
      <c r="C202" s="63">
        <f t="shared" si="86"/>
        <v>0.22</v>
      </c>
      <c r="D202" s="288">
        <f t="shared" si="87"/>
        <v>446874.9999999993</v>
      </c>
      <c r="E202" s="288">
        <f t="shared" si="78"/>
        <v>16250000</v>
      </c>
      <c r="F202" s="288">
        <f t="shared" si="88"/>
        <v>16696875</v>
      </c>
      <c r="G202" s="288">
        <f t="shared" si="89"/>
        <v>81249999.999999851</v>
      </c>
    </row>
    <row r="203" spans="1:7" ht="15" customHeight="1">
      <c r="A203" s="21">
        <f t="shared" si="79"/>
        <v>44</v>
      </c>
      <c r="B203" s="288">
        <f t="shared" si="85"/>
        <v>81249999.999999851</v>
      </c>
      <c r="C203" s="63">
        <f t="shared" si="86"/>
        <v>0.22</v>
      </c>
      <c r="D203" s="288">
        <f t="shared" si="87"/>
        <v>372395.83333333262</v>
      </c>
      <c r="E203" s="288">
        <f t="shared" si="78"/>
        <v>16250000</v>
      </c>
      <c r="F203" s="288">
        <f t="shared" si="88"/>
        <v>16622395.833333332</v>
      </c>
      <c r="G203" s="288">
        <f t="shared" si="89"/>
        <v>64999999.999999851</v>
      </c>
    </row>
    <row r="204" spans="1:7" ht="15" customHeight="1">
      <c r="A204" s="21">
        <f t="shared" si="79"/>
        <v>45</v>
      </c>
      <c r="B204" s="288">
        <f t="shared" si="85"/>
        <v>64999999.999999851</v>
      </c>
      <c r="C204" s="63">
        <f t="shared" si="86"/>
        <v>0.22</v>
      </c>
      <c r="D204" s="288">
        <f t="shared" si="87"/>
        <v>297916.66666666599</v>
      </c>
      <c r="E204" s="288">
        <f t="shared" si="78"/>
        <v>16250000</v>
      </c>
      <c r="F204" s="288">
        <f t="shared" si="88"/>
        <v>16547916.666666666</v>
      </c>
      <c r="G204" s="288">
        <f t="shared" si="89"/>
        <v>48749999.999999851</v>
      </c>
    </row>
    <row r="205" spans="1:7" ht="15" customHeight="1">
      <c r="A205" s="21">
        <f t="shared" si="79"/>
        <v>46</v>
      </c>
      <c r="B205" s="288">
        <f t="shared" si="85"/>
        <v>48749999.999999851</v>
      </c>
      <c r="C205" s="63">
        <f t="shared" si="86"/>
        <v>0.22</v>
      </c>
      <c r="D205" s="288">
        <f t="shared" si="87"/>
        <v>223437.4999999993</v>
      </c>
      <c r="E205" s="288">
        <f t="shared" si="78"/>
        <v>16250000</v>
      </c>
      <c r="F205" s="288">
        <f t="shared" si="88"/>
        <v>16473437.5</v>
      </c>
      <c r="G205" s="288">
        <f t="shared" si="89"/>
        <v>32499999.999999851</v>
      </c>
    </row>
    <row r="206" spans="1:7" ht="15" customHeight="1">
      <c r="A206" s="21">
        <f t="shared" si="79"/>
        <v>47</v>
      </c>
      <c r="B206" s="288">
        <f t="shared" si="85"/>
        <v>32499999.999999851</v>
      </c>
      <c r="C206" s="63">
        <f t="shared" si="86"/>
        <v>0.22</v>
      </c>
      <c r="D206" s="288">
        <f t="shared" si="87"/>
        <v>148958.33333333264</v>
      </c>
      <c r="E206" s="288">
        <f t="shared" si="78"/>
        <v>16250000</v>
      </c>
      <c r="F206" s="288">
        <f t="shared" si="88"/>
        <v>16398958.333333332</v>
      </c>
      <c r="G206" s="288">
        <f t="shared" si="89"/>
        <v>16249999.999999851</v>
      </c>
    </row>
    <row r="207" spans="1:7" ht="15" customHeight="1">
      <c r="A207" s="21">
        <f t="shared" si="79"/>
        <v>48</v>
      </c>
      <c r="B207" s="288">
        <f t="shared" si="85"/>
        <v>16249999.999999851</v>
      </c>
      <c r="C207" s="63">
        <f t="shared" si="86"/>
        <v>0.22</v>
      </c>
      <c r="D207" s="288">
        <f t="shared" si="87"/>
        <v>74479.166666665988</v>
      </c>
      <c r="E207" s="288">
        <f t="shared" si="78"/>
        <v>16250000</v>
      </c>
      <c r="F207" s="288">
        <f t="shared" si="88"/>
        <v>16324479.166666666</v>
      </c>
      <c r="G207" s="288">
        <f t="shared" si="89"/>
        <v>-1.4901161193847656E-7</v>
      </c>
    </row>
  </sheetData>
  <mergeCells count="57">
    <mergeCell ref="A44:E44"/>
    <mergeCell ref="A56:E56"/>
    <mergeCell ref="A57:E57"/>
    <mergeCell ref="A58:E58"/>
    <mergeCell ref="Q45:R45"/>
    <mergeCell ref="A48:E48"/>
    <mergeCell ref="A55:E55"/>
    <mergeCell ref="A50:E50"/>
    <mergeCell ref="A54:E54"/>
    <mergeCell ref="A49:E49"/>
    <mergeCell ref="K49:O49"/>
    <mergeCell ref="A51:E51"/>
    <mergeCell ref="A52:E52"/>
    <mergeCell ref="A53:E53"/>
    <mergeCell ref="A59:E59"/>
    <mergeCell ref="A73:P74"/>
    <mergeCell ref="A75:P75"/>
    <mergeCell ref="A76:P76"/>
    <mergeCell ref="A62:E62"/>
    <mergeCell ref="A63:E63"/>
    <mergeCell ref="A60:E60"/>
    <mergeCell ref="A61:E61"/>
    <mergeCell ref="A41:E41"/>
    <mergeCell ref="A42:E42"/>
    <mergeCell ref="A35:E35"/>
    <mergeCell ref="A36:E36"/>
    <mergeCell ref="A37:E37"/>
    <mergeCell ref="A18:E18"/>
    <mergeCell ref="A15:E15"/>
    <mergeCell ref="A16:E16"/>
    <mergeCell ref="K16:O16"/>
    <mergeCell ref="A39:E39"/>
    <mergeCell ref="A12:E12"/>
    <mergeCell ref="K13:O14"/>
    <mergeCell ref="A13:E13"/>
    <mergeCell ref="A14:E14"/>
    <mergeCell ref="F16:J16"/>
    <mergeCell ref="R19:S19"/>
    <mergeCell ref="A34:E34"/>
    <mergeCell ref="A33:E33"/>
    <mergeCell ref="A22:E22"/>
    <mergeCell ref="A21:E21"/>
    <mergeCell ref="A26:E26"/>
    <mergeCell ref="A27:E27"/>
    <mergeCell ref="A28:E28"/>
    <mergeCell ref="A30:E30"/>
    <mergeCell ref="R34:AA34"/>
    <mergeCell ref="A23:E23"/>
    <mergeCell ref="A24:E24"/>
    <mergeCell ref="A25:E25"/>
    <mergeCell ref="A20:P20"/>
    <mergeCell ref="A32:E32"/>
    <mergeCell ref="Y11:AC11"/>
    <mergeCell ref="A10:P10"/>
    <mergeCell ref="S11:W11"/>
    <mergeCell ref="F11:J11"/>
    <mergeCell ref="K11:O11"/>
  </mergeCells>
  <pageMargins left="0.7" right="0.7" top="0.75" bottom="0.75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4:Q202"/>
  <sheetViews>
    <sheetView showGridLines="0" topLeftCell="A161" zoomScale="64" zoomScaleNormal="64" workbookViewId="0">
      <selection activeCell="H191" sqref="H191"/>
    </sheetView>
  </sheetViews>
  <sheetFormatPr baseColWidth="10" defaultColWidth="14.42578125" defaultRowHeight="15" customHeight="1"/>
  <cols>
    <col min="1" max="1" width="11.42578125" style="21" customWidth="1"/>
    <col min="2" max="2" width="8.140625" style="21" customWidth="1"/>
    <col min="3" max="3" width="15.42578125" style="21" customWidth="1"/>
    <col min="4" max="4" width="20.28515625" style="21" bestFit="1" customWidth="1"/>
    <col min="5" max="5" width="20.7109375" style="21" bestFit="1" customWidth="1"/>
    <col min="6" max="6" width="27" style="21" bestFit="1" customWidth="1"/>
    <col min="7" max="7" width="24.28515625" style="21" bestFit="1" customWidth="1"/>
    <col min="8" max="8" width="23.5703125" style="21" customWidth="1"/>
    <col min="9" max="9" width="23.85546875" style="21" bestFit="1" customWidth="1"/>
    <col min="10" max="10" width="26.7109375" style="21" bestFit="1" customWidth="1"/>
    <col min="11" max="11" width="24.7109375" style="21" bestFit="1" customWidth="1"/>
    <col min="12" max="12" width="30.7109375" style="21" bestFit="1" customWidth="1"/>
    <col min="13" max="13" width="12.5703125" style="21" customWidth="1"/>
    <col min="14" max="14" width="24.42578125" style="21" bestFit="1" customWidth="1"/>
    <col min="15" max="15" width="11.42578125" style="21" customWidth="1"/>
    <col min="16" max="16" width="14" style="21" customWidth="1"/>
    <col min="17" max="17" width="11.42578125" style="21" customWidth="1"/>
    <col min="18" max="20" width="10.7109375" style="21" customWidth="1"/>
    <col min="21" max="16384" width="14.42578125" style="21"/>
  </cols>
  <sheetData>
    <row r="4" spans="1:17" ht="15" customHeight="1">
      <c r="A4" s="40" t="s">
        <v>274</v>
      </c>
      <c r="B4" s="13"/>
      <c r="C4" s="13"/>
      <c r="D4" s="13"/>
      <c r="E4" s="13"/>
      <c r="F4" s="13"/>
    </row>
    <row r="5" spans="1:17" ht="15" customHeight="1">
      <c r="A5" s="41" t="s">
        <v>273</v>
      </c>
      <c r="B5" s="13"/>
      <c r="C5" s="13"/>
      <c r="D5" s="13"/>
      <c r="E5" s="13"/>
      <c r="F5" s="13"/>
    </row>
    <row r="6" spans="1:17" ht="15.75">
      <c r="A6" s="378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</row>
    <row r="7" spans="1:17" ht="15.75">
      <c r="A7" s="319"/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</row>
    <row r="8" spans="1:17" ht="15.75">
      <c r="A8" s="37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</row>
    <row r="9" spans="1:17" ht="15.75">
      <c r="A9" s="379"/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</row>
    <row r="10" spans="1:17" ht="15.75">
      <c r="A10" s="379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</row>
    <row r="11" spans="1:17" ht="15.75">
      <c r="A11" s="379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</row>
    <row r="12" spans="1:17" ht="31.5">
      <c r="A12" s="383" t="s">
        <v>147</v>
      </c>
      <c r="B12" s="304"/>
      <c r="C12" s="304"/>
      <c r="D12" s="304"/>
      <c r="E12" s="304"/>
      <c r="F12" s="176">
        <f>Proyecciones!J11</f>
        <v>2022</v>
      </c>
      <c r="I12" s="224" t="s">
        <v>148</v>
      </c>
      <c r="J12" s="96" t="s">
        <v>149</v>
      </c>
      <c r="K12" s="96" t="s">
        <v>150</v>
      </c>
      <c r="L12" s="96" t="s">
        <v>151</v>
      </c>
      <c r="M12" s="224" t="s">
        <v>152</v>
      </c>
      <c r="N12" s="224" t="s">
        <v>153</v>
      </c>
      <c r="O12" s="96"/>
    </row>
    <row r="13" spans="1:17" ht="17.25">
      <c r="A13" s="384" t="s">
        <v>289</v>
      </c>
      <c r="B13" s="314"/>
      <c r="C13" s="314"/>
      <c r="D13" s="314"/>
      <c r="E13" s="314"/>
      <c r="F13" s="24">
        <f>AVERAGE(K13:K22)</f>
        <v>2.5918688403144374E-2</v>
      </c>
      <c r="G13" s="326"/>
      <c r="H13" s="98"/>
      <c r="I13" s="27">
        <v>2012</v>
      </c>
      <c r="J13" s="34">
        <v>0.15890585241730293</v>
      </c>
      <c r="K13" s="34">
        <v>2.971571978018946E-2</v>
      </c>
      <c r="L13" s="34">
        <v>1.7410200000000001E-2</v>
      </c>
      <c r="M13" s="34">
        <v>2.4400000000000002E-2</v>
      </c>
      <c r="N13" s="34">
        <v>1.12E-2</v>
      </c>
      <c r="O13" s="77"/>
      <c r="P13" s="34"/>
    </row>
    <row r="14" spans="1:17" ht="15.75">
      <c r="A14" s="384" t="s">
        <v>154</v>
      </c>
      <c r="B14" s="314"/>
      <c r="C14" s="314"/>
      <c r="D14" s="314"/>
      <c r="E14" s="314"/>
      <c r="F14" s="24">
        <f>AVERAGE(L13:L22)</f>
        <v>2.1469769999999999E-2</v>
      </c>
      <c r="G14" s="319"/>
      <c r="H14" s="98"/>
      <c r="I14" s="27">
        <v>2013</v>
      </c>
      <c r="J14" s="34">
        <v>0.32145085858125483</v>
      </c>
      <c r="K14" s="34">
        <v>-9.104568794347262E-2</v>
      </c>
      <c r="L14" s="34">
        <v>1.50174E-2</v>
      </c>
      <c r="M14" s="34">
        <v>1.9400000000000001E-2</v>
      </c>
      <c r="N14" s="34">
        <v>1.6299999999999999E-2</v>
      </c>
      <c r="O14" s="77"/>
    </row>
    <row r="15" spans="1:17" ht="15.75">
      <c r="A15" s="384" t="s">
        <v>290</v>
      </c>
      <c r="B15" s="314"/>
      <c r="C15" s="314"/>
      <c r="D15" s="314"/>
      <c r="E15" s="314"/>
      <c r="F15" s="24">
        <f>(1+F13)/(1+F14)-1</f>
        <v>4.3554087784158924E-3</v>
      </c>
      <c r="G15" s="319"/>
      <c r="H15" s="98"/>
      <c r="I15" s="27">
        <v>2014</v>
      </c>
      <c r="J15" s="34">
        <v>0.13524421649462237</v>
      </c>
      <c r="K15" s="34">
        <v>0.10746180452004755</v>
      </c>
      <c r="L15" s="34">
        <v>7.5649000000000003E-3</v>
      </c>
      <c r="M15" s="34">
        <v>3.6600000000000001E-2</v>
      </c>
      <c r="N15" s="34">
        <v>1.9599999999999999E-2</v>
      </c>
      <c r="O15" s="77"/>
    </row>
    <row r="16" spans="1:17" ht="15.75">
      <c r="G16" s="319"/>
      <c r="H16" s="98"/>
      <c r="I16" s="27">
        <v>2015</v>
      </c>
      <c r="J16" s="34">
        <v>1.3788916411676138E-2</v>
      </c>
      <c r="K16" s="34">
        <v>1.2842996709792224E-2</v>
      </c>
      <c r="L16" s="34">
        <v>7.2951999999999991E-3</v>
      </c>
      <c r="M16" s="34">
        <v>6.7699999999999996E-2</v>
      </c>
      <c r="N16" s="34">
        <v>3.1699999999999999E-2</v>
      </c>
      <c r="O16" s="77"/>
    </row>
    <row r="17" spans="1:15" ht="15.75">
      <c r="A17" s="384" t="s">
        <v>155</v>
      </c>
      <c r="B17" s="314"/>
      <c r="C17" s="314"/>
      <c r="D17" s="314"/>
      <c r="E17" s="314"/>
      <c r="F17" s="24">
        <f>AVERAGE(M13:M22)</f>
        <v>3.884E-2</v>
      </c>
      <c r="G17" s="319"/>
      <c r="H17" s="98"/>
      <c r="I17" s="27">
        <v>2016</v>
      </c>
      <c r="J17" s="34">
        <v>0.11773080874798171</v>
      </c>
      <c r="K17" s="34">
        <v>6.9055046987477921E-3</v>
      </c>
      <c r="L17" s="34">
        <v>2.0746199999999999E-2</v>
      </c>
      <c r="M17" s="34">
        <v>5.7500000000000002E-2</v>
      </c>
      <c r="N17" s="34">
        <v>2.2499999999999999E-2</v>
      </c>
      <c r="O17" s="77"/>
    </row>
    <row r="18" spans="1:15" ht="15.75">
      <c r="A18" s="384" t="s">
        <v>291</v>
      </c>
      <c r="B18" s="314"/>
      <c r="C18" s="314"/>
      <c r="D18" s="314"/>
      <c r="E18" s="314"/>
      <c r="F18" s="61">
        <f>((1+F15)*(1+F17))-1</f>
        <v>4.3364572855369543E-2</v>
      </c>
      <c r="G18" s="319"/>
      <c r="H18" s="98"/>
      <c r="I18" s="27">
        <v>2017</v>
      </c>
      <c r="J18" s="34">
        <v>0.2160548143449928</v>
      </c>
      <c r="K18" s="34">
        <v>2.8017162707789457E-2</v>
      </c>
      <c r="L18" s="34">
        <v>2.10908E-2</v>
      </c>
      <c r="M18" s="34">
        <v>4.0899999999999999E-2</v>
      </c>
      <c r="N18" s="34">
        <v>1.7299999999999999E-2</v>
      </c>
      <c r="O18" s="77"/>
    </row>
    <row r="19" spans="1:15" ht="15.75">
      <c r="A19" s="15"/>
      <c r="B19" s="15"/>
      <c r="C19" s="15"/>
      <c r="D19" s="15"/>
      <c r="E19" s="15"/>
      <c r="F19" s="15"/>
      <c r="G19" s="15"/>
      <c r="I19" s="27">
        <v>2018</v>
      </c>
      <c r="J19" s="34">
        <v>-4.2268692890885438E-2</v>
      </c>
      <c r="K19" s="34">
        <v>-1.6692385713402633E-4</v>
      </c>
      <c r="L19" s="34">
        <v>1.91016E-2</v>
      </c>
      <c r="M19" s="34">
        <v>3.1800000000000002E-2</v>
      </c>
      <c r="N19" s="34">
        <v>2.2800000000000001E-2</v>
      </c>
      <c r="O19" s="77"/>
    </row>
    <row r="20" spans="1:15" ht="15.75">
      <c r="A20" s="382" t="s">
        <v>156</v>
      </c>
      <c r="B20" s="317"/>
      <c r="C20" s="317"/>
      <c r="D20" s="317"/>
      <c r="E20" s="317"/>
      <c r="F20" s="225">
        <f>AVERAGE(N13:N22)</f>
        <v>2.1389999999999999E-2</v>
      </c>
      <c r="G20" s="327"/>
      <c r="H20" s="98"/>
      <c r="I20" s="27">
        <v>2019</v>
      </c>
      <c r="J20" s="34">
        <v>0.3221</v>
      </c>
      <c r="K20" s="34">
        <v>9.6356307415483927E-2</v>
      </c>
      <c r="L20" s="34">
        <v>2.2851300000000001E-2</v>
      </c>
      <c r="M20" s="34">
        <v>3.7999999999999999E-2</v>
      </c>
      <c r="N20" s="34">
        <v>1.66E-2</v>
      </c>
      <c r="O20" s="77"/>
    </row>
    <row r="21" spans="1:15" ht="15.75">
      <c r="A21" s="331"/>
      <c r="B21" s="319"/>
      <c r="C21" s="319"/>
      <c r="D21" s="319"/>
      <c r="E21" s="319"/>
      <c r="F21" s="319"/>
      <c r="G21" s="319"/>
      <c r="I21" s="27">
        <v>2020</v>
      </c>
      <c r="J21" s="34">
        <v>0.1802</v>
      </c>
      <c r="K21" s="34">
        <v>0.1133</v>
      </c>
      <c r="L21" s="34">
        <v>1.36201E-2</v>
      </c>
      <c r="M21" s="34">
        <v>1.61E-2</v>
      </c>
      <c r="N21" s="34">
        <v>2.06E-2</v>
      </c>
      <c r="O21" s="77"/>
    </row>
    <row r="22" spans="1:15" ht="15.75">
      <c r="G22" s="15"/>
      <c r="I22" s="27">
        <v>2021</v>
      </c>
      <c r="J22" s="34">
        <v>0.28470000000000001</v>
      </c>
      <c r="K22" s="34">
        <v>-4.4200000000000003E-2</v>
      </c>
      <c r="L22" s="34">
        <v>7.0000000000000007E-2</v>
      </c>
      <c r="M22" s="34">
        <v>5.6000000000000001E-2</v>
      </c>
      <c r="N22" s="34">
        <v>3.5299999999999998E-2</v>
      </c>
      <c r="O22" s="77"/>
    </row>
    <row r="23" spans="1:15" ht="17.25">
      <c r="A23" s="380" t="s">
        <v>292</v>
      </c>
      <c r="B23" s="314"/>
      <c r="C23" s="314"/>
      <c r="D23" s="314"/>
      <c r="E23" s="314"/>
      <c r="F23" s="24">
        <f>AVERAGE(J13:J22)</f>
        <v>0.17079067741069451</v>
      </c>
      <c r="G23" s="337"/>
      <c r="H23" s="98"/>
      <c r="O23" s="77"/>
    </row>
    <row r="24" spans="1:15" ht="15.75" customHeight="1">
      <c r="A24" s="381" t="s">
        <v>154</v>
      </c>
      <c r="B24" s="314"/>
      <c r="C24" s="314"/>
      <c r="D24" s="314"/>
      <c r="E24" s="314"/>
      <c r="F24" s="100">
        <f>+F14</f>
        <v>2.1469769999999999E-2</v>
      </c>
      <c r="G24" s="319"/>
      <c r="H24" s="98"/>
    </row>
    <row r="25" spans="1:15" ht="15.75" customHeight="1">
      <c r="A25" s="381" t="s">
        <v>293</v>
      </c>
      <c r="B25" s="314"/>
      <c r="C25" s="314"/>
      <c r="D25" s="314"/>
      <c r="E25" s="314"/>
      <c r="F25" s="61">
        <f>((1+F23)/(1+F24))-1</f>
        <v>0.14618240480155809</v>
      </c>
      <c r="G25" s="319"/>
      <c r="H25" s="98"/>
    </row>
    <row r="26" spans="1:15" ht="15.75" customHeight="1">
      <c r="G26" s="319"/>
      <c r="H26" s="98"/>
    </row>
    <row r="27" spans="1:15" ht="15.75" customHeight="1">
      <c r="A27" s="381" t="s">
        <v>155</v>
      </c>
      <c r="B27" s="314"/>
      <c r="C27" s="314"/>
      <c r="D27" s="314"/>
      <c r="E27" s="314"/>
      <c r="F27" s="24">
        <f>+F17</f>
        <v>3.884E-2</v>
      </c>
      <c r="G27" s="319"/>
      <c r="H27" s="98"/>
    </row>
    <row r="28" spans="1:15" ht="15.75" customHeight="1">
      <c r="A28" s="381" t="s">
        <v>288</v>
      </c>
      <c r="B28" s="314"/>
      <c r="C28" s="314"/>
      <c r="D28" s="314"/>
      <c r="E28" s="314"/>
      <c r="F28" s="61">
        <f>((1+F25)*(1+F27))-1</f>
        <v>0.19070012940405068</v>
      </c>
      <c r="G28" s="319"/>
      <c r="H28" s="98"/>
    </row>
    <row r="29" spans="1:15" ht="15.75" customHeight="1">
      <c r="G29" s="15"/>
    </row>
    <row r="30" spans="1:15" ht="15.75" customHeight="1">
      <c r="A30" s="292" t="s">
        <v>294</v>
      </c>
      <c r="B30" s="298"/>
      <c r="C30" s="298"/>
      <c r="D30" s="298"/>
      <c r="E30" s="298"/>
      <c r="F30" s="101">
        <f>F28-F18</f>
        <v>0.14733555654868113</v>
      </c>
      <c r="G30" s="15"/>
      <c r="H30" s="98"/>
    </row>
    <row r="31" spans="1:15" ht="15.75" customHeight="1">
      <c r="G31" s="15"/>
    </row>
    <row r="32" spans="1:15" ht="15.75" customHeight="1">
      <c r="G32" s="15"/>
    </row>
    <row r="33" spans="1:11" ht="15.75" customHeight="1">
      <c r="A33" s="375" t="s">
        <v>157</v>
      </c>
      <c r="B33" s="376"/>
      <c r="C33" s="376"/>
      <c r="D33" s="376"/>
      <c r="E33" s="376"/>
      <c r="F33" s="99">
        <v>0.61</v>
      </c>
      <c r="G33" s="102" t="s">
        <v>158</v>
      </c>
    </row>
    <row r="34" spans="1:11" ht="15.75" customHeight="1"/>
    <row r="35" spans="1:11" ht="15.75" customHeight="1">
      <c r="F35" s="67">
        <f>Proyecciones!J24</f>
        <v>2022</v>
      </c>
      <c r="G35" s="67">
        <f>Proyecciones!K24</f>
        <v>2023</v>
      </c>
      <c r="H35" s="67">
        <f>Proyecciones!L24</f>
        <v>2024</v>
      </c>
      <c r="I35" s="67">
        <f>Proyecciones!M24</f>
        <v>2025</v>
      </c>
      <c r="J35" s="67">
        <f>Proyecciones!N24</f>
        <v>2026</v>
      </c>
    </row>
    <row r="36" spans="1:11" ht="15.75" customHeight="1">
      <c r="A36" s="372" t="s">
        <v>353</v>
      </c>
      <c r="B36" s="298"/>
      <c r="C36" s="298"/>
      <c r="D36" s="298"/>
      <c r="E36" s="298"/>
      <c r="F36" s="43">
        <f>+Proyecciones!J36+Proyecciones!J40</f>
        <v>4144221467</v>
      </c>
      <c r="G36" s="43">
        <f>+Proyecciones!K36+Proyecciones!K40</f>
        <v>4764818631.6832504</v>
      </c>
      <c r="H36" s="43">
        <f>+Proyecciones!L36+Proyecciones!L40</f>
        <v>5392464365.9417257</v>
      </c>
      <c r="I36" s="43">
        <f>+Proyecciones!M36+Proyecciones!M40</f>
        <v>5967840313.7877083</v>
      </c>
      <c r="J36" s="43">
        <f>+Proyecciones!N36+Proyecciones!N40</f>
        <v>6422888137.7140207</v>
      </c>
    </row>
    <row r="37" spans="1:11" ht="15.75" customHeight="1">
      <c r="A37" s="372" t="s">
        <v>354</v>
      </c>
      <c r="B37" s="298"/>
      <c r="C37" s="298"/>
      <c r="D37" s="298"/>
      <c r="E37" s="298"/>
      <c r="F37" s="43">
        <f>+Proyecciones!J45</f>
        <v>3608372974</v>
      </c>
      <c r="G37" s="43">
        <f>+Proyecciones!K45</f>
        <v>4148726826.8565001</v>
      </c>
      <c r="H37" s="43">
        <f>+Proyecciones!L45</f>
        <v>4695217868.1241722</v>
      </c>
      <c r="I37" s="43">
        <f>+Proyecciones!M45</f>
        <v>5196197614.6530218</v>
      </c>
      <c r="J37" s="43">
        <f>+Proyecciones!N45</f>
        <v>5592407682.7703142</v>
      </c>
    </row>
    <row r="38" spans="1:11" ht="15.75" customHeight="1">
      <c r="A38" s="372" t="s">
        <v>295</v>
      </c>
      <c r="B38" s="298"/>
      <c r="C38" s="298"/>
      <c r="D38" s="298"/>
      <c r="E38" s="298"/>
      <c r="F38" s="105">
        <f>$F$33*(1+(1-('Proyecciones + Estrategia'!K62/'Proyecciones + Estrategia'!K61))*('Valoración + Estrategia'!F36/'Valoración + Estrategia'!F37))</f>
        <v>1.0733066702393872</v>
      </c>
      <c r="G38" s="105">
        <f>$F$33*(1+(1-('Proyecciones + Estrategia'!L62/'Proyecciones + Estrategia'!L61))*('Valoración + Estrategia'!G36/'Valoración + Estrategia'!G37))</f>
        <v>1.1294060195473095</v>
      </c>
      <c r="H38" s="105">
        <f>$F$33*(1+(1-('Proyecciones + Estrategia'!M62/'Proyecciones + Estrategia'!M61))*('Valoración + Estrategia'!H36/'Valoración + Estrategia'!H37))</f>
        <v>1.162106228043055</v>
      </c>
      <c r="I38" s="105">
        <f>$F$33*(1+(1-('Proyecciones + Estrategia'!N62/'Proyecciones + Estrategia'!N61))*('Valoración + Estrategia'!I36/'Valoración + Estrategia'!I37))</f>
        <v>1.1537396187155613</v>
      </c>
      <c r="J38" s="105">
        <f>$F$33*(1+(1-('Proyecciones + Estrategia'!O62/'Proyecciones + Estrategia'!O61))*('Valoración + Estrategia'!J36/'Valoración + Estrategia'!J37))</f>
        <v>1.1483969070343152</v>
      </c>
      <c r="K38" s="21" t="s">
        <v>249</v>
      </c>
    </row>
    <row r="39" spans="1:11" ht="15.75" customHeight="1"/>
    <row r="40" spans="1:11" ht="15.75" customHeight="1">
      <c r="A40" s="372" t="s">
        <v>296</v>
      </c>
      <c r="B40" s="298"/>
      <c r="C40" s="298"/>
      <c r="D40" s="298"/>
      <c r="E40" s="298"/>
      <c r="F40" s="33">
        <f t="shared" ref="F40:J40" si="0">$F$18+($F$28-$F$18)*F38+$F$20</f>
        <v>0.22289080846250142</v>
      </c>
      <c r="G40" s="33">
        <f t="shared" si="0"/>
        <v>0.23115623731480303</v>
      </c>
      <c r="H40" s="33">
        <f t="shared" si="0"/>
        <v>0.23597414073278158</v>
      </c>
      <c r="I40" s="33">
        <f t="shared" si="0"/>
        <v>0.23474144169108993</v>
      </c>
      <c r="J40" s="33">
        <f t="shared" si="0"/>
        <v>0.2339542702920544</v>
      </c>
    </row>
    <row r="41" spans="1:11" ht="15.75" customHeight="1"/>
    <row r="42" spans="1:11" ht="15.75" customHeight="1"/>
    <row r="43" spans="1:11" ht="15.75" customHeight="1">
      <c r="A43" s="372" t="s">
        <v>297</v>
      </c>
      <c r="B43" s="298"/>
      <c r="C43" s="298"/>
      <c r="D43" s="298"/>
      <c r="E43" s="298"/>
      <c r="F43" s="34">
        <f t="shared" ref="F43:J43" si="1">+F36/(F36+F37)</f>
        <v>0.5345593012170311</v>
      </c>
      <c r="G43" s="34">
        <f t="shared" si="1"/>
        <v>0.5345593012170311</v>
      </c>
      <c r="H43" s="34">
        <f t="shared" si="1"/>
        <v>0.5345593012170311</v>
      </c>
      <c r="I43" s="34">
        <f t="shared" si="1"/>
        <v>0.5345593012170311</v>
      </c>
      <c r="J43" s="34">
        <f t="shared" si="1"/>
        <v>0.5345593012170311</v>
      </c>
    </row>
    <row r="44" spans="1:11" ht="15.75" customHeight="1">
      <c r="A44" s="372" t="s">
        <v>298</v>
      </c>
      <c r="B44" s="298"/>
      <c r="C44" s="298"/>
      <c r="D44" s="298"/>
      <c r="E44" s="298"/>
      <c r="F44" s="34">
        <f t="shared" ref="F44:J44" si="2">F37/(F36+F37)</f>
        <v>0.4654406987829689</v>
      </c>
      <c r="G44" s="34">
        <f t="shared" si="2"/>
        <v>0.46544069878296884</v>
      </c>
      <c r="H44" s="34">
        <f t="shared" si="2"/>
        <v>0.46544069878296884</v>
      </c>
      <c r="I44" s="34">
        <f t="shared" si="2"/>
        <v>0.46544069878296884</v>
      </c>
      <c r="J44" s="34">
        <f t="shared" si="2"/>
        <v>0.4654406987829689</v>
      </c>
    </row>
    <row r="45" spans="1:11" ht="15.75" customHeight="1">
      <c r="A45" s="377" t="s">
        <v>299</v>
      </c>
      <c r="B45" s="298"/>
      <c r="C45" s="298"/>
      <c r="D45" s="298"/>
      <c r="E45" s="298"/>
      <c r="F45" s="33">
        <f t="shared" ref="F45:J45" si="3">F43+F44</f>
        <v>1</v>
      </c>
      <c r="G45" s="33">
        <f t="shared" si="3"/>
        <v>1</v>
      </c>
      <c r="H45" s="33">
        <f t="shared" si="3"/>
        <v>1</v>
      </c>
      <c r="I45" s="33">
        <f t="shared" si="3"/>
        <v>1</v>
      </c>
      <c r="J45" s="33">
        <f t="shared" si="3"/>
        <v>1</v>
      </c>
    </row>
    <row r="46" spans="1:11" ht="15.75" customHeight="1"/>
    <row r="47" spans="1:11" ht="15.75" customHeight="1">
      <c r="A47" s="372" t="s">
        <v>300</v>
      </c>
      <c r="B47" s="298"/>
      <c r="C47" s="298"/>
      <c r="D47" s="298"/>
      <c r="E47" s="298"/>
      <c r="F47" s="34">
        <f>+Proyecciones!X16*(1-('Proyecciones + Estrategia'!J62/'Proyecciones + Estrategia'!J61))</f>
        <v>0.15924410839504075</v>
      </c>
      <c r="G47" s="34">
        <f>+Proyecciones!Y16*(1-('Proyecciones + Estrategia'!K62/'Proyecciones + Estrategia'!K61))</f>
        <v>9.8860149254528892E-2</v>
      </c>
      <c r="H47" s="34">
        <f>+Proyecciones!Z16*(1-('Proyecciones + Estrategia'!L62/'Proyecciones + Estrategia'!L61))</f>
        <v>8.790094975044617E-2</v>
      </c>
      <c r="I47" s="34">
        <f>+Proyecciones!AA16*(1-('Proyecciones + Estrategia'!M62/'Proyecciones + Estrategia'!M61))</f>
        <v>6.4999486970238163E-2</v>
      </c>
      <c r="J47" s="34">
        <f>+Proyecciones!AB16*(1-('Proyecciones + Estrategia'!N62/'Proyecciones + Estrategia'!N61))</f>
        <v>6.0013839088144949E-2</v>
      </c>
    </row>
    <row r="48" spans="1:11" ht="15.75" customHeight="1">
      <c r="I48" s="27"/>
      <c r="J48" s="27"/>
      <c r="K48" s="27"/>
    </row>
    <row r="49" spans="1:12" ht="15.75" customHeight="1">
      <c r="A49" s="372" t="s">
        <v>301</v>
      </c>
      <c r="B49" s="298"/>
      <c r="C49" s="298"/>
      <c r="D49" s="298"/>
      <c r="E49" s="298"/>
      <c r="F49" s="34">
        <f t="shared" ref="F49:J49" si="4">F43*F47</f>
        <v>8.5125419306582142E-2</v>
      </c>
      <c r="G49" s="34">
        <f t="shared" si="4"/>
        <v>5.2846612303712362E-2</v>
      </c>
      <c r="H49" s="34">
        <f t="shared" si="4"/>
        <v>4.698827027491187E-2</v>
      </c>
      <c r="I49" s="34">
        <f t="shared" si="4"/>
        <v>3.4746080334276029E-2</v>
      </c>
      <c r="J49" s="34">
        <f t="shared" si="4"/>
        <v>3.208095588631011E-2</v>
      </c>
    </row>
    <row r="50" spans="1:12" ht="15.75" customHeight="1">
      <c r="A50" s="372" t="s">
        <v>302</v>
      </c>
      <c r="B50" s="298"/>
      <c r="C50" s="298"/>
      <c r="D50" s="298"/>
      <c r="E50" s="298"/>
      <c r="F50" s="34">
        <f t="shared" ref="F50:J50" si="5">F44*F40</f>
        <v>0.10374245364308754</v>
      </c>
      <c r="G50" s="34">
        <f t="shared" si="5"/>
        <v>0.10758952062384371</v>
      </c>
      <c r="H50" s="34">
        <f t="shared" si="5"/>
        <v>0.10983196895737649</v>
      </c>
      <c r="I50" s="34">
        <f t="shared" si="5"/>
        <v>0.10925822065402244</v>
      </c>
      <c r="J50" s="34">
        <f t="shared" si="5"/>
        <v>0.10889183904799338</v>
      </c>
    </row>
    <row r="51" spans="1:12" ht="15.75" customHeight="1">
      <c r="A51" s="377" t="s">
        <v>160</v>
      </c>
      <c r="B51" s="298"/>
      <c r="C51" s="298"/>
      <c r="D51" s="298"/>
      <c r="E51" s="298"/>
      <c r="F51" s="33">
        <f t="shared" ref="F51:J51" si="6">F49+F50</f>
        <v>0.18886787294966967</v>
      </c>
      <c r="G51" s="33">
        <f t="shared" si="6"/>
        <v>0.16043613292755607</v>
      </c>
      <c r="H51" s="33">
        <f t="shared" si="6"/>
        <v>0.15682023923228836</v>
      </c>
      <c r="I51" s="33">
        <f t="shared" si="6"/>
        <v>0.14400430098829847</v>
      </c>
      <c r="J51" s="33">
        <f t="shared" si="6"/>
        <v>0.14097279493430348</v>
      </c>
    </row>
    <row r="52" spans="1:12" ht="15.75" customHeight="1">
      <c r="E52" s="33"/>
      <c r="F52" s="27"/>
      <c r="G52" s="27"/>
      <c r="H52" s="27"/>
      <c r="I52" s="27"/>
      <c r="J52" s="27"/>
      <c r="L52" s="34"/>
    </row>
    <row r="53" spans="1:12" ht="15.75" customHeight="1">
      <c r="A53" s="23"/>
      <c r="B53" s="23"/>
      <c r="C53" s="23"/>
      <c r="D53" s="290"/>
      <c r="E53" s="298"/>
      <c r="F53" s="33"/>
      <c r="G53" s="33"/>
      <c r="H53" s="33"/>
      <c r="I53" s="33"/>
      <c r="J53" s="33"/>
    </row>
    <row r="54" spans="1:12" ht="15" customHeight="1">
      <c r="A54" s="368" t="s">
        <v>161</v>
      </c>
      <c r="B54" s="298"/>
      <c r="C54" s="298"/>
      <c r="D54" s="298"/>
      <c r="E54" s="298"/>
      <c r="F54" s="298"/>
      <c r="G54" s="298"/>
      <c r="H54" s="298"/>
      <c r="I54" s="298"/>
      <c r="J54" s="298"/>
      <c r="K54" s="106"/>
      <c r="L54" s="106"/>
    </row>
    <row r="55" spans="1:12" ht="15.75" customHeight="1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106"/>
      <c r="L55" s="106"/>
    </row>
    <row r="56" spans="1:12" ht="15.75" customHeight="1"/>
    <row r="57" spans="1:12" ht="15.75" customHeight="1">
      <c r="A57" s="26"/>
      <c r="B57" s="368"/>
      <c r="C57" s="298"/>
      <c r="D57" s="298"/>
      <c r="E57" s="298"/>
      <c r="F57" s="226">
        <f>Proyecciones!K11</f>
        <v>2023</v>
      </c>
      <c r="G57" s="226">
        <f>Proyecciones!L11</f>
        <v>2024</v>
      </c>
      <c r="H57" s="226">
        <f>Proyecciones!M11</f>
        <v>2025</v>
      </c>
      <c r="I57" s="226">
        <f>Proyecciones!N11</f>
        <v>2026</v>
      </c>
      <c r="J57" s="226">
        <f>Proyecciones!O11</f>
        <v>2027</v>
      </c>
      <c r="K57" s="109"/>
    </row>
    <row r="58" spans="1:12" ht="15.75" customHeight="1">
      <c r="A58" s="26"/>
      <c r="B58" s="371" t="s">
        <v>111</v>
      </c>
      <c r="C58" s="298"/>
      <c r="D58" s="298"/>
      <c r="E58" s="298"/>
      <c r="F58" s="218">
        <f>'Proyecciones + Estrategia'!K100</f>
        <v>1132630932.3063211</v>
      </c>
      <c r="G58" s="218">
        <f>'Proyecciones + Estrategia'!L100</f>
        <v>1885754926.3007975</v>
      </c>
      <c r="H58" s="218">
        <f>'Proyecciones + Estrategia'!M100</f>
        <v>2712865207.8836823</v>
      </c>
      <c r="I58" s="218">
        <f>'Proyecciones + Estrategia'!N100</f>
        <v>2728623013.3005075</v>
      </c>
      <c r="J58" s="218">
        <f>'Proyecciones + Estrategia'!O100</f>
        <v>2833298305.4469819</v>
      </c>
      <c r="K58" s="109"/>
    </row>
    <row r="59" spans="1:12" ht="15.75" customHeight="1">
      <c r="A59" s="111"/>
      <c r="B59" s="371" t="s">
        <v>112</v>
      </c>
      <c r="C59" s="298"/>
      <c r="D59" s="298"/>
      <c r="E59" s="298"/>
      <c r="F59" s="219">
        <f>+'Proyecciones + Estrategia'!K101</f>
        <v>580068820.16753542</v>
      </c>
      <c r="G59" s="219">
        <f>+'Proyecciones + Estrategia'!L101</f>
        <v>657791342.27511227</v>
      </c>
      <c r="H59" s="219">
        <f>+'Proyecciones + Estrategia'!M101</f>
        <v>729579229.38855755</v>
      </c>
      <c r="I59" s="219">
        <f>+'Proyecciones + Estrategia'!N101</f>
        <v>787094148.77894568</v>
      </c>
      <c r="J59" s="219">
        <f>+'Proyecciones + Estrategia'!O101</f>
        <v>853514737.48589861</v>
      </c>
      <c r="K59" s="113"/>
    </row>
    <row r="60" spans="1:12" ht="15.75" customHeight="1">
      <c r="A60" s="111"/>
      <c r="B60" s="371" t="s">
        <v>113</v>
      </c>
      <c r="C60" s="298"/>
      <c r="D60" s="298"/>
      <c r="E60" s="298"/>
      <c r="F60" s="219">
        <f>+'Proyecciones + Estrategia'!K102</f>
        <v>1474525060.839854</v>
      </c>
      <c r="G60" s="219">
        <f>+'Proyecciones + Estrategia'!L102</f>
        <v>1672094388.2279418</v>
      </c>
      <c r="H60" s="219">
        <f>+'Proyecciones + Estrategia'!M102</f>
        <v>1854577974.5426571</v>
      </c>
      <c r="I60" s="219">
        <f>+'Proyecciones + Estrategia'!N102</f>
        <v>2000779920.0097783</v>
      </c>
      <c r="J60" s="219">
        <f>+'Proyecciones + Estrategia'!O102</f>
        <v>2169619925.1937351</v>
      </c>
      <c r="K60" s="113"/>
    </row>
    <row r="61" spans="1:12" ht="15.75" customHeight="1">
      <c r="A61" s="111"/>
      <c r="B61" s="373" t="s">
        <v>114</v>
      </c>
      <c r="C61" s="298"/>
      <c r="D61" s="298"/>
      <c r="E61" s="298"/>
      <c r="F61" s="220">
        <f t="shared" ref="F61:J61" si="7">+F58+F59+F60</f>
        <v>3187224813.3137102</v>
      </c>
      <c r="G61" s="220">
        <f t="shared" si="7"/>
        <v>4215640656.8038511</v>
      </c>
      <c r="H61" s="220">
        <f t="shared" si="7"/>
        <v>5297022411.8148966</v>
      </c>
      <c r="I61" s="220">
        <f t="shared" si="7"/>
        <v>5516497082.0892315</v>
      </c>
      <c r="J61" s="220">
        <f t="shared" si="7"/>
        <v>5856432968.1266155</v>
      </c>
      <c r="K61" s="115"/>
    </row>
    <row r="62" spans="1:12" ht="15.75" customHeight="1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</row>
    <row r="63" spans="1:12" ht="23.25" customHeight="1">
      <c r="A63" s="111"/>
      <c r="B63" s="374" t="s">
        <v>115</v>
      </c>
      <c r="C63" s="298"/>
      <c r="D63" s="298"/>
      <c r="E63" s="298"/>
      <c r="F63" s="219">
        <f>+'Proyecciones + Estrategia'!K105</f>
        <v>1079471013.17503</v>
      </c>
      <c r="G63" s="219">
        <f>+'Proyecciones + Estrategia'!L105</f>
        <v>1090214854.9242256</v>
      </c>
      <c r="H63" s="219">
        <f>+'Proyecciones + Estrategia'!M105</f>
        <v>1122631780.9004643</v>
      </c>
      <c r="I63" s="219">
        <f>+'Proyecciones + Estrategia'!N105</f>
        <v>1235026134.0421314</v>
      </c>
      <c r="J63" s="219">
        <f>+'Proyecciones + Estrategia'!O105</f>
        <v>1355792059.2083981</v>
      </c>
      <c r="K63" s="113"/>
    </row>
    <row r="64" spans="1:12" ht="15.75" customHeight="1">
      <c r="A64" s="111"/>
      <c r="B64" s="369" t="s">
        <v>116</v>
      </c>
      <c r="C64" s="298"/>
      <c r="D64" s="298"/>
      <c r="E64" s="298"/>
      <c r="F64" s="220">
        <f t="shared" ref="F64:J64" si="8">+F61-F63</f>
        <v>2107753800.1386802</v>
      </c>
      <c r="G64" s="220">
        <f t="shared" si="8"/>
        <v>3125425801.8796253</v>
      </c>
      <c r="H64" s="220">
        <f t="shared" si="8"/>
        <v>4174390630.9144325</v>
      </c>
      <c r="I64" s="220">
        <f t="shared" si="8"/>
        <v>4281470948.0471001</v>
      </c>
      <c r="J64" s="220">
        <f t="shared" si="8"/>
        <v>4500640908.9182177</v>
      </c>
      <c r="K64" s="115"/>
    </row>
    <row r="65" spans="1:11" ht="15.75" customHeight="1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ht="18.75" customHeight="1">
      <c r="A66" s="111"/>
      <c r="B66" s="371" t="s">
        <v>117</v>
      </c>
      <c r="C66" s="298"/>
      <c r="D66" s="298"/>
      <c r="E66" s="298"/>
      <c r="F66" s="219">
        <f>+'Proyecciones + Estrategia'!K108</f>
        <v>587457606.39999998</v>
      </c>
      <c r="G66" s="219">
        <f>+'Proyecciones + Estrategia'!L108</f>
        <v>606188507.68000007</v>
      </c>
      <c r="H66" s="219">
        <f>+'Proyecciones + Estrategia'!M108</f>
        <v>571285329.41600001</v>
      </c>
      <c r="I66" s="219">
        <f>+'Proyecciones + Estrategia'!N108</f>
        <v>527728250.09920007</v>
      </c>
      <c r="J66" s="219">
        <f>+'Proyecciones + Estrategia'!O108</f>
        <v>540102531.31904006</v>
      </c>
      <c r="K66" s="113"/>
    </row>
    <row r="67" spans="1:11" ht="20.25" customHeight="1">
      <c r="A67" s="111"/>
      <c r="B67" s="371" t="s">
        <v>118</v>
      </c>
      <c r="C67" s="298"/>
      <c r="D67" s="298"/>
      <c r="E67" s="298"/>
      <c r="F67" s="219">
        <f>'Proyecciones + Estrategia'!K109</f>
        <v>163820098.19999999</v>
      </c>
      <c r="G67" s="219">
        <f>'Proyecciones + Estrategia'!L109</f>
        <v>145844704.24000001</v>
      </c>
      <c r="H67" s="219">
        <f>'Proyecciones + Estrategia'!M109</f>
        <v>116649919.88800001</v>
      </c>
      <c r="I67" s="219">
        <f>'Proyecciones + Estrategia'!N109</f>
        <v>88179875.665600002</v>
      </c>
      <c r="J67" s="219">
        <f>'Proyecciones + Estrategia'!O109</f>
        <v>105815850.79872</v>
      </c>
      <c r="K67" s="113"/>
    </row>
    <row r="68" spans="1:11" ht="15.75" customHeight="1">
      <c r="A68" s="111"/>
      <c r="B68" s="371" t="s">
        <v>119</v>
      </c>
      <c r="C68" s="298"/>
      <c r="D68" s="298"/>
      <c r="E68" s="298"/>
      <c r="F68" s="219">
        <f>+Indicadores!K45</f>
        <v>0</v>
      </c>
      <c r="G68" s="219">
        <f>+Indicadores!L45</f>
        <v>0</v>
      </c>
      <c r="H68" s="219">
        <f>+Indicadores!M45</f>
        <v>0</v>
      </c>
      <c r="I68" s="219">
        <f>+Indicadores!N45</f>
        <v>0</v>
      </c>
      <c r="J68" s="219">
        <f>+Indicadores!O45</f>
        <v>0</v>
      </c>
      <c r="K68" s="113"/>
    </row>
    <row r="69" spans="1:11" ht="15.75" customHeight="1">
      <c r="A69" s="98"/>
      <c r="B69" s="369" t="s">
        <v>120</v>
      </c>
      <c r="C69" s="298"/>
      <c r="D69" s="298"/>
      <c r="E69" s="298"/>
      <c r="F69" s="220">
        <f t="shared" ref="F69:J69" si="9">+F64+F66+F67+F68</f>
        <v>2859031504.7386799</v>
      </c>
      <c r="G69" s="220">
        <f t="shared" si="9"/>
        <v>3877459013.7996254</v>
      </c>
      <c r="H69" s="220">
        <f t="shared" si="9"/>
        <v>4862325880.2184334</v>
      </c>
      <c r="I69" s="220">
        <f t="shared" si="9"/>
        <v>4897379073.8119001</v>
      </c>
      <c r="J69" s="220">
        <f t="shared" si="9"/>
        <v>5146559291.0359783</v>
      </c>
      <c r="K69" s="115"/>
    </row>
    <row r="70" spans="1:11" ht="15.75" customHeight="1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</row>
    <row r="71" spans="1:11" ht="15.75" customHeight="1">
      <c r="A71" s="111"/>
      <c r="B71" s="371" t="s">
        <v>121</v>
      </c>
      <c r="C71" s="298"/>
      <c r="D71" s="298"/>
      <c r="E71" s="298"/>
      <c r="F71" s="219">
        <f>'Proyecciones + Estrategia'!K113</f>
        <v>280691021.54448414</v>
      </c>
      <c r="G71" s="219">
        <f>'Proyecciones + Estrategia'!L113</f>
        <v>285709190.94759464</v>
      </c>
      <c r="H71" s="219">
        <f>'Proyecciones + Estrategia'!M113</f>
        <v>263893381.10555458</v>
      </c>
      <c r="I71" s="219">
        <f>'Proyecciones + Estrategia'!N113</f>
        <v>211425731.44627666</v>
      </c>
      <c r="J71" s="219">
        <f>'Proyecciones + Estrategia'!O113</f>
        <v>244163109.31675816</v>
      </c>
      <c r="K71" s="113"/>
    </row>
    <row r="72" spans="1:11" ht="15.75" customHeight="1">
      <c r="A72" s="111"/>
      <c r="B72" s="371" t="s">
        <v>122</v>
      </c>
      <c r="C72" s="298"/>
      <c r="D72" s="298"/>
      <c r="E72" s="298"/>
      <c r="F72" s="219">
        <f>'Proyecciones + Estrategia'!K114</f>
        <v>1664955894.4348116</v>
      </c>
      <c r="G72" s="219">
        <f>'Proyecciones + Estrategia'!L114</f>
        <v>1161288049.1048098</v>
      </c>
      <c r="H72" s="219">
        <f>'Proyecciones + Estrategia'!M114</f>
        <v>1101552594.5712318</v>
      </c>
      <c r="I72" s="219">
        <f>'Proyecciones + Estrategia'!N114</f>
        <v>925854458.47641754</v>
      </c>
      <c r="J72" s="219">
        <f>'Proyecciones + Estrategia'!O114</f>
        <v>1058223902.0320072</v>
      </c>
      <c r="K72" s="113"/>
    </row>
    <row r="73" spans="1:11" ht="15.75" customHeight="1">
      <c r="A73" s="98"/>
      <c r="B73" s="369" t="s">
        <v>123</v>
      </c>
      <c r="C73" s="298"/>
      <c r="D73" s="298"/>
      <c r="E73" s="298"/>
      <c r="F73" s="220">
        <f t="shared" ref="F73:J73" si="10">+F71+F72</f>
        <v>1945646915.9792957</v>
      </c>
      <c r="G73" s="220">
        <f t="shared" si="10"/>
        <v>1446997240.0524044</v>
      </c>
      <c r="H73" s="220">
        <f t="shared" si="10"/>
        <v>1365445975.6767864</v>
      </c>
      <c r="I73" s="220">
        <f t="shared" si="10"/>
        <v>1137280189.9226942</v>
      </c>
      <c r="J73" s="220">
        <f t="shared" si="10"/>
        <v>1302387011.3487654</v>
      </c>
      <c r="K73" s="115"/>
    </row>
    <row r="74" spans="1:11" ht="13.5" customHeight="1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</row>
    <row r="75" spans="1:11" ht="15.75" customHeight="1">
      <c r="A75" s="98"/>
      <c r="B75" s="369" t="s">
        <v>124</v>
      </c>
      <c r="C75" s="298"/>
      <c r="D75" s="298"/>
      <c r="E75" s="298"/>
      <c r="F75" s="220">
        <f>+F69-F73</f>
        <v>913384588.75938416</v>
      </c>
      <c r="G75" s="220">
        <f t="shared" ref="G75:J75" si="11">+G69-G73</f>
        <v>2430461773.747221</v>
      </c>
      <c r="H75" s="220">
        <f t="shared" si="11"/>
        <v>3496879904.541647</v>
      </c>
      <c r="I75" s="220">
        <f t="shared" si="11"/>
        <v>3760098883.8892059</v>
      </c>
      <c r="J75" s="220">
        <f t="shared" si="11"/>
        <v>3844172279.6872129</v>
      </c>
      <c r="K75" s="115"/>
    </row>
    <row r="76" spans="1:11" ht="15.75" customHeight="1">
      <c r="A76" s="27"/>
    </row>
    <row r="77" spans="1:11" ht="15.75" customHeight="1">
      <c r="A77" s="350"/>
      <c r="B77" s="298"/>
      <c r="C77" s="298"/>
      <c r="D77" s="298"/>
      <c r="E77" s="115"/>
      <c r="F77" s="115"/>
      <c r="G77" s="115"/>
      <c r="H77" s="115"/>
      <c r="I77" s="115"/>
      <c r="J77" s="115"/>
    </row>
    <row r="79" spans="1:11" ht="15.75" customHeight="1">
      <c r="A79" s="368" t="s">
        <v>165</v>
      </c>
      <c r="B79" s="298"/>
      <c r="C79" s="298"/>
      <c r="D79" s="298"/>
      <c r="E79" s="298"/>
      <c r="F79" s="298"/>
      <c r="G79" s="298"/>
      <c r="H79" s="298"/>
      <c r="I79" s="298"/>
      <c r="J79" s="298"/>
    </row>
    <row r="80" spans="1:11" ht="15.75" customHeight="1">
      <c r="A80" s="298"/>
      <c r="B80" s="298"/>
      <c r="C80" s="298"/>
      <c r="D80" s="298"/>
      <c r="E80" s="298"/>
      <c r="F80" s="298"/>
      <c r="G80" s="298"/>
      <c r="H80" s="298"/>
      <c r="I80" s="298"/>
      <c r="J80" s="298"/>
    </row>
    <row r="81" spans="1:12" ht="15.75" customHeight="1"/>
    <row r="82" spans="1:12" ht="15.75" customHeight="1">
      <c r="J82" s="226">
        <f>J57</f>
        <v>2027</v>
      </c>
    </row>
    <row r="83" spans="1:12" ht="15.75" customHeight="1">
      <c r="E83" s="227" t="s">
        <v>303</v>
      </c>
      <c r="F83" s="370" t="s">
        <v>166</v>
      </c>
      <c r="G83" s="367"/>
      <c r="H83" s="367"/>
      <c r="I83" s="367"/>
      <c r="J83" s="229">
        <f>+J75</f>
        <v>3844172279.6872129</v>
      </c>
    </row>
    <row r="84" spans="1:12" ht="15.75" customHeight="1">
      <c r="E84" s="227" t="s">
        <v>304</v>
      </c>
      <c r="F84" s="370" t="s">
        <v>167</v>
      </c>
      <c r="G84" s="367"/>
      <c r="H84" s="367"/>
      <c r="I84" s="367"/>
      <c r="J84" s="230">
        <f>+J51</f>
        <v>0.14097279493430348</v>
      </c>
    </row>
    <row r="85" spans="1:12" ht="15.75" customHeight="1">
      <c r="E85" s="227" t="s">
        <v>168</v>
      </c>
      <c r="F85" s="231" t="s">
        <v>169</v>
      </c>
      <c r="G85" s="232"/>
      <c r="H85" s="233">
        <f>Proyecciones!O13</f>
        <v>3.5000000000000003E-2</v>
      </c>
      <c r="I85" s="234">
        <f>Proyecciones!O12</f>
        <v>4.4999999999999998E-2</v>
      </c>
      <c r="J85" s="235">
        <f>((1+H85)*(1+I85))-1</f>
        <v>8.1574999999999953E-2</v>
      </c>
    </row>
    <row r="86" spans="1:12" ht="15.75" customHeight="1">
      <c r="A86" s="290" t="s">
        <v>170</v>
      </c>
      <c r="B86" s="298"/>
      <c r="C86" s="298"/>
      <c r="E86" s="228"/>
      <c r="F86" s="228"/>
      <c r="G86" s="228"/>
      <c r="H86" s="228"/>
      <c r="I86" s="228"/>
      <c r="J86" s="228"/>
    </row>
    <row r="87" spans="1:12" ht="15.75" customHeight="1">
      <c r="A87" s="364" t="s">
        <v>250</v>
      </c>
      <c r="B87" s="298"/>
      <c r="C87" s="298"/>
      <c r="E87" s="236" t="s">
        <v>171</v>
      </c>
      <c r="F87" s="365" t="s">
        <v>164</v>
      </c>
      <c r="G87" s="298"/>
      <c r="H87" s="298"/>
      <c r="I87" s="298"/>
      <c r="J87" s="111"/>
    </row>
    <row r="88" spans="1:12" ht="15.75" customHeight="1">
      <c r="F88" s="366" t="s">
        <v>172</v>
      </c>
      <c r="G88" s="367"/>
      <c r="H88" s="367"/>
      <c r="I88" s="367"/>
      <c r="J88" s="237">
        <f>+J75</f>
        <v>3844172279.6872129</v>
      </c>
      <c r="K88" s="389" t="s">
        <v>173</v>
      </c>
      <c r="L88" s="367"/>
    </row>
    <row r="89" spans="1:12" ht="15.75" customHeight="1">
      <c r="F89" s="366" t="s">
        <v>174</v>
      </c>
      <c r="G89" s="367"/>
      <c r="H89" s="367"/>
      <c r="I89" s="367"/>
      <c r="J89" s="238">
        <f>+J84</f>
        <v>0.14097279493430348</v>
      </c>
      <c r="K89" s="367"/>
      <c r="L89" s="367"/>
    </row>
    <row r="90" spans="1:12" ht="15.75" customHeight="1">
      <c r="F90" s="391" t="s">
        <v>305</v>
      </c>
      <c r="G90" s="367"/>
      <c r="H90" s="367"/>
      <c r="I90" s="367"/>
      <c r="J90" s="239">
        <f>(J88/J89)</f>
        <v>27268894551.453594</v>
      </c>
      <c r="K90" s="367"/>
      <c r="L90" s="367"/>
    </row>
    <row r="91" spans="1:12" ht="15.75" customHeight="1"/>
    <row r="92" spans="1:12" ht="15.75" customHeight="1">
      <c r="E92" s="240" t="s">
        <v>175</v>
      </c>
      <c r="F92" s="392" t="s">
        <v>159</v>
      </c>
      <c r="G92" s="376"/>
      <c r="H92" s="376"/>
      <c r="I92" s="376"/>
      <c r="J92" s="111"/>
    </row>
    <row r="93" spans="1:12" ht="15" customHeight="1">
      <c r="E93" s="111"/>
      <c r="F93" s="386" t="s">
        <v>172</v>
      </c>
      <c r="G93" s="367"/>
      <c r="H93" s="367"/>
      <c r="I93" s="367"/>
      <c r="J93" s="241">
        <f t="shared" ref="J93:J95" si="12">+J83</f>
        <v>3844172279.6872129</v>
      </c>
      <c r="K93" s="385" t="s">
        <v>176</v>
      </c>
      <c r="L93" s="367"/>
    </row>
    <row r="94" spans="1:12" ht="15" customHeight="1">
      <c r="E94" s="111"/>
      <c r="F94" s="386" t="s">
        <v>174</v>
      </c>
      <c r="G94" s="367"/>
      <c r="H94" s="367"/>
      <c r="I94" s="367"/>
      <c r="J94" s="242">
        <f t="shared" si="12"/>
        <v>0.14097279493430348</v>
      </c>
      <c r="K94" s="367"/>
      <c r="L94" s="367"/>
    </row>
    <row r="95" spans="1:12" ht="15.75" customHeight="1">
      <c r="E95" s="111"/>
      <c r="F95" s="386" t="s">
        <v>251</v>
      </c>
      <c r="G95" s="367"/>
      <c r="H95" s="367"/>
      <c r="I95" s="367"/>
      <c r="J95" s="242">
        <f t="shared" si="12"/>
        <v>8.1574999999999953E-2</v>
      </c>
      <c r="K95" s="367"/>
      <c r="L95" s="367"/>
    </row>
    <row r="96" spans="1:12" ht="15.75" customHeight="1">
      <c r="F96" s="387" t="s">
        <v>306</v>
      </c>
      <c r="G96" s="367"/>
      <c r="H96" s="367"/>
      <c r="I96" s="367"/>
      <c r="J96" s="243">
        <f>J93*(1+J95)/(J94-J95)</f>
        <v>69998568768.442596</v>
      </c>
      <c r="K96" s="367"/>
      <c r="L96" s="367"/>
    </row>
    <row r="97" spans="1:12" ht="15.75" customHeight="1"/>
    <row r="98" spans="1:12" ht="15.75" customHeight="1"/>
    <row r="99" spans="1:12" ht="15.75" customHeight="1">
      <c r="A99" s="359" t="s">
        <v>178</v>
      </c>
      <c r="B99" s="298"/>
      <c r="C99" s="298"/>
      <c r="D99" s="298"/>
      <c r="E99" s="298"/>
      <c r="F99" s="226">
        <f t="shared" ref="F99:J99" si="13">F57</f>
        <v>2023</v>
      </c>
      <c r="G99" s="226">
        <f t="shared" si="13"/>
        <v>2024</v>
      </c>
      <c r="H99" s="226">
        <f t="shared" si="13"/>
        <v>2025</v>
      </c>
      <c r="I99" s="226">
        <f t="shared" si="13"/>
        <v>2026</v>
      </c>
      <c r="J99" s="226">
        <f t="shared" si="13"/>
        <v>2027</v>
      </c>
      <c r="K99" s="390" t="s">
        <v>179</v>
      </c>
    </row>
    <row r="100" spans="1:12" ht="15.75" customHeight="1">
      <c r="A100" s="377" t="s">
        <v>180</v>
      </c>
      <c r="B100" s="298"/>
      <c r="C100" s="298"/>
      <c r="D100" s="298"/>
      <c r="E100" s="298"/>
      <c r="F100" s="34">
        <f t="shared" ref="F100:J100" si="14">+F51</f>
        <v>0.18886787294966967</v>
      </c>
      <c r="G100" s="34">
        <f t="shared" si="14"/>
        <v>0.16043613292755607</v>
      </c>
      <c r="H100" s="34">
        <f t="shared" si="14"/>
        <v>0.15682023923228836</v>
      </c>
      <c r="I100" s="34">
        <f t="shared" si="14"/>
        <v>0.14400430098829847</v>
      </c>
      <c r="J100" s="34">
        <f t="shared" si="14"/>
        <v>0.14097279493430348</v>
      </c>
      <c r="K100" s="298"/>
    </row>
    <row r="101" spans="1:12" ht="15.75" customHeight="1">
      <c r="A101" s="377" t="s">
        <v>181</v>
      </c>
      <c r="B101" s="298"/>
      <c r="C101" s="298"/>
      <c r="D101" s="298"/>
      <c r="E101" s="298"/>
      <c r="F101" s="34">
        <f>+F51</f>
        <v>0.18886787294966967</v>
      </c>
      <c r="G101" s="34">
        <f t="shared" ref="G101:J101" si="15">(1+F101)*(1+G100)-1</f>
        <v>0.37960523704752358</v>
      </c>
      <c r="H101" s="34">
        <f t="shared" si="15"/>
        <v>0.59595526036743407</v>
      </c>
      <c r="I101" s="34">
        <f t="shared" si="15"/>
        <v>0.82577968204524432</v>
      </c>
      <c r="J101" s="34">
        <f t="shared" si="15"/>
        <v>1.0831649467574263</v>
      </c>
      <c r="K101" s="298"/>
    </row>
    <row r="102" spans="1:12" ht="15.75" customHeight="1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298"/>
    </row>
    <row r="103" spans="1:12" ht="15.75" customHeight="1">
      <c r="A103" s="377" t="s">
        <v>182</v>
      </c>
      <c r="B103" s="298"/>
      <c r="C103" s="298"/>
      <c r="D103" s="298"/>
      <c r="E103" s="298"/>
      <c r="F103" s="132">
        <f t="shared" ref="F103:J103" si="16">+F75</f>
        <v>913384588.75938416</v>
      </c>
      <c r="G103" s="132">
        <f t="shared" si="16"/>
        <v>2430461773.747221</v>
      </c>
      <c r="H103" s="132">
        <f t="shared" si="16"/>
        <v>3496879904.541647</v>
      </c>
      <c r="I103" s="132">
        <f t="shared" si="16"/>
        <v>3760098883.8892059</v>
      </c>
      <c r="J103" s="132">
        <f t="shared" si="16"/>
        <v>3844172279.6872129</v>
      </c>
      <c r="K103" s="298"/>
    </row>
    <row r="104" spans="1:12" ht="15.75" customHeight="1">
      <c r="A104" s="377" t="s">
        <v>183</v>
      </c>
      <c r="B104" s="298"/>
      <c r="C104" s="298"/>
      <c r="D104" s="298"/>
      <c r="E104" s="298"/>
      <c r="F104" s="83"/>
      <c r="G104" s="83"/>
      <c r="H104" s="83"/>
      <c r="I104" s="83"/>
      <c r="J104" s="244">
        <f>IF(A87="Anualidad Perpetua",J90,J96)</f>
        <v>69998568768.442596</v>
      </c>
      <c r="K104" s="298"/>
      <c r="L104" s="27" t="str">
        <f>'Valoración Sin Estrategia'!L105</f>
        <v>Crecimiento Constante</v>
      </c>
    </row>
    <row r="105" spans="1:12" ht="15.75" customHeight="1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298"/>
    </row>
    <row r="106" spans="1:12" ht="15.75" customHeight="1">
      <c r="A106" s="377" t="s">
        <v>184</v>
      </c>
      <c r="B106" s="298"/>
      <c r="C106" s="298"/>
      <c r="D106" s="298"/>
      <c r="E106" s="298"/>
      <c r="F106" s="132">
        <f t="shared" ref="F106:J106" si="17">F103/(1+F101)</f>
        <v>768280991.97702193</v>
      </c>
      <c r="G106" s="132">
        <f t="shared" si="17"/>
        <v>1761708138.2994912</v>
      </c>
      <c r="H106" s="132">
        <f t="shared" si="17"/>
        <v>2191088930.4857869</v>
      </c>
      <c r="I106" s="132">
        <f t="shared" si="17"/>
        <v>2059448311.7903531</v>
      </c>
      <c r="J106" s="132">
        <f t="shared" si="17"/>
        <v>1845351845.8396213</v>
      </c>
      <c r="K106" s="298"/>
    </row>
    <row r="107" spans="1:12" ht="15.75" customHeight="1">
      <c r="A107" s="377" t="s">
        <v>183</v>
      </c>
      <c r="B107" s="298"/>
      <c r="C107" s="298"/>
      <c r="D107" s="298"/>
      <c r="E107" s="298"/>
      <c r="F107" s="83"/>
      <c r="G107" s="83"/>
      <c r="H107" s="83"/>
      <c r="I107" s="83"/>
      <c r="J107" s="36">
        <f>J104/(1+J101)</f>
        <v>33602028911.536579</v>
      </c>
      <c r="K107" s="298"/>
    </row>
    <row r="108" spans="1:12" ht="15.75" customHeight="1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298"/>
    </row>
    <row r="109" spans="1:12" ht="15.75" customHeight="1">
      <c r="A109" s="377" t="s">
        <v>185</v>
      </c>
      <c r="B109" s="298"/>
      <c r="C109" s="298"/>
      <c r="D109" s="298"/>
      <c r="E109" s="298"/>
      <c r="F109" s="134">
        <f>SUM(F106:J106)</f>
        <v>8625878218.3922749</v>
      </c>
      <c r="K109" s="298"/>
    </row>
    <row r="110" spans="1:12" ht="15.75" customHeight="1">
      <c r="A110" s="377" t="s">
        <v>186</v>
      </c>
      <c r="B110" s="298"/>
      <c r="C110" s="298"/>
      <c r="D110" s="298"/>
      <c r="E110" s="298"/>
      <c r="F110" s="134">
        <f>+J107</f>
        <v>33602028911.536579</v>
      </c>
      <c r="K110" s="298"/>
    </row>
    <row r="111" spans="1:12" ht="15.75" customHeight="1">
      <c r="A111" s="296" t="s">
        <v>252</v>
      </c>
      <c r="B111" s="298"/>
      <c r="C111" s="298"/>
      <c r="D111" s="298"/>
      <c r="E111" s="298"/>
      <c r="F111" s="221">
        <f>+F109+F110</f>
        <v>42227907129.928856</v>
      </c>
      <c r="K111" s="298"/>
    </row>
    <row r="112" spans="1:12" ht="15.75" customHeight="1">
      <c r="K112" s="298"/>
    </row>
    <row r="113" spans="1:11" ht="15.75" customHeight="1">
      <c r="A113" s="377" t="s">
        <v>188</v>
      </c>
      <c r="B113" s="298"/>
      <c r="C113" s="298"/>
      <c r="D113" s="298"/>
      <c r="E113" s="298"/>
      <c r="F113" s="136">
        <f>+F111</f>
        <v>42227907129.928856</v>
      </c>
      <c r="K113" s="298"/>
    </row>
    <row r="114" spans="1:11" ht="15.75" customHeight="1">
      <c r="A114" s="372" t="s">
        <v>307</v>
      </c>
      <c r="B114" s="298"/>
      <c r="C114" s="298"/>
      <c r="D114" s="298"/>
      <c r="E114" s="298"/>
      <c r="F114" s="134">
        <f>Proyecciones!J38-Proyecciones!J36</f>
        <v>6492175286</v>
      </c>
      <c r="K114" s="298"/>
    </row>
    <row r="115" spans="1:11" ht="15.75" customHeight="1">
      <c r="A115" s="372" t="s">
        <v>189</v>
      </c>
      <c r="B115" s="298"/>
      <c r="C115" s="298"/>
      <c r="D115" s="298"/>
      <c r="E115" s="298"/>
      <c r="F115" s="134">
        <f>Proyecciones!J28</f>
        <v>8406929305</v>
      </c>
      <c r="K115" s="298"/>
    </row>
    <row r="116" spans="1:11" ht="15.75" customHeight="1">
      <c r="A116" s="372" t="s">
        <v>190</v>
      </c>
      <c r="B116" s="298"/>
      <c r="C116" s="298"/>
      <c r="D116" s="298"/>
      <c r="E116" s="298"/>
      <c r="F116" s="134">
        <f>Proyecciones!J36+Proyecciones!J40</f>
        <v>4144221467</v>
      </c>
      <c r="K116" s="298"/>
    </row>
    <row r="117" spans="1:11" ht="15.75" customHeight="1">
      <c r="A117" s="296" t="s">
        <v>191</v>
      </c>
      <c r="B117" s="298"/>
      <c r="C117" s="298"/>
      <c r="D117" s="298"/>
      <c r="E117" s="298"/>
      <c r="F117" s="221">
        <f>F113-F114+F115-F116</f>
        <v>39998439681.928856</v>
      </c>
      <c r="G117" s="137"/>
      <c r="K117" s="298"/>
    </row>
    <row r="118" spans="1:11" ht="15.75" customHeight="1">
      <c r="F118" s="138"/>
      <c r="K118" s="298"/>
    </row>
    <row r="119" spans="1:11" ht="15.75" customHeight="1">
      <c r="A119" s="377" t="s">
        <v>192</v>
      </c>
      <c r="B119" s="298"/>
      <c r="C119" s="298"/>
      <c r="D119" s="298"/>
      <c r="E119" s="298"/>
      <c r="F119" s="134">
        <f>+Proyecciones!J45</f>
        <v>3608372974</v>
      </c>
      <c r="K119" s="298"/>
    </row>
    <row r="120" spans="1:11" ht="15.75" customHeight="1">
      <c r="K120" s="298"/>
    </row>
    <row r="121" spans="1:11" ht="15.75" customHeight="1">
      <c r="A121" s="377" t="s">
        <v>193</v>
      </c>
      <c r="B121" s="298"/>
      <c r="C121" s="298"/>
      <c r="D121" s="298"/>
      <c r="E121" s="298"/>
      <c r="F121" s="43">
        <v>1000000</v>
      </c>
      <c r="G121" s="245" t="s">
        <v>194</v>
      </c>
      <c r="K121" s="298"/>
    </row>
    <row r="122" spans="1:11" ht="15.75" customHeight="1">
      <c r="A122" s="377" t="s">
        <v>195</v>
      </c>
      <c r="B122" s="298"/>
      <c r="C122" s="298"/>
      <c r="D122" s="298"/>
      <c r="E122" s="298"/>
      <c r="F122" s="139">
        <f>+F119/F121</f>
        <v>3608.3729739999999</v>
      </c>
      <c r="K122" s="298"/>
    </row>
    <row r="123" spans="1:11" ht="15.75" customHeight="1">
      <c r="A123" s="377" t="s">
        <v>196</v>
      </c>
      <c r="B123" s="298"/>
      <c r="C123" s="298"/>
      <c r="D123" s="298"/>
      <c r="E123" s="298"/>
      <c r="F123" s="139">
        <f>F117/F121</f>
        <v>39998.439681928859</v>
      </c>
      <c r="K123" s="298"/>
    </row>
    <row r="124" spans="1:11" ht="15.75" customHeight="1">
      <c r="A124" s="296" t="s">
        <v>197</v>
      </c>
      <c r="B124" s="298"/>
      <c r="C124" s="298"/>
      <c r="D124" s="298"/>
      <c r="E124" s="298"/>
      <c r="F124" s="222">
        <f>+F123/F122</f>
        <v>11.084896148523493</v>
      </c>
      <c r="K124" s="298"/>
    </row>
    <row r="125" spans="1:11" ht="15.75" customHeight="1"/>
    <row r="126" spans="1:11" ht="15.75" customHeight="1"/>
    <row r="127" spans="1:11" ht="15.75" customHeight="1"/>
    <row r="128" spans="1:11" ht="15" customHeight="1">
      <c r="A128" s="368" t="s">
        <v>198</v>
      </c>
      <c r="B128" s="298"/>
      <c r="C128" s="298"/>
      <c r="D128" s="298"/>
      <c r="E128" s="298"/>
      <c r="F128" s="298"/>
      <c r="G128" s="298"/>
      <c r="H128" s="298"/>
      <c r="I128" s="298"/>
      <c r="J128" s="298"/>
    </row>
    <row r="129" spans="1:11" ht="15.75" customHeight="1">
      <c r="A129" s="298"/>
      <c r="B129" s="298"/>
      <c r="C129" s="298"/>
      <c r="D129" s="298"/>
      <c r="E129" s="298"/>
      <c r="F129" s="298"/>
      <c r="G129" s="298"/>
      <c r="H129" s="298"/>
      <c r="I129" s="298"/>
      <c r="J129" s="298"/>
    </row>
    <row r="130" spans="1:11" ht="15.75" customHeight="1"/>
    <row r="131" spans="1:11" ht="15" customHeight="1">
      <c r="A131" s="359" t="s">
        <v>199</v>
      </c>
      <c r="B131" s="298"/>
      <c r="C131" s="298"/>
      <c r="D131" s="298"/>
      <c r="E131" s="298"/>
      <c r="F131" s="246">
        <f t="shared" ref="F131:J131" si="18">F57</f>
        <v>2023</v>
      </c>
      <c r="G131" s="246">
        <f t="shared" si="18"/>
        <v>2024</v>
      </c>
      <c r="H131" s="246">
        <f t="shared" si="18"/>
        <v>2025</v>
      </c>
      <c r="I131" s="246">
        <f t="shared" si="18"/>
        <v>2026</v>
      </c>
      <c r="J131" s="246">
        <f t="shared" si="18"/>
        <v>2027</v>
      </c>
      <c r="K131" s="353" t="s">
        <v>200</v>
      </c>
    </row>
    <row r="132" spans="1:11" ht="15.75" customHeight="1">
      <c r="A132" s="388" t="s">
        <v>201</v>
      </c>
      <c r="B132" s="298"/>
      <c r="C132" s="298"/>
      <c r="D132" s="298"/>
      <c r="E132" s="298"/>
      <c r="F132" s="43">
        <f>'Proyecciones + Estrategia'!K30</f>
        <v>16404128672.008041</v>
      </c>
      <c r="G132" s="43">
        <f>'Proyecciones + Estrategia'!L30</f>
        <v>18602092446.370956</v>
      </c>
      <c r="H132" s="43">
        <f>'Proyecciones + Estrategia'!M30</f>
        <v>20632226968.961613</v>
      </c>
      <c r="I132" s="43">
        <f>'Proyecciones + Estrategia'!N30</f>
        <v>22258727317.605759</v>
      </c>
      <c r="J132" s="43">
        <f>'Proyecciones + Estrategia'!O30</f>
        <v>24137076654.335648</v>
      </c>
      <c r="K132" s="298"/>
    </row>
    <row r="133" spans="1:11" ht="15.75" customHeight="1">
      <c r="A133" s="388" t="s">
        <v>202</v>
      </c>
      <c r="B133" s="298"/>
      <c r="C133" s="298"/>
      <c r="D133" s="298"/>
      <c r="E133" s="298"/>
      <c r="F133" s="43">
        <f>+'Proyecciones + Estrategia'!K39</f>
        <v>12248763882.228569</v>
      </c>
      <c r="G133" s="43">
        <f>+'Proyecciones + Estrategia'!L39</f>
        <v>13889956769.224356</v>
      </c>
      <c r="H133" s="43">
        <f>+'Proyecciones + Estrategia'!M39</f>
        <v>15405833589.844896</v>
      </c>
      <c r="I133" s="43">
        <f>+'Proyecciones + Estrategia'!N39</f>
        <v>16620321669.233137</v>
      </c>
      <c r="J133" s="43">
        <f>+'Proyecciones + Estrategia'!O39</f>
        <v>18022862332.865269</v>
      </c>
      <c r="K133" s="298"/>
    </row>
    <row r="134" spans="1:11" ht="15.75" customHeight="1">
      <c r="A134" s="388" t="s">
        <v>308</v>
      </c>
      <c r="B134" s="298"/>
      <c r="C134" s="298"/>
      <c r="D134" s="298"/>
      <c r="E134" s="298"/>
      <c r="F134" s="36">
        <f t="shared" ref="F134:J134" si="19">+F132-F133</f>
        <v>4155364789.7794724</v>
      </c>
      <c r="G134" s="36">
        <f t="shared" si="19"/>
        <v>4712135677.1466007</v>
      </c>
      <c r="H134" s="36">
        <f t="shared" si="19"/>
        <v>5226393379.1167164</v>
      </c>
      <c r="I134" s="36">
        <f t="shared" si="19"/>
        <v>5638405648.3726215</v>
      </c>
      <c r="J134" s="36">
        <f t="shared" si="19"/>
        <v>6114214321.4703789</v>
      </c>
      <c r="K134" s="298"/>
    </row>
    <row r="135" spans="1:11" ht="15.75" customHeight="1">
      <c r="A135" s="388" t="s">
        <v>203</v>
      </c>
      <c r="B135" s="298"/>
      <c r="C135" s="298"/>
      <c r="D135" s="298"/>
      <c r="E135" s="298"/>
      <c r="F135" s="142">
        <f t="shared" ref="F135:J135" si="20">+F134/$F$121</f>
        <v>4155.3647897794726</v>
      </c>
      <c r="G135" s="142">
        <f t="shared" si="20"/>
        <v>4712.1356771466008</v>
      </c>
      <c r="H135" s="142">
        <f t="shared" si="20"/>
        <v>5226.3933791167165</v>
      </c>
      <c r="I135" s="142">
        <f t="shared" si="20"/>
        <v>5638.4056483726217</v>
      </c>
      <c r="J135" s="142">
        <f t="shared" si="20"/>
        <v>6114.2143214703792</v>
      </c>
      <c r="K135" s="298"/>
    </row>
    <row r="136" spans="1:11" ht="15.75" customHeight="1">
      <c r="A136" s="296" t="s">
        <v>197</v>
      </c>
      <c r="B136" s="298"/>
      <c r="C136" s="298"/>
      <c r="D136" s="298"/>
      <c r="E136" s="298"/>
      <c r="F136" s="222">
        <f t="shared" ref="F136:J136" si="21">+F135/$F$122</f>
        <v>1.1515896000000005</v>
      </c>
      <c r="G136" s="222">
        <f t="shared" si="21"/>
        <v>1.3058893055401211</v>
      </c>
      <c r="H136" s="222">
        <f t="shared" si="21"/>
        <v>1.4484071953690218</v>
      </c>
      <c r="I136" s="222">
        <f t="shared" si="21"/>
        <v>1.5625894798015472</v>
      </c>
      <c r="J136" s="222">
        <f t="shared" si="21"/>
        <v>1.6944518666795612</v>
      </c>
      <c r="K136" s="298"/>
    </row>
    <row r="137" spans="1:11" ht="9" customHeight="1">
      <c r="K137" s="298"/>
    </row>
    <row r="138" spans="1:11" ht="9" customHeight="1">
      <c r="K138" s="298"/>
    </row>
    <row r="139" spans="1:11" ht="7.5" customHeight="1">
      <c r="K139" s="298"/>
    </row>
    <row r="140" spans="1:11" ht="10.5" customHeight="1">
      <c r="K140" s="298"/>
    </row>
    <row r="141" spans="1:11" ht="15.75" customHeight="1">
      <c r="A141" s="359" t="s">
        <v>204</v>
      </c>
      <c r="B141" s="298"/>
      <c r="C141" s="298"/>
      <c r="D141" s="298"/>
      <c r="E141" s="298"/>
      <c r="F141" s="246">
        <f t="shared" ref="F141:J141" si="22">F131</f>
        <v>2023</v>
      </c>
      <c r="G141" s="246">
        <f t="shared" si="22"/>
        <v>2024</v>
      </c>
      <c r="H141" s="246">
        <f t="shared" si="22"/>
        <v>2025</v>
      </c>
      <c r="I141" s="246">
        <f t="shared" si="22"/>
        <v>2026</v>
      </c>
      <c r="J141" s="246">
        <f t="shared" si="22"/>
        <v>2027</v>
      </c>
      <c r="K141" s="298"/>
    </row>
    <row r="142" spans="1:11" ht="15.75" customHeight="1">
      <c r="A142" s="388" t="s">
        <v>205</v>
      </c>
      <c r="B142" s="298"/>
      <c r="C142" s="298"/>
      <c r="D142" s="298"/>
      <c r="E142" s="298"/>
      <c r="F142" s="43">
        <f t="shared" ref="F142:J142" si="23">F132</f>
        <v>16404128672.008041</v>
      </c>
      <c r="G142" s="43">
        <f t="shared" si="23"/>
        <v>18602092446.370956</v>
      </c>
      <c r="H142" s="43">
        <f t="shared" si="23"/>
        <v>20632226968.961613</v>
      </c>
      <c r="I142" s="43">
        <f t="shared" si="23"/>
        <v>22258727317.605759</v>
      </c>
      <c r="J142" s="43">
        <f t="shared" si="23"/>
        <v>24137076654.335648</v>
      </c>
      <c r="K142" s="298"/>
    </row>
    <row r="143" spans="1:11" ht="15.75" customHeight="1">
      <c r="A143" s="388" t="s">
        <v>309</v>
      </c>
      <c r="B143" s="298"/>
      <c r="C143" s="298"/>
      <c r="D143" s="298"/>
      <c r="E143" s="298"/>
      <c r="F143" s="43">
        <f>'Proyecciones + Estrategia'!K33+'Proyecciones + Estrategia'!K37+'Proyecciones + Estrategia'!K34</f>
        <v>10836357764.553196</v>
      </c>
      <c r="G143" s="43">
        <f>'Proyecciones + Estrategia'!L33+'Proyecciones + Estrategia'!L37+'Proyecciones + Estrategia'!L34</f>
        <v>12246362329.790676</v>
      </c>
      <c r="H143" s="43">
        <f>'Proyecciones + Estrategia'!M33+'Proyecciones + Estrategia'!M37+'Proyecciones + Estrategia'!M34</f>
        <v>13547884679.494987</v>
      </c>
      <c r="I143" s="43">
        <f>'Proyecciones + Estrategia'!N33+'Proyecciones + Estrategia'!N37+'Proyecciones + Estrategia'!N34</f>
        <v>14588504183.04924</v>
      </c>
      <c r="J143" s="43">
        <f>'Proyecciones + Estrategia'!O33+'Proyecciones + Estrategia'!O37+'Proyecciones + Estrategia'!O34</f>
        <v>15601830576.647095</v>
      </c>
      <c r="K143" s="298"/>
    </row>
    <row r="144" spans="1:11" ht="15.75" customHeight="1">
      <c r="A144" s="388" t="s">
        <v>310</v>
      </c>
      <c r="B144" s="298"/>
      <c r="C144" s="298"/>
      <c r="D144" s="298"/>
      <c r="E144" s="298"/>
      <c r="F144" s="36">
        <f t="shared" ref="F144:J144" si="24">+F142-F143</f>
        <v>5567770907.4548454</v>
      </c>
      <c r="G144" s="36">
        <f t="shared" si="24"/>
        <v>6355730116.5802803</v>
      </c>
      <c r="H144" s="36">
        <f t="shared" si="24"/>
        <v>7084342289.4666252</v>
      </c>
      <c r="I144" s="36">
        <f t="shared" si="24"/>
        <v>7670223134.5565186</v>
      </c>
      <c r="J144" s="36">
        <f t="shared" si="24"/>
        <v>8535246077.6885529</v>
      </c>
      <c r="K144" s="298"/>
    </row>
    <row r="145" spans="1:11" ht="15.75" customHeight="1">
      <c r="A145" s="388" t="s">
        <v>206</v>
      </c>
      <c r="B145" s="298"/>
      <c r="C145" s="298"/>
      <c r="D145" s="298"/>
      <c r="E145" s="298"/>
      <c r="F145" s="142">
        <f t="shared" ref="F145:J145" si="25">+F144/$F$121</f>
        <v>5567.7709074548457</v>
      </c>
      <c r="G145" s="142">
        <f t="shared" si="25"/>
        <v>6355.7301165802801</v>
      </c>
      <c r="H145" s="142">
        <f t="shared" si="25"/>
        <v>7084.3422894666255</v>
      </c>
      <c r="I145" s="142">
        <f t="shared" si="25"/>
        <v>7670.2231345565187</v>
      </c>
      <c r="J145" s="142">
        <f t="shared" si="25"/>
        <v>8535.2460776885528</v>
      </c>
      <c r="K145" s="298"/>
    </row>
    <row r="146" spans="1:11" ht="15.75" customHeight="1">
      <c r="A146" s="296" t="s">
        <v>197</v>
      </c>
      <c r="B146" s="298"/>
      <c r="C146" s="298"/>
      <c r="D146" s="298"/>
      <c r="E146" s="298"/>
      <c r="F146" s="222">
        <f t="shared" ref="F146:J146" si="26">F145/$F$122</f>
        <v>1.5430142470230257</v>
      </c>
      <c r="G146" s="222">
        <f t="shared" si="26"/>
        <v>1.7613839152372168</v>
      </c>
      <c r="H146" s="222">
        <f t="shared" si="26"/>
        <v>1.9633065485504397</v>
      </c>
      <c r="I146" s="222">
        <f t="shared" si="26"/>
        <v>2.1256735902369384</v>
      </c>
      <c r="J146" s="222">
        <f t="shared" si="26"/>
        <v>2.3654001787478616</v>
      </c>
      <c r="K146" s="298"/>
    </row>
    <row r="147" spans="1:11" ht="9" customHeight="1"/>
    <row r="148" spans="1:11" ht="9" customHeight="1"/>
    <row r="149" spans="1:11" ht="9.75" customHeight="1"/>
    <row r="150" spans="1:11" ht="9.75" customHeight="1">
      <c r="K150" s="106"/>
    </row>
    <row r="151" spans="1:11" ht="14.25" customHeight="1">
      <c r="K151" s="106"/>
    </row>
    <row r="152" spans="1:11" ht="9.75" customHeight="1"/>
    <row r="153" spans="1:11" ht="11.25" customHeight="1"/>
    <row r="154" spans="1:11" ht="29.25" customHeight="1"/>
    <row r="159" spans="1:11" ht="9.75" customHeight="1"/>
    <row r="160" spans="1:11" ht="9.75" customHeight="1"/>
    <row r="161" spans="1:17" ht="9.75" customHeight="1"/>
    <row r="162" spans="1:17" ht="15.75" customHeight="1"/>
    <row r="163" spans="1:17" ht="15" customHeight="1">
      <c r="A163" s="368" t="s">
        <v>253</v>
      </c>
      <c r="B163" s="298"/>
      <c r="C163" s="298"/>
      <c r="D163" s="298"/>
      <c r="E163" s="298"/>
      <c r="F163" s="298"/>
      <c r="G163" s="298"/>
      <c r="H163" s="298"/>
      <c r="I163" s="298"/>
      <c r="J163" s="298"/>
      <c r="K163" s="106"/>
      <c r="M163" s="247" t="s">
        <v>207</v>
      </c>
      <c r="N163" s="247" t="s">
        <v>208</v>
      </c>
    </row>
    <row r="164" spans="1:17" ht="15" customHeight="1">
      <c r="A164" s="298"/>
      <c r="B164" s="298"/>
      <c r="C164" s="298"/>
      <c r="D164" s="298"/>
      <c r="E164" s="298"/>
      <c r="F164" s="298"/>
      <c r="G164" s="298"/>
      <c r="H164" s="298"/>
      <c r="I164" s="298"/>
      <c r="J164" s="298"/>
      <c r="K164" s="106"/>
      <c r="M164" s="27" t="s">
        <v>209</v>
      </c>
      <c r="N164" s="144">
        <f>MAX(F166:F168)</f>
        <v>39998439681.928856</v>
      </c>
    </row>
    <row r="165" spans="1:17" ht="27.75" customHeight="1">
      <c r="A165" s="368" t="s">
        <v>210</v>
      </c>
      <c r="B165" s="298"/>
      <c r="C165" s="298"/>
      <c r="D165" s="298"/>
      <c r="E165" s="298"/>
      <c r="F165" s="247" t="s">
        <v>211</v>
      </c>
      <c r="G165" s="247" t="s">
        <v>212</v>
      </c>
      <c r="H165" s="223" t="s">
        <v>197</v>
      </c>
      <c r="I165" s="247" t="s">
        <v>213</v>
      </c>
      <c r="J165" s="247" t="s">
        <v>214</v>
      </c>
      <c r="M165" s="106" t="s">
        <v>215</v>
      </c>
      <c r="N165" s="144">
        <f>(N164+N166)/2</f>
        <v>23056327001.699615</v>
      </c>
      <c r="Q165" s="96" t="s">
        <v>210</v>
      </c>
    </row>
    <row r="166" spans="1:17" ht="15" customHeight="1">
      <c r="A166" s="245" t="s">
        <v>216</v>
      </c>
      <c r="B166" s="245"/>
      <c r="C166" s="245"/>
      <c r="D166" s="245"/>
      <c r="E166" s="245"/>
      <c r="F166" s="43">
        <f>J134</f>
        <v>6114214321.4703789</v>
      </c>
      <c r="G166" s="43">
        <f>+F119</f>
        <v>3608372974</v>
      </c>
      <c r="H166" s="147">
        <f t="shared" ref="H166:H167" si="27">+F166/G166</f>
        <v>1.6944518666795609</v>
      </c>
      <c r="I166" s="147">
        <v>2.61</v>
      </c>
      <c r="J166" s="84">
        <f t="shared" ref="J166:J168" si="28">+H166-I166</f>
        <v>-0.91554813332043894</v>
      </c>
      <c r="M166" s="27" t="s">
        <v>217</v>
      </c>
      <c r="N166" s="144">
        <f>MIN(F166:F168)</f>
        <v>6114214321.4703789</v>
      </c>
    </row>
    <row r="167" spans="1:17" ht="15" customHeight="1">
      <c r="A167" s="245" t="s">
        <v>218</v>
      </c>
      <c r="B167" s="245"/>
      <c r="C167" s="245"/>
      <c r="D167" s="245"/>
      <c r="E167" s="245"/>
      <c r="F167" s="43">
        <f>+J144</f>
        <v>8535246077.6885529</v>
      </c>
      <c r="G167" s="43">
        <f t="shared" ref="G167:G168" si="29">+G166</f>
        <v>3608372974</v>
      </c>
      <c r="H167" s="147">
        <f t="shared" si="27"/>
        <v>2.3654001787478616</v>
      </c>
      <c r="I167" s="147">
        <v>2.61</v>
      </c>
      <c r="J167" s="84">
        <f t="shared" si="28"/>
        <v>-0.24459982125213831</v>
      </c>
      <c r="L167" s="148">
        <f>N165</f>
        <v>23056327001.699615</v>
      </c>
      <c r="M167" s="148"/>
      <c r="N167" s="149">
        <f>+L167/G166</f>
        <v>6.3896740076015259</v>
      </c>
    </row>
    <row r="168" spans="1:17" ht="15" customHeight="1">
      <c r="A168" s="245" t="s">
        <v>219</v>
      </c>
      <c r="B168" s="245"/>
      <c r="C168" s="245"/>
      <c r="D168" s="245"/>
      <c r="E168" s="245"/>
      <c r="F168" s="138">
        <f>+F117</f>
        <v>39998439681.928856</v>
      </c>
      <c r="G168" s="43">
        <f t="shared" si="29"/>
        <v>3608372974</v>
      </c>
      <c r="H168" s="147">
        <f>+F168/G168</f>
        <v>11.084896148523491</v>
      </c>
      <c r="I168" s="147">
        <v>2.61</v>
      </c>
      <c r="J168" s="84">
        <f t="shared" si="28"/>
        <v>8.4748961485234915</v>
      </c>
      <c r="L168" s="148"/>
      <c r="M168" s="148"/>
      <c r="N168" s="72" t="s">
        <v>220</v>
      </c>
    </row>
    <row r="169" spans="1:17" ht="15.75" customHeight="1">
      <c r="L169" s="150">
        <f>+L167/$F$121</f>
        <v>23056.327001699614</v>
      </c>
      <c r="M169" s="151"/>
      <c r="N169" s="351" t="s">
        <v>221</v>
      </c>
    </row>
    <row r="170" spans="1:17" ht="15.75" customHeight="1">
      <c r="H170" s="138"/>
      <c r="I170" s="85"/>
      <c r="L170" s="151"/>
      <c r="M170" s="151"/>
      <c r="N170" s="298"/>
    </row>
    <row r="171" spans="1:17" ht="15.75" customHeight="1">
      <c r="J171" s="85"/>
      <c r="M171" s="84"/>
    </row>
    <row r="172" spans="1:17" ht="15.75" customHeight="1">
      <c r="A172" s="368" t="s">
        <v>254</v>
      </c>
      <c r="B172" s="298"/>
      <c r="C172" s="298"/>
      <c r="D172" s="298"/>
      <c r="E172" s="298"/>
      <c r="F172" s="298"/>
      <c r="G172" s="298"/>
      <c r="H172" s="298"/>
      <c r="I172" s="298"/>
      <c r="J172" s="298"/>
    </row>
    <row r="173" spans="1:17" ht="15.75" customHeight="1">
      <c r="A173" s="298"/>
      <c r="B173" s="298"/>
      <c r="C173" s="298"/>
      <c r="D173" s="298"/>
      <c r="E173" s="298"/>
      <c r="F173" s="298"/>
      <c r="G173" s="298"/>
      <c r="H173" s="298"/>
      <c r="I173" s="298"/>
      <c r="J173" s="298"/>
    </row>
    <row r="174" spans="1:17" ht="15.75" customHeight="1"/>
    <row r="175" spans="1:17" ht="15.75" customHeight="1"/>
    <row r="176" spans="1:17" ht="27" customHeight="1">
      <c r="A176" s="368" t="s">
        <v>222</v>
      </c>
      <c r="B176" s="298"/>
      <c r="C176" s="298"/>
      <c r="D176" s="298"/>
      <c r="E176" s="298"/>
      <c r="F176" s="248" t="s">
        <v>255</v>
      </c>
      <c r="G176" s="249" t="s">
        <v>256</v>
      </c>
      <c r="H176" s="249" t="s">
        <v>257</v>
      </c>
      <c r="I176" s="249" t="s">
        <v>223</v>
      </c>
      <c r="J176" s="249" t="s">
        <v>224</v>
      </c>
    </row>
    <row r="177" spans="1:10" ht="15.75" customHeight="1">
      <c r="A177" s="388" t="s">
        <v>227</v>
      </c>
      <c r="B177" s="298"/>
      <c r="C177" s="298"/>
      <c r="D177" s="298"/>
      <c r="E177" s="298"/>
      <c r="F177" s="147">
        <f>+'Valoración Sin Estrategia'!F178</f>
        <v>9.0534341484129985</v>
      </c>
      <c r="G177" s="147">
        <f>+L167/'Proyecciones + Estrategia'!J88</f>
        <v>12.208784011159068</v>
      </c>
      <c r="H177" s="153">
        <f>+G177-F177</f>
        <v>3.1553498627460694</v>
      </c>
      <c r="I177" s="153">
        <f>+'Valoración Sin Estrategia'!G178</f>
        <v>13.24</v>
      </c>
      <c r="J177" s="153">
        <f t="shared" ref="J177:J179" si="30">+H177-I177</f>
        <v>-10.084650137253931</v>
      </c>
    </row>
    <row r="178" spans="1:10" ht="15.75" customHeight="1">
      <c r="A178" s="388" t="s">
        <v>228</v>
      </c>
      <c r="B178" s="298"/>
      <c r="C178" s="298"/>
      <c r="D178" s="298"/>
      <c r="E178" s="298"/>
      <c r="F178" s="147">
        <f>+'Valoración Sin Estrategia'!F179</f>
        <v>0.51362574010740503</v>
      </c>
      <c r="G178" s="147">
        <f>+L167/'Proyecciones + Estrategia'!J50</f>
        <v>0.69263724910864299</v>
      </c>
      <c r="H178" s="153">
        <f t="shared" ref="H178:H179" si="31">+G178-F178</f>
        <v>0.17901150900123797</v>
      </c>
      <c r="I178" s="153">
        <v>1.66</v>
      </c>
      <c r="J178" s="153">
        <f t="shared" si="30"/>
        <v>-1.4809884909987621</v>
      </c>
    </row>
    <row r="179" spans="1:10" ht="15.75" customHeight="1">
      <c r="A179" s="388" t="s">
        <v>229</v>
      </c>
      <c r="B179" s="298"/>
      <c r="C179" s="298"/>
      <c r="D179" s="298"/>
      <c r="E179" s="298"/>
      <c r="F179" s="147">
        <f>+'Valoración Sin Estrategia'!F180</f>
        <v>4.7382681850028581</v>
      </c>
      <c r="G179" s="147">
        <f>+L167/F119</f>
        <v>6.3896740076015259</v>
      </c>
      <c r="H179" s="153">
        <f t="shared" si="31"/>
        <v>1.6514058225986679</v>
      </c>
      <c r="I179" s="153">
        <v>2.61</v>
      </c>
      <c r="J179" s="153">
        <f t="shared" si="30"/>
        <v>-0.95859417740133201</v>
      </c>
    </row>
    <row r="180" spans="1:10" ht="15.75" customHeight="1"/>
    <row r="181" spans="1:10" ht="15.75" customHeight="1"/>
    <row r="182" spans="1:10" ht="15.75" customHeight="1"/>
    <row r="183" spans="1:10" ht="15.75" customHeight="1"/>
    <row r="184" spans="1:10" ht="15.75" customHeight="1">
      <c r="A184" s="368" t="s">
        <v>258</v>
      </c>
      <c r="B184" s="298"/>
      <c r="C184" s="298"/>
      <c r="D184" s="298"/>
      <c r="E184" s="298"/>
      <c r="F184" s="298"/>
      <c r="G184" s="298"/>
    </row>
    <row r="185" spans="1:10" ht="15.75" customHeight="1">
      <c r="A185" s="290" t="s">
        <v>259</v>
      </c>
      <c r="B185" s="298"/>
      <c r="C185" s="298"/>
      <c r="D185" s="298"/>
      <c r="E185" s="298"/>
      <c r="F185" s="27" t="s">
        <v>260</v>
      </c>
      <c r="G185" s="27" t="s">
        <v>261</v>
      </c>
    </row>
    <row r="186" spans="1:10" ht="15.75" customHeight="1">
      <c r="A186" s="250" t="s">
        <v>262</v>
      </c>
      <c r="B186" s="250"/>
      <c r="C186" s="250"/>
      <c r="D186" s="250"/>
      <c r="E186" s="250"/>
      <c r="F186" s="149">
        <f>+'Valoración Sin Estrategia'!N168</f>
        <v>4.7382681850028581</v>
      </c>
      <c r="G186" s="149">
        <f>+F187-F186</f>
        <v>1.6514058225986679</v>
      </c>
    </row>
    <row r="187" spans="1:10" ht="15.75" customHeight="1">
      <c r="A187" s="250" t="s">
        <v>263</v>
      </c>
      <c r="B187" s="250"/>
      <c r="C187" s="250"/>
      <c r="D187" s="250"/>
      <c r="E187" s="250"/>
      <c r="F187" s="149">
        <f>+N167</f>
        <v>6.3896740076015259</v>
      </c>
    </row>
    <row r="188" spans="1:10" ht="15.75" customHeight="1"/>
    <row r="189" spans="1:10" ht="15.75" customHeight="1"/>
    <row r="190" spans="1:10" ht="15.75" customHeight="1"/>
    <row r="191" spans="1:10" ht="15.75" customHeight="1"/>
    <row r="192" spans="1:10" ht="15.75" customHeight="1"/>
    <row r="193" spans="1:13" ht="15.75" customHeight="1"/>
    <row r="194" spans="1:13" ht="15.75" customHeight="1"/>
    <row r="195" spans="1:13" ht="15.75" customHeight="1"/>
    <row r="196" spans="1:13" ht="15.75" customHeight="1"/>
    <row r="197" spans="1:13" ht="15.75" customHeight="1">
      <c r="A197" s="368" t="s">
        <v>264</v>
      </c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  <c r="L197" s="298"/>
    </row>
    <row r="198" spans="1:13" ht="15.75" customHeight="1">
      <c r="A198" s="359" t="s">
        <v>265</v>
      </c>
      <c r="B198" s="298"/>
      <c r="C198" s="245">
        <f>Indicadores!F14</f>
        <v>2018</v>
      </c>
      <c r="D198" s="245">
        <f>Indicadores!G14</f>
        <v>2019</v>
      </c>
      <c r="E198" s="245">
        <f>Indicadores!H14</f>
        <v>2020</v>
      </c>
      <c r="F198" s="245">
        <f>Indicadores!I14</f>
        <v>2021</v>
      </c>
      <c r="G198" s="245">
        <f>Indicadores!J14</f>
        <v>2022</v>
      </c>
      <c r="H198" s="245">
        <f>Indicadores!K14</f>
        <v>2023</v>
      </c>
      <c r="I198" s="245">
        <f>Indicadores!L14</f>
        <v>2024</v>
      </c>
      <c r="J198" s="245">
        <f>Indicadores!M14</f>
        <v>2025</v>
      </c>
      <c r="K198" s="245">
        <f>Indicadores!N14</f>
        <v>2026</v>
      </c>
      <c r="L198" s="245">
        <f>Indicadores!O14</f>
        <v>2027</v>
      </c>
    </row>
    <row r="199" spans="1:13" ht="15.75" customHeight="1">
      <c r="A199" s="27" t="s">
        <v>266</v>
      </c>
      <c r="C199" s="251">
        <f>+Indicadores!F52</f>
        <v>1885122952.9532733</v>
      </c>
      <c r="D199" s="251">
        <f>+Indicadores!G52</f>
        <v>1180457253.2886581</v>
      </c>
      <c r="E199" s="251">
        <f>+Indicadores!H52</f>
        <v>2147573006.3152032</v>
      </c>
      <c r="F199" s="251">
        <f>+Indicadores!I52</f>
        <v>828450571.02179122</v>
      </c>
      <c r="G199" s="251">
        <f>+Indicadores!J52</f>
        <v>983723066.27614689</v>
      </c>
      <c r="H199" s="251">
        <f>+Indicadores!K52</f>
        <v>799509227.55488753</v>
      </c>
      <c r="I199" s="251">
        <f>+Indicadores!L52</f>
        <v>945221113.58555365</v>
      </c>
      <c r="J199" s="251">
        <f>+Indicadores!M52</f>
        <v>1122982141.5117741</v>
      </c>
      <c r="K199" s="251">
        <f>+Indicadores!N52</f>
        <v>1388797023.798243</v>
      </c>
      <c r="L199" s="251">
        <f>+Indicadores!O52</f>
        <v>1422891077.7276473</v>
      </c>
    </row>
    <row r="200" spans="1:13" ht="15.75" customHeight="1">
      <c r="A200" s="27" t="s">
        <v>267</v>
      </c>
      <c r="C200" s="251">
        <f>+'Proyecciones + Estrategia'!F117</f>
        <v>2633526519.1371746</v>
      </c>
      <c r="D200" s="251">
        <f>+'Proyecciones + Estrategia'!G117</f>
        <v>1639935563.3222456</v>
      </c>
      <c r="E200" s="251">
        <f>+'Proyecciones + Estrategia'!H117</f>
        <v>2758902032.2454643</v>
      </c>
      <c r="F200" s="251">
        <f>+'Proyecciones + Estrategia'!I117</f>
        <v>2712285564.1273422</v>
      </c>
      <c r="G200" s="251">
        <f>+'Proyecciones + Estrategia'!J117</f>
        <v>1738455189.0037644</v>
      </c>
      <c r="H200" s="251">
        <f>+'Proyecciones + Estrategia'!K117</f>
        <v>913384588.75938416</v>
      </c>
      <c r="I200" s="251">
        <f>+'Proyecciones + Estrategia'!L117</f>
        <v>2430461773.747221</v>
      </c>
      <c r="J200" s="251">
        <f>+'Proyecciones + Estrategia'!M117</f>
        <v>3496879904.541647</v>
      </c>
      <c r="K200" s="251">
        <f>+'Proyecciones + Estrategia'!N117</f>
        <v>3760098883.8892059</v>
      </c>
      <c r="L200" s="251">
        <f>+'Proyecciones + Estrategia'!O117</f>
        <v>3844172279.6872129</v>
      </c>
    </row>
    <row r="202" spans="1:13" ht="15" customHeight="1">
      <c r="M202" s="252">
        <f>+L199/L200</f>
        <v>0.37014238025862439</v>
      </c>
    </row>
  </sheetData>
  <mergeCells count="115">
    <mergeCell ref="A135:E135"/>
    <mergeCell ref="A136:E136"/>
    <mergeCell ref="K88:L90"/>
    <mergeCell ref="A117:E117"/>
    <mergeCell ref="A122:E122"/>
    <mergeCell ref="A123:E123"/>
    <mergeCell ref="A124:E124"/>
    <mergeCell ref="K99:K124"/>
    <mergeCell ref="A100:E100"/>
    <mergeCell ref="A101:E101"/>
    <mergeCell ref="A103:E103"/>
    <mergeCell ref="A104:E104"/>
    <mergeCell ref="A106:E106"/>
    <mergeCell ref="A107:E107"/>
    <mergeCell ref="A109:E109"/>
    <mergeCell ref="A110:E110"/>
    <mergeCell ref="A111:E111"/>
    <mergeCell ref="A113:E113"/>
    <mergeCell ref="F89:I89"/>
    <mergeCell ref="F90:I90"/>
    <mergeCell ref="F92:I92"/>
    <mergeCell ref="A179:E179"/>
    <mergeCell ref="A177:E177"/>
    <mergeCell ref="A178:E178"/>
    <mergeCell ref="A198:B198"/>
    <mergeCell ref="A184:G184"/>
    <mergeCell ref="A197:L197"/>
    <mergeCell ref="N169:N170"/>
    <mergeCell ref="A172:J173"/>
    <mergeCell ref="A165:E165"/>
    <mergeCell ref="A185:E185"/>
    <mergeCell ref="A176:E176"/>
    <mergeCell ref="A163:J164"/>
    <mergeCell ref="K93:L96"/>
    <mergeCell ref="F94:I94"/>
    <mergeCell ref="F95:I95"/>
    <mergeCell ref="F96:I96"/>
    <mergeCell ref="A115:E115"/>
    <mergeCell ref="A116:E116"/>
    <mergeCell ref="A128:J129"/>
    <mergeCell ref="A131:E131"/>
    <mergeCell ref="A133:E133"/>
    <mergeCell ref="A134:E134"/>
    <mergeCell ref="A141:E141"/>
    <mergeCell ref="A142:E142"/>
    <mergeCell ref="A143:E143"/>
    <mergeCell ref="A144:E144"/>
    <mergeCell ref="A145:E145"/>
    <mergeCell ref="A146:E146"/>
    <mergeCell ref="F93:I93"/>
    <mergeCell ref="A132:E132"/>
    <mergeCell ref="A119:E119"/>
    <mergeCell ref="A121:E121"/>
    <mergeCell ref="A99:E99"/>
    <mergeCell ref="A114:E114"/>
    <mergeCell ref="K131:K146"/>
    <mergeCell ref="A6:Q7"/>
    <mergeCell ref="A8:Q8"/>
    <mergeCell ref="A9:Q9"/>
    <mergeCell ref="A10:Q10"/>
    <mergeCell ref="A11:Q11"/>
    <mergeCell ref="A23:E23"/>
    <mergeCell ref="G23:G28"/>
    <mergeCell ref="A24:E24"/>
    <mergeCell ref="A25:E25"/>
    <mergeCell ref="A27:E27"/>
    <mergeCell ref="A28:E28"/>
    <mergeCell ref="A20:E20"/>
    <mergeCell ref="G20:G21"/>
    <mergeCell ref="A21:F21"/>
    <mergeCell ref="A12:E12"/>
    <mergeCell ref="A13:E13"/>
    <mergeCell ref="G13:G18"/>
    <mergeCell ref="A14:E14"/>
    <mergeCell ref="A15:E15"/>
    <mergeCell ref="A17:E17"/>
    <mergeCell ref="A18:E18"/>
    <mergeCell ref="A50:E50"/>
    <mergeCell ref="B61:E61"/>
    <mergeCell ref="B63:E63"/>
    <mergeCell ref="A30:E30"/>
    <mergeCell ref="A33:E33"/>
    <mergeCell ref="A36:E36"/>
    <mergeCell ref="A37:E37"/>
    <mergeCell ref="A38:E38"/>
    <mergeCell ref="A40:E40"/>
    <mergeCell ref="B58:E58"/>
    <mergeCell ref="B59:E59"/>
    <mergeCell ref="B60:E60"/>
    <mergeCell ref="A43:E43"/>
    <mergeCell ref="A44:E44"/>
    <mergeCell ref="A45:E45"/>
    <mergeCell ref="A47:E47"/>
    <mergeCell ref="A49:E49"/>
    <mergeCell ref="A51:E51"/>
    <mergeCell ref="A87:C87"/>
    <mergeCell ref="F87:I87"/>
    <mergeCell ref="F88:I88"/>
    <mergeCell ref="D53:E53"/>
    <mergeCell ref="A54:J55"/>
    <mergeCell ref="B57:E57"/>
    <mergeCell ref="B73:E73"/>
    <mergeCell ref="B75:E75"/>
    <mergeCell ref="A77:D77"/>
    <mergeCell ref="A79:J80"/>
    <mergeCell ref="F83:I83"/>
    <mergeCell ref="F84:I84"/>
    <mergeCell ref="A86:C86"/>
    <mergeCell ref="B72:E72"/>
    <mergeCell ref="B64:E64"/>
    <mergeCell ref="B66:E66"/>
    <mergeCell ref="B67:E67"/>
    <mergeCell ref="B68:E68"/>
    <mergeCell ref="B69:E69"/>
    <mergeCell ref="B71:E71"/>
  </mergeCells>
  <dataValidations disablePrompts="1" count="1">
    <dataValidation type="list" allowBlank="1" showErrorMessage="1" sqref="A87" xr:uid="{00000000-0002-0000-0500-000000000000}">
      <formula1>"Anualidad Perpetua,Crecimiento Constante"</formula1>
    </dataValidation>
  </dataValidations>
  <pageMargins left="0.7" right="0.7" top="0.75" bottom="0.75" header="0" footer="0"/>
  <pageSetup orientation="portrait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7D16-A366-43B0-BEB6-229E894CBFBC}">
  <dimension ref="A4:Z1008"/>
  <sheetViews>
    <sheetView showGridLines="0" topLeftCell="A19" zoomScale="82" zoomScaleNormal="82" workbookViewId="0">
      <selection activeCell="G40" sqref="G40"/>
    </sheetView>
  </sheetViews>
  <sheetFormatPr baseColWidth="10" defaultColWidth="14.42578125" defaultRowHeight="15.75"/>
  <cols>
    <col min="1" max="1" width="27.140625" style="19" customWidth="1"/>
    <col min="2" max="2" width="18.140625" style="19" bestFit="1" customWidth="1"/>
    <col min="3" max="7" width="23.42578125" style="19" bestFit="1" customWidth="1"/>
    <col min="8" max="8" width="11.42578125" style="19" customWidth="1"/>
    <col min="9" max="9" width="45.7109375" style="19" customWidth="1"/>
    <col min="10" max="19" width="11.42578125" style="19" customWidth="1"/>
    <col min="20" max="26" width="10.7109375" style="19" customWidth="1"/>
    <col min="27" max="16384" width="14.42578125" style="19"/>
  </cols>
  <sheetData>
    <row r="4" spans="1:26">
      <c r="A4" s="40" t="s">
        <v>274</v>
      </c>
      <c r="B4" s="13"/>
      <c r="C4" s="13"/>
      <c r="D4" s="13"/>
      <c r="E4" s="13"/>
      <c r="F4" s="13"/>
    </row>
    <row r="5" spans="1:26">
      <c r="A5" s="41" t="s">
        <v>273</v>
      </c>
      <c r="B5" s="13"/>
      <c r="C5" s="13"/>
      <c r="D5" s="13"/>
      <c r="E5" s="13"/>
      <c r="F5" s="13"/>
    </row>
    <row r="9" spans="1:2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400"/>
      <c r="B11" s="401"/>
      <c r="C11" s="14"/>
      <c r="D11" s="14"/>
      <c r="E11" s="14"/>
      <c r="F11" s="14"/>
      <c r="G11" s="14"/>
      <c r="H11" s="14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4"/>
      <c r="U11" s="14"/>
      <c r="V11" s="14"/>
      <c r="W11" s="14"/>
      <c r="X11" s="14"/>
      <c r="Y11" s="14"/>
      <c r="Z11" s="14"/>
    </row>
    <row r="12" spans="1:26">
      <c r="A12" s="14"/>
      <c r="B12" s="14"/>
      <c r="C12" s="14"/>
      <c r="D12" s="14"/>
      <c r="E12" s="14"/>
      <c r="F12" s="14"/>
      <c r="G12" s="14"/>
      <c r="H12" s="14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4"/>
      <c r="U12" s="14"/>
      <c r="V12" s="14"/>
      <c r="W12" s="14"/>
      <c r="X12" s="14"/>
      <c r="Y12" s="14"/>
      <c r="Z12" s="14"/>
    </row>
    <row r="13" spans="1:26">
      <c r="A13" s="393" t="s">
        <v>320</v>
      </c>
      <c r="B13" s="394"/>
      <c r="C13" s="191">
        <v>2018</v>
      </c>
      <c r="D13" s="191">
        <v>2019</v>
      </c>
      <c r="E13" s="191">
        <v>2020</v>
      </c>
      <c r="F13" s="191">
        <v>2021</v>
      </c>
      <c r="G13" s="191">
        <v>2022</v>
      </c>
      <c r="H13" s="14"/>
      <c r="I13" s="402"/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14"/>
      <c r="U13" s="14"/>
      <c r="V13" s="14"/>
      <c r="W13" s="14"/>
      <c r="X13" s="14"/>
      <c r="Y13" s="14"/>
      <c r="Z13" s="14"/>
    </row>
    <row r="14" spans="1:26">
      <c r="A14" s="395" t="s">
        <v>321</v>
      </c>
      <c r="B14" s="396"/>
      <c r="C14" s="20">
        <f>+'Estados Financieros'!F17</f>
        <v>3819622428</v>
      </c>
      <c r="D14" s="20">
        <f>+'Estados Financieros'!G17</f>
        <v>4298083559</v>
      </c>
      <c r="E14" s="20">
        <f>+'Estados Financieros'!H17</f>
        <v>6240542676</v>
      </c>
      <c r="F14" s="20">
        <f>+'Estados Financieros'!I17</f>
        <v>6277418360</v>
      </c>
      <c r="G14" s="20">
        <f>+'Estados Financieros'!J17</f>
        <v>8406929305</v>
      </c>
      <c r="H14" s="14"/>
      <c r="I14" s="397"/>
      <c r="J14" s="398"/>
      <c r="K14" s="399"/>
      <c r="L14" s="398"/>
      <c r="M14" s="398"/>
      <c r="N14" s="398"/>
      <c r="O14" s="398"/>
      <c r="P14" s="398"/>
      <c r="Q14" s="398"/>
      <c r="R14" s="398"/>
      <c r="S14" s="398"/>
      <c r="T14" s="14"/>
      <c r="U14" s="14"/>
      <c r="V14" s="14"/>
      <c r="W14" s="14"/>
      <c r="X14" s="14"/>
      <c r="Y14" s="14"/>
      <c r="Z14" s="14"/>
    </row>
    <row r="15" spans="1:26">
      <c r="A15" s="395" t="s">
        <v>322</v>
      </c>
      <c r="B15" s="396"/>
      <c r="C15" s="20">
        <f>+'Estados Financieros'!F26</f>
        <v>11554862000</v>
      </c>
      <c r="D15" s="20">
        <f>+'Estados Financieros'!G26</f>
        <v>12363351328</v>
      </c>
      <c r="E15" s="20">
        <f>+'Estados Financieros'!H26</f>
        <v>13330753360</v>
      </c>
      <c r="F15" s="20">
        <f>+'Estados Financieros'!I26</f>
        <v>12681011035</v>
      </c>
      <c r="G15" s="20">
        <f>+'Estados Financieros'!J26</f>
        <v>14244769727</v>
      </c>
      <c r="H15" s="14"/>
      <c r="I15" s="397"/>
      <c r="J15" s="398"/>
      <c r="K15" s="399"/>
      <c r="L15" s="398"/>
      <c r="M15" s="398"/>
      <c r="N15" s="398"/>
      <c r="O15" s="398"/>
      <c r="P15" s="398"/>
      <c r="Q15" s="398"/>
      <c r="R15" s="398"/>
      <c r="S15" s="398"/>
      <c r="T15" s="14"/>
      <c r="U15" s="14"/>
      <c r="V15" s="14"/>
      <c r="W15" s="14"/>
      <c r="X15" s="14"/>
      <c r="Y15" s="14"/>
      <c r="Z15" s="14"/>
    </row>
    <row r="16" spans="1:26">
      <c r="A16" s="395" t="s">
        <v>323</v>
      </c>
      <c r="B16" s="396"/>
      <c r="C16" s="20">
        <f>+'Estados Financieros'!F42</f>
        <v>8716298352</v>
      </c>
      <c r="D16" s="20">
        <f>+'Estados Financieros'!G42</f>
        <v>9316737052</v>
      </c>
      <c r="E16" s="20">
        <f>+'Estados Financieros'!H42</f>
        <v>10107761751</v>
      </c>
      <c r="F16" s="20">
        <f>+'Estados Financieros'!I42</f>
        <v>9388936702</v>
      </c>
      <c r="G16" s="20">
        <f>+'Estados Financieros'!J42</f>
        <v>10636396753</v>
      </c>
      <c r="H16" s="14"/>
      <c r="I16" s="397"/>
      <c r="J16" s="398"/>
      <c r="K16" s="399"/>
      <c r="L16" s="398"/>
      <c r="M16" s="398"/>
      <c r="N16" s="398"/>
      <c r="O16" s="398"/>
      <c r="P16" s="398"/>
      <c r="Q16" s="398"/>
      <c r="R16" s="398"/>
      <c r="S16" s="398"/>
      <c r="T16" s="14"/>
      <c r="U16" s="14"/>
      <c r="V16" s="14"/>
      <c r="W16" s="14"/>
      <c r="X16" s="14"/>
      <c r="Y16" s="14"/>
      <c r="Z16" s="14"/>
    </row>
    <row r="17" spans="1:26">
      <c r="A17" s="395" t="s">
        <v>26</v>
      </c>
      <c r="B17" s="396"/>
      <c r="C17" s="20">
        <f>+'Estados Financieros'!F50</f>
        <v>2838563648</v>
      </c>
      <c r="D17" s="20">
        <f>+'Estados Financieros'!G50</f>
        <v>3046614276</v>
      </c>
      <c r="E17" s="20">
        <f>+'Estados Financieros'!H50</f>
        <v>3222991609</v>
      </c>
      <c r="F17" s="20">
        <f>+'Estados Financieros'!I50</f>
        <v>3292074333</v>
      </c>
      <c r="G17" s="20">
        <f>+'Estados Financieros'!J50</f>
        <v>3608372974</v>
      </c>
      <c r="H17" s="14"/>
      <c r="I17" s="397"/>
      <c r="J17" s="398"/>
      <c r="K17" s="399"/>
      <c r="L17" s="398"/>
      <c r="M17" s="398"/>
      <c r="N17" s="398"/>
      <c r="O17" s="398"/>
      <c r="P17" s="398"/>
      <c r="Q17" s="398"/>
      <c r="R17" s="398"/>
      <c r="S17" s="398"/>
      <c r="T17" s="14"/>
      <c r="U17" s="14"/>
      <c r="V17" s="14"/>
      <c r="W17" s="14"/>
      <c r="X17" s="14"/>
      <c r="Y17" s="14"/>
      <c r="Z17" s="14"/>
    </row>
    <row r="18" spans="1:26">
      <c r="A18" s="395" t="s">
        <v>324</v>
      </c>
      <c r="B18" s="396"/>
      <c r="C18" s="20">
        <f>+'Estados Financieros'!F75</f>
        <v>611758468</v>
      </c>
      <c r="D18" s="20">
        <f>+'Estados Financieros'!G75</f>
        <v>354685630</v>
      </c>
      <c r="E18" s="20">
        <f>+'Estados Financieros'!H75</f>
        <v>294071515</v>
      </c>
      <c r="F18" s="20">
        <f>+'Estados Financieros'!I75</f>
        <v>-230917280</v>
      </c>
      <c r="G18" s="20">
        <f>+'Estados Financieros'!J75</f>
        <v>316298641</v>
      </c>
      <c r="H18" s="14"/>
      <c r="I18" s="397"/>
      <c r="J18" s="398"/>
      <c r="K18" s="399"/>
      <c r="L18" s="398"/>
      <c r="M18" s="398"/>
      <c r="N18" s="398"/>
      <c r="O18" s="398"/>
      <c r="P18" s="398"/>
      <c r="Q18" s="398"/>
      <c r="R18" s="398"/>
      <c r="S18" s="398"/>
      <c r="T18" s="14"/>
      <c r="U18" s="14"/>
      <c r="V18" s="14"/>
      <c r="W18" s="14"/>
      <c r="X18" s="14"/>
      <c r="Y18" s="14"/>
      <c r="Z18" s="14"/>
    </row>
    <row r="19" spans="1:26">
      <c r="A19" s="395" t="s">
        <v>325</v>
      </c>
      <c r="B19" s="396"/>
      <c r="C19" s="20">
        <f>+'Estados Financieros'!F74+'Estados Financieros'!F75+'Estados Financieros'!F80+'Estados Financieros'!F81</f>
        <v>1762670636</v>
      </c>
      <c r="D19" s="20">
        <f>+'Estados Financieros'!G74+'Estados Financieros'!G75+'Estados Financieros'!G80+'Estados Financieros'!G81</f>
        <v>1612555655</v>
      </c>
      <c r="E19" s="20">
        <f>+'Estados Financieros'!H74+'Estados Financieros'!H75+'Estados Financieros'!H80+'Estados Financieros'!H81</f>
        <v>1583530382</v>
      </c>
      <c r="F19" s="20">
        <f>+'Estados Financieros'!I74+'Estados Financieros'!I75+'Estados Financieros'!I80+'Estados Financieros'!I81</f>
        <v>729590564</v>
      </c>
      <c r="G19" s="20">
        <f>+'Estados Financieros'!J74+'Estados Financieros'!J75+'Estados Financieros'!J80+'Estados Financieros'!J81</f>
        <v>1035922217</v>
      </c>
      <c r="H19" s="14"/>
      <c r="I19" s="397"/>
      <c r="J19" s="398"/>
      <c r="K19" s="399"/>
      <c r="L19" s="398"/>
      <c r="M19" s="398"/>
      <c r="N19" s="398"/>
      <c r="O19" s="398"/>
      <c r="P19" s="398"/>
      <c r="Q19" s="398"/>
      <c r="R19" s="398"/>
      <c r="S19" s="398"/>
      <c r="T19" s="14"/>
      <c r="U19" s="14"/>
      <c r="V19" s="14"/>
      <c r="W19" s="14"/>
      <c r="X19" s="14"/>
      <c r="Y19" s="14"/>
      <c r="Z19" s="14"/>
    </row>
    <row r="20" spans="1:26">
      <c r="A20" s="395" t="s">
        <v>42</v>
      </c>
      <c r="B20" s="396"/>
      <c r="C20" s="20">
        <f>+'Estados Financieros'!F62</f>
        <v>16705472817</v>
      </c>
      <c r="D20" s="20">
        <f>+'Estados Financieros'!G62</f>
        <v>20474224826</v>
      </c>
      <c r="E20" s="20">
        <f>+'Estados Financieros'!H62</f>
        <v>21563111744</v>
      </c>
      <c r="F20" s="20">
        <f>+'Estados Financieros'!I62</f>
        <v>22145181018</v>
      </c>
      <c r="G20" s="20">
        <f>+'Estados Financieros'!J62</f>
        <v>33287737602</v>
      </c>
      <c r="H20" s="14"/>
      <c r="I20" s="397"/>
      <c r="J20" s="398"/>
      <c r="K20" s="399"/>
      <c r="L20" s="398"/>
      <c r="M20" s="398"/>
      <c r="N20" s="398"/>
      <c r="O20" s="398"/>
      <c r="P20" s="398"/>
      <c r="Q20" s="398"/>
      <c r="R20" s="398"/>
      <c r="S20" s="398"/>
      <c r="T20" s="14"/>
      <c r="U20" s="14"/>
      <c r="V20" s="14"/>
      <c r="W20" s="14"/>
      <c r="X20" s="14"/>
      <c r="Y20" s="14"/>
      <c r="Z20" s="14"/>
    </row>
    <row r="21" spans="1:26">
      <c r="A21" s="192"/>
      <c r="B21" s="192"/>
      <c r="C21" s="192"/>
      <c r="D21" s="192"/>
      <c r="E21" s="192"/>
      <c r="F21" s="192"/>
      <c r="G21" s="192"/>
      <c r="H21" s="14"/>
      <c r="I21" s="193"/>
      <c r="J21" s="194"/>
      <c r="K21" s="197"/>
      <c r="L21" s="197"/>
      <c r="M21" s="197"/>
      <c r="N21" s="195"/>
      <c r="O21" s="195"/>
      <c r="P21" s="195"/>
      <c r="Q21" s="195"/>
      <c r="R21" s="195"/>
      <c r="S21" s="195"/>
      <c r="T21" s="14"/>
      <c r="U21" s="14"/>
      <c r="V21" s="14"/>
      <c r="W21" s="14"/>
      <c r="X21" s="14"/>
      <c r="Y21" s="14"/>
      <c r="Z21" s="14"/>
    </row>
    <row r="22" spans="1:26">
      <c r="A22" s="393" t="s">
        <v>327</v>
      </c>
      <c r="B22" s="394"/>
      <c r="C22" s="180">
        <f>+$J$22*(C14/C15)</f>
        <v>0.39667690653510185</v>
      </c>
      <c r="D22" s="180">
        <f>+$J$22*(D14/D15)</f>
        <v>0.41717655140310189</v>
      </c>
      <c r="E22" s="180">
        <f t="shared" ref="E22:G22" si="0">+$J$22*(E14/E15)</f>
        <v>0.5617575398004363</v>
      </c>
      <c r="F22" s="180">
        <f t="shared" si="0"/>
        <v>0.5940300825548489</v>
      </c>
      <c r="G22" s="180">
        <f t="shared" si="0"/>
        <v>0.70821188122671297</v>
      </c>
      <c r="H22" s="14"/>
      <c r="I22" s="198" t="s">
        <v>328</v>
      </c>
      <c r="J22" s="195">
        <v>1.2</v>
      </c>
      <c r="K22" s="195"/>
      <c r="L22" s="195"/>
      <c r="M22" s="195"/>
      <c r="N22" s="195"/>
      <c r="O22" s="195"/>
      <c r="P22" s="195"/>
      <c r="Q22" s="195"/>
      <c r="R22" s="195"/>
      <c r="S22" s="195"/>
      <c r="T22" s="14"/>
      <c r="U22" s="14"/>
      <c r="V22" s="14"/>
      <c r="W22" s="14"/>
      <c r="X22" s="14"/>
      <c r="Y22" s="14"/>
      <c r="Z22" s="14"/>
    </row>
    <row r="23" spans="1:26">
      <c r="A23" s="393" t="s">
        <v>329</v>
      </c>
      <c r="B23" s="394"/>
      <c r="C23" s="180">
        <f>+$J$23*(C18/C15)</f>
        <v>7.4121340021196261E-2</v>
      </c>
      <c r="D23" s="180">
        <f t="shared" ref="D23:G23" si="1">+$J$23*(D18/D15)</f>
        <v>4.0163857584101161E-2</v>
      </c>
      <c r="E23" s="180">
        <f t="shared" si="1"/>
        <v>3.0883484967574256E-2</v>
      </c>
      <c r="F23" s="180">
        <f t="shared" si="1"/>
        <v>-2.5493566018334433E-2</v>
      </c>
      <c r="G23" s="180">
        <f t="shared" si="1"/>
        <v>3.1086364040035563E-2</v>
      </c>
      <c r="H23" s="14"/>
      <c r="I23" s="198" t="s">
        <v>330</v>
      </c>
      <c r="J23" s="195">
        <v>1.4</v>
      </c>
      <c r="K23" s="195"/>
      <c r="L23" s="195"/>
      <c r="M23" s="195"/>
      <c r="N23" s="195"/>
      <c r="O23" s="195"/>
      <c r="P23" s="195"/>
      <c r="Q23" s="195"/>
      <c r="R23" s="195"/>
      <c r="S23" s="195"/>
      <c r="T23" s="14"/>
      <c r="U23" s="14"/>
      <c r="V23" s="14"/>
      <c r="W23" s="14"/>
      <c r="X23" s="14"/>
      <c r="Y23" s="14"/>
      <c r="Z23" s="14"/>
    </row>
    <row r="24" spans="1:26">
      <c r="A24" s="393" t="s">
        <v>331</v>
      </c>
      <c r="B24" s="394"/>
      <c r="C24" s="180">
        <f>+$J$24*(C19/C15)</f>
        <v>0.50340827080409956</v>
      </c>
      <c r="D24" s="180">
        <f t="shared" ref="D24:G24" si="2">+$J$24*(D19/D15)</f>
        <v>0.43041999861706104</v>
      </c>
      <c r="E24" s="180">
        <f>+$J$24*(E19/E15)</f>
        <v>0.3919996206876038</v>
      </c>
      <c r="F24" s="180">
        <f t="shared" si="2"/>
        <v>0.18986253182453761</v>
      </c>
      <c r="G24" s="180">
        <f t="shared" si="2"/>
        <v>0.23998586018701176</v>
      </c>
      <c r="H24" s="14"/>
      <c r="I24" s="198" t="s">
        <v>332</v>
      </c>
      <c r="J24" s="195">
        <v>3.3</v>
      </c>
      <c r="K24" s="195"/>
      <c r="L24" s="195"/>
      <c r="M24" s="195"/>
      <c r="N24" s="195"/>
      <c r="O24" s="195"/>
      <c r="P24" s="195"/>
      <c r="Q24" s="195"/>
      <c r="R24" s="195"/>
      <c r="S24" s="195"/>
      <c r="T24" s="14"/>
      <c r="U24" s="14"/>
      <c r="V24" s="14"/>
      <c r="W24" s="14"/>
      <c r="X24" s="14"/>
      <c r="Y24" s="14"/>
      <c r="Z24" s="14"/>
    </row>
    <row r="25" spans="1:26">
      <c r="A25" s="393" t="s">
        <v>333</v>
      </c>
      <c r="B25" s="394"/>
      <c r="C25" s="180">
        <f>+$J$25*(C17/C16)</f>
        <v>0.1953969586652809</v>
      </c>
      <c r="D25" s="180">
        <f t="shared" ref="D25:G25" si="3">+$J$25*(D17/D16)</f>
        <v>0.19620265715319235</v>
      </c>
      <c r="E25" s="180">
        <f t="shared" si="3"/>
        <v>0.1913178221883477</v>
      </c>
      <c r="F25" s="180">
        <f t="shared" si="3"/>
        <v>0.21038001027094366</v>
      </c>
      <c r="G25" s="180">
        <f t="shared" si="3"/>
        <v>0.20354861093249027</v>
      </c>
      <c r="H25" s="14"/>
      <c r="I25" s="198" t="s">
        <v>334</v>
      </c>
      <c r="J25" s="195">
        <v>0.6</v>
      </c>
      <c r="K25" s="195"/>
      <c r="L25" s="195"/>
      <c r="M25" s="195"/>
      <c r="N25" s="195"/>
      <c r="O25" s="195"/>
      <c r="P25" s="195"/>
      <c r="Q25" s="195"/>
      <c r="R25" s="195"/>
      <c r="S25" s="195"/>
      <c r="T25" s="14"/>
      <c r="U25" s="14"/>
      <c r="V25" s="14"/>
      <c r="W25" s="14"/>
      <c r="X25" s="14"/>
      <c r="Y25" s="14"/>
      <c r="Z25" s="14"/>
    </row>
    <row r="26" spans="1:26">
      <c r="A26" s="393" t="s">
        <v>335</v>
      </c>
      <c r="B26" s="394"/>
      <c r="C26" s="180">
        <f>+$J$26*(C20/C15)</f>
        <v>1.4457526898200947</v>
      </c>
      <c r="D26" s="180">
        <f t="shared" ref="D26:G26" si="4">+$J$26*(D20/D15)</f>
        <v>1.6560416575423877</v>
      </c>
      <c r="E26" s="180">
        <f t="shared" si="4"/>
        <v>1.6175463727880417</v>
      </c>
      <c r="F26" s="180">
        <f t="shared" si="4"/>
        <v>1.7463261373149652</v>
      </c>
      <c r="G26" s="180">
        <f t="shared" si="4"/>
        <v>2.3368392918914891</v>
      </c>
      <c r="H26" s="14"/>
      <c r="I26" s="198" t="s">
        <v>336</v>
      </c>
      <c r="J26" s="195">
        <v>1</v>
      </c>
      <c r="K26" s="195"/>
      <c r="L26" s="195"/>
      <c r="M26" s="195"/>
      <c r="N26" s="195"/>
      <c r="O26" s="195"/>
      <c r="P26" s="195"/>
      <c r="Q26" s="195"/>
      <c r="R26" s="195"/>
      <c r="S26" s="195"/>
      <c r="T26" s="14"/>
      <c r="U26" s="14"/>
      <c r="V26" s="14"/>
      <c r="W26" s="14"/>
      <c r="X26" s="14"/>
      <c r="Y26" s="14"/>
      <c r="Z26" s="14"/>
    </row>
    <row r="27" spans="1:26">
      <c r="A27" s="14"/>
      <c r="B27" s="14"/>
      <c r="C27" s="14"/>
      <c r="D27" s="14"/>
      <c r="E27" s="14"/>
      <c r="F27" s="14"/>
      <c r="G27" s="14"/>
      <c r="H27" s="14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4"/>
      <c r="U27" s="14"/>
      <c r="V27" s="14"/>
      <c r="W27" s="14"/>
      <c r="X27" s="14"/>
      <c r="Y27" s="14"/>
      <c r="Z27" s="14"/>
    </row>
    <row r="28" spans="1:26">
      <c r="A28" s="16"/>
      <c r="B28" s="14"/>
      <c r="C28" s="181">
        <f>+SUM(C22:C26)</f>
        <v>2.6153561658457734</v>
      </c>
      <c r="D28" s="181">
        <f>+SUM(D22:D26)</f>
        <v>2.7400047222998443</v>
      </c>
      <c r="E28" s="181">
        <f>+SUM(E22:E26)</f>
        <v>2.7935048404320035</v>
      </c>
      <c r="F28" s="181">
        <f>+SUM(F22:F26)</f>
        <v>2.7151051959469612</v>
      </c>
      <c r="G28" s="181">
        <f>+SUM(G22:G26)</f>
        <v>3.5196720082777393</v>
      </c>
      <c r="H28" s="14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4"/>
      <c r="U28" s="14"/>
      <c r="V28" s="14"/>
      <c r="W28" s="14"/>
      <c r="X28" s="14"/>
      <c r="Y28" s="14"/>
      <c r="Z28" s="14"/>
    </row>
    <row r="29" spans="1:26" ht="15.75" customHeight="1">
      <c r="A29" s="14"/>
      <c r="B29" s="14"/>
      <c r="C29" s="182" t="str">
        <f t="shared" ref="C29:G29" si="5">LOOKUP(C28,$A$31:$A$33,$B$31:$B$33)</f>
        <v>Zona Gris</v>
      </c>
      <c r="D29" s="182" t="str">
        <f t="shared" si="5"/>
        <v>Zona Gris</v>
      </c>
      <c r="E29" s="182" t="str">
        <f t="shared" si="5"/>
        <v>Zona Gris</v>
      </c>
      <c r="F29" s="182" t="str">
        <f t="shared" si="5"/>
        <v>Zona Gris</v>
      </c>
      <c r="G29" s="182" t="str">
        <f t="shared" si="5"/>
        <v>Situación normal</v>
      </c>
      <c r="H29" s="14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4"/>
      <c r="U29" s="14"/>
      <c r="V29" s="14"/>
      <c r="W29" s="14"/>
      <c r="X29" s="14"/>
      <c r="Y29" s="14"/>
      <c r="Z29" s="14"/>
    </row>
    <row r="30" spans="1:26" ht="15.75" customHeight="1">
      <c r="A30" s="14"/>
      <c r="B30" s="14"/>
      <c r="C30" s="14"/>
      <c r="D30" s="14"/>
      <c r="E30" s="14"/>
      <c r="F30" s="14"/>
      <c r="G30" s="14"/>
      <c r="H30" s="14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4"/>
      <c r="U30" s="14"/>
      <c r="V30" s="14"/>
      <c r="W30" s="14"/>
      <c r="X30" s="14"/>
      <c r="Y30" s="14"/>
      <c r="Z30" s="14"/>
    </row>
    <row r="31" spans="1:26" ht="15.75" customHeight="1">
      <c r="A31" s="183">
        <v>0</v>
      </c>
      <c r="B31" s="184" t="s">
        <v>337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4"/>
      <c r="U31" s="14"/>
      <c r="V31" s="14"/>
      <c r="W31" s="14"/>
      <c r="X31" s="14"/>
      <c r="Y31" s="14"/>
      <c r="Z31" s="14"/>
    </row>
    <row r="32" spans="1:26" ht="15.75" customHeight="1">
      <c r="A32" s="185">
        <v>1.81</v>
      </c>
      <c r="B32" s="186" t="s">
        <v>338</v>
      </c>
      <c r="C32" s="14">
        <v>1</v>
      </c>
      <c r="D32" s="14">
        <v>1</v>
      </c>
      <c r="E32" s="14">
        <v>1</v>
      </c>
      <c r="F32" s="14">
        <v>1</v>
      </c>
      <c r="G32" s="14">
        <v>1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187">
        <v>2.99</v>
      </c>
      <c r="B33" s="188" t="s">
        <v>339</v>
      </c>
      <c r="C33" s="189">
        <v>2.6</v>
      </c>
      <c r="D33" s="189">
        <v>2.6</v>
      </c>
      <c r="E33" s="189">
        <v>2.6</v>
      </c>
      <c r="F33" s="189">
        <v>2.6</v>
      </c>
      <c r="G33" s="189">
        <v>2.6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14"/>
      <c r="B34" s="280" t="s">
        <v>340</v>
      </c>
      <c r="C34" s="189">
        <f>+C28</f>
        <v>2.6153561658457734</v>
      </c>
      <c r="D34" s="189">
        <f t="shared" ref="D34:G34" si="6">+D28</f>
        <v>2.7400047222998443</v>
      </c>
      <c r="E34" s="189">
        <f t="shared" si="6"/>
        <v>2.7935048404320035</v>
      </c>
      <c r="F34" s="189">
        <f t="shared" si="6"/>
        <v>2.7151051959469612</v>
      </c>
      <c r="G34" s="189">
        <f t="shared" si="6"/>
        <v>3.5196720082777393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14"/>
      <c r="B36" s="14"/>
      <c r="C36" s="190"/>
      <c r="D36" s="190"/>
      <c r="E36" s="190"/>
      <c r="F36" s="190"/>
      <c r="G36" s="190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14"/>
      <c r="B37" s="14"/>
      <c r="C37" s="189"/>
      <c r="D37" s="189"/>
      <c r="E37" s="189"/>
      <c r="F37" s="189"/>
      <c r="G37" s="189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14"/>
      <c r="B38" s="14"/>
      <c r="C38" s="189"/>
      <c r="D38" s="189"/>
      <c r="E38" s="189"/>
      <c r="F38" s="189"/>
      <c r="G38" s="189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14"/>
      <c r="B39" s="14"/>
      <c r="C39" s="189"/>
      <c r="D39" s="189"/>
      <c r="E39" s="189"/>
      <c r="F39" s="189"/>
      <c r="G39" s="189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5.7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5.7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5.7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5.7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5.7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5.7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5.7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 spans="1:26" ht="15.7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</sheetData>
  <mergeCells count="29">
    <mergeCell ref="A11:B11"/>
    <mergeCell ref="A13:B13"/>
    <mergeCell ref="I13:S13"/>
    <mergeCell ref="A14:B14"/>
    <mergeCell ref="I14:J14"/>
    <mergeCell ref="K14:S14"/>
    <mergeCell ref="A15:B15"/>
    <mergeCell ref="I15:J15"/>
    <mergeCell ref="K15:S15"/>
    <mergeCell ref="A16:B16"/>
    <mergeCell ref="I16:J16"/>
    <mergeCell ref="K16:S16"/>
    <mergeCell ref="A17:B17"/>
    <mergeCell ref="I17:J17"/>
    <mergeCell ref="K17:S17"/>
    <mergeCell ref="A18:B18"/>
    <mergeCell ref="I18:J18"/>
    <mergeCell ref="K18:S18"/>
    <mergeCell ref="A19:B19"/>
    <mergeCell ref="I19:J19"/>
    <mergeCell ref="K19:S19"/>
    <mergeCell ref="A20:B20"/>
    <mergeCell ref="I20:J20"/>
    <mergeCell ref="K20:S20"/>
    <mergeCell ref="A22:B22"/>
    <mergeCell ref="A23:B23"/>
    <mergeCell ref="A24:B24"/>
    <mergeCell ref="A25:B25"/>
    <mergeCell ref="A26:B26"/>
  </mergeCells>
  <conditionalFormatting sqref="C29">
    <cfRule type="cellIs" dxfId="9" priority="1" operator="equal">
      <formula>"Peligro de quiebra"</formula>
    </cfRule>
  </conditionalFormatting>
  <conditionalFormatting sqref="C29">
    <cfRule type="cellIs" dxfId="8" priority="2" operator="equal">
      <formula>"Zona Gris"</formula>
    </cfRule>
  </conditionalFormatting>
  <conditionalFormatting sqref="C29">
    <cfRule type="cellIs" dxfId="7" priority="3" operator="equal">
      <formula>"Situación Normal"</formula>
    </cfRule>
  </conditionalFormatting>
  <conditionalFormatting sqref="D29:G29">
    <cfRule type="cellIs" dxfId="6" priority="4" operator="equal">
      <formula>"Peligro de quiebra"</formula>
    </cfRule>
  </conditionalFormatting>
  <conditionalFormatting sqref="D29:G29">
    <cfRule type="cellIs" dxfId="5" priority="5" operator="equal">
      <formula>"Zona Gris"</formula>
    </cfRule>
  </conditionalFormatting>
  <conditionalFormatting sqref="D29:G29">
    <cfRule type="cellIs" dxfId="4" priority="6" operator="equal">
      <formula>"Situación Normal"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Inicio</vt:lpstr>
      <vt:lpstr>Estados Financieros</vt:lpstr>
      <vt:lpstr>Proyecciones</vt:lpstr>
      <vt:lpstr>Indicadores</vt:lpstr>
      <vt:lpstr>Valoración Sin Estrategia</vt:lpstr>
      <vt:lpstr>Estrategias Operativas</vt:lpstr>
      <vt:lpstr>Proyecciones + Estrategia</vt:lpstr>
      <vt:lpstr>Valoración + Estrategia</vt:lpstr>
      <vt:lpstr>Indicador Altman</vt:lpstr>
      <vt:lpstr>Springate</vt:lpstr>
      <vt:lpstr>Análisis gráfico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Ferrin</dc:creator>
  <cp:lastModifiedBy>Adriana</cp:lastModifiedBy>
  <cp:lastPrinted>2020-11-04T03:28:04Z</cp:lastPrinted>
  <dcterms:created xsi:type="dcterms:W3CDTF">2017-10-24T00:08:46Z</dcterms:created>
  <dcterms:modified xsi:type="dcterms:W3CDTF">2023-05-31T23:38:45Z</dcterms:modified>
</cp:coreProperties>
</file>